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2"/>
  </bookViews>
  <sheets>
    <sheet name="Dochody" sheetId="1" r:id="rId1"/>
    <sheet name="Wydatki" sheetId="2" r:id="rId2"/>
    <sheet name="Nadwyżka_Deficyt" sheetId="3" r:id="rId3"/>
  </sheets>
  <definedNames>
    <definedName name="_xlnm.Print_Titles" localSheetId="1">'Wydatki'!$5:$7</definedName>
  </definedNames>
  <calcPr fullCalcOnLoad="1"/>
</workbook>
</file>

<file path=xl/comments1.xml><?xml version="1.0" encoding="utf-8"?>
<comments xmlns="http://schemas.openxmlformats.org/spreadsheetml/2006/main">
  <authors>
    <author>szpak</author>
  </authors>
  <commentList>
    <comment ref="G133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PGK-360.000zł
MEC-451.080zł</t>
        </r>
      </text>
    </comment>
    <comment ref="C192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błąd w układzie wykonawczym</t>
        </r>
      </text>
    </comment>
    <comment ref="B314" authorId="0">
      <text>
        <r>
          <rPr>
            <b/>
            <sz val="8"/>
            <rFont val="Tahoma"/>
            <family val="0"/>
          </rPr>
          <t>szpak:</t>
        </r>
        <r>
          <rPr>
            <sz val="8"/>
            <rFont val="Tahoma"/>
            <family val="0"/>
          </rPr>
          <t xml:space="preserve">
 wykonanie projektu budowlanego oraz renowacja rowu na odcinku od ul. Wrzosów do rzeku Dzierżęcinki</t>
        </r>
      </text>
    </comment>
  </commentList>
</comments>
</file>

<file path=xl/sharedStrings.xml><?xml version="1.0" encoding="utf-8"?>
<sst xmlns="http://schemas.openxmlformats.org/spreadsheetml/2006/main" count="2847" uniqueCount="1058">
  <si>
    <t>Dotacje celowe otrzymane z budżetu państwa na realizację inwestycji i zakupów inwestycyjnych własnych gmin:</t>
  </si>
  <si>
    <t>ul. Waryńskiego</t>
  </si>
  <si>
    <r>
      <t>Wpływy z różnych opłat</t>
    </r>
    <r>
      <rPr>
        <i/>
        <sz val="8"/>
        <rFont val="Times New Roman CE"/>
        <family val="0"/>
      </rPr>
      <t xml:space="preserve"> </t>
    </r>
    <r>
      <rPr>
        <sz val="8"/>
        <rFont val="Times New Roman CE"/>
        <family val="0"/>
      </rPr>
      <t>(za zajęcie nieruchomości, za nieterminową zabudowę, za służebność, za bezumowne korzystanie)</t>
    </r>
  </si>
  <si>
    <t>71095</t>
  </si>
  <si>
    <r>
      <t xml:space="preserve">Wpływy z usług </t>
    </r>
    <r>
      <rPr>
        <i/>
        <sz val="9"/>
        <rFont val="Times New Roman CE"/>
        <family val="1"/>
      </rPr>
      <t>(opłata cmentarna)</t>
    </r>
  </si>
  <si>
    <t>Wpływy z różnych opłat (za karty wędkarskie)</t>
  </si>
  <si>
    <r>
      <t xml:space="preserve">Środki na dofinansowanie własnych zadań bieżących gmin pozyskane z innych źródeł - </t>
    </r>
    <r>
      <rPr>
        <b/>
        <i/>
        <sz val="8"/>
        <rFont val="Times New Roman CE"/>
        <family val="0"/>
      </rPr>
      <t>Polsko - Niemieckie Forum Gospodarcze 2008</t>
    </r>
  </si>
  <si>
    <t>Grzywny, mandaty i inne kary pieniężne od ludności - SM</t>
  </si>
  <si>
    <t>Wpływy z innych lokalnych opłat pobieranych przez jednostki samorządu terytorialnego na podstawie odrębnych ustaw , z tego:</t>
  </si>
  <si>
    <t xml:space="preserve">opłaty za licencje na przewóz osób i rzeczy, Taxi, zezwolenia na linie komunikacji miejskiej, zaświadczenia i analizy (Km)   </t>
  </si>
  <si>
    <t>opłata za wpis do ewidencji działalności gospodarczej</t>
  </si>
  <si>
    <t>opłata prolongacyjna</t>
  </si>
  <si>
    <t>opłata adiacencka</t>
  </si>
  <si>
    <t>opłata planistyczna</t>
  </si>
  <si>
    <t>2707</t>
  </si>
  <si>
    <t>Środki na dofinansowanie własnych zadań bieżących gmin pozyskane z innych źródeł:</t>
  </si>
  <si>
    <t>Program Comenius</t>
  </si>
  <si>
    <t xml:space="preserve"> Leonardo da Vinci</t>
  </si>
  <si>
    <r>
      <t xml:space="preserve">Wpływy z różnych dochodów </t>
    </r>
    <r>
      <rPr>
        <sz val="8"/>
        <rFont val="Times New Roman CE"/>
        <family val="0"/>
      </rPr>
      <t>(Izby wytrzeźwień)</t>
    </r>
  </si>
  <si>
    <r>
      <t>Wpływy z usług</t>
    </r>
    <r>
      <rPr>
        <sz val="7"/>
        <rFont val="Times New Roman CE"/>
        <family val="1"/>
      </rPr>
      <t xml:space="preserve"> (odpłatność za  pobyt w "Złotym Wieku")</t>
    </r>
  </si>
  <si>
    <t>85218</t>
  </si>
  <si>
    <t>85395</t>
  </si>
  <si>
    <t>"Start"</t>
  </si>
  <si>
    <t>2008</t>
  </si>
  <si>
    <t>Dotacje rozwojowe oraz środki na finansowanie Wspólnej Polityki Rolnej</t>
  </si>
  <si>
    <t>2009</t>
  </si>
  <si>
    <t>Szkoły zawodowe dodają skrzydeł</t>
  </si>
  <si>
    <t xml:space="preserve">Wpływy ze sprzedaży składników majątkowych </t>
  </si>
  <si>
    <r>
      <t>Środki na dofinansowanie własnych inwestycji gmin, powiatów, pozyskane z innych źródeł</t>
    </r>
    <r>
      <rPr>
        <sz val="8"/>
        <rFont val="Times New Roman CE"/>
        <family val="0"/>
      </rPr>
      <t xml:space="preserve"> - </t>
    </r>
    <r>
      <rPr>
        <b/>
        <i/>
        <sz val="8"/>
        <rFont val="Times New Roman CE"/>
        <family val="0"/>
      </rPr>
      <t>Inwestycyjne Inicjatywy Społeczne</t>
    </r>
  </si>
  <si>
    <r>
      <t>Środki na dofinansowanie własnych zadań bieżących gmin pozyskane z innych źródeł -</t>
    </r>
    <r>
      <rPr>
        <sz val="8"/>
        <rFont val="Times New Roman CE"/>
        <family val="0"/>
      </rPr>
      <t xml:space="preserve"> </t>
    </r>
    <r>
      <rPr>
        <b/>
        <i/>
        <sz val="8"/>
        <rFont val="Times New Roman CE"/>
        <family val="0"/>
      </rPr>
      <t>Umieć czytać historię - Polsko-Niemieckie Spotkania Archiwalne 2008</t>
    </r>
  </si>
  <si>
    <t>92601</t>
  </si>
  <si>
    <r>
      <t>Środki na dofinansowanie własnych inwestycji gmin, powiatów pozyskane z innych źródeł -</t>
    </r>
    <r>
      <rPr>
        <sz val="8"/>
        <rFont val="Times New Roman CE"/>
        <family val="0"/>
      </rPr>
      <t xml:space="preserve"> </t>
    </r>
    <r>
      <rPr>
        <b/>
        <i/>
        <sz val="8"/>
        <rFont val="Times New Roman CE"/>
        <family val="0"/>
      </rPr>
      <t>Euroboiska</t>
    </r>
  </si>
  <si>
    <t>Moje Boisko Orlik - 2012</t>
  </si>
  <si>
    <t>6300</t>
  </si>
  <si>
    <r>
      <t>Wpływy z tytułu pomocy finansowej udzielanej między jst na dofinansowanie własnych zadań inwestycyjnych i zakupów inwestycyjnych</t>
    </r>
    <r>
      <rPr>
        <b/>
        <i/>
        <sz val="9"/>
        <rFont val="Times New Roman CE"/>
        <family val="1"/>
      </rPr>
      <t xml:space="preserve"> </t>
    </r>
  </si>
  <si>
    <t xml:space="preserve">Dotacje celowe przekazane z budżetu państwa na realizację inwestycji i zakupów inwestycyjnych własnych gmin </t>
  </si>
  <si>
    <t>POROZUMIENIA Z ORGANAMI ADMINISTRACJI RZĄDOWEJ</t>
  </si>
  <si>
    <t>Autor dokumentu: Małgorzata Liwak</t>
  </si>
  <si>
    <t>75814</t>
  </si>
  <si>
    <t>Różne rozliczenia finansowe</t>
  </si>
  <si>
    <t>75831</t>
  </si>
  <si>
    <t>Część równoważąca subwencji ogólnej dla  gmin</t>
  </si>
  <si>
    <t>75832</t>
  </si>
  <si>
    <t>Część równoważąca subwencji ogólnej dla  powiatów</t>
  </si>
  <si>
    <t>801</t>
  </si>
  <si>
    <t>80101</t>
  </si>
  <si>
    <r>
      <t xml:space="preserve">Wpływy z różnych opłat </t>
    </r>
    <r>
      <rPr>
        <sz val="7"/>
        <rFont val="Times New Roman CE"/>
        <family val="1"/>
      </rPr>
      <t>(za legitymacje i inne druki)</t>
    </r>
  </si>
  <si>
    <t>0830</t>
  </si>
  <si>
    <t>Wpływy z usług</t>
  </si>
  <si>
    <t>2030</t>
  </si>
  <si>
    <t>80102</t>
  </si>
  <si>
    <t>Wpływy z różnych opłat</t>
  </si>
  <si>
    <t>80104</t>
  </si>
  <si>
    <t>Przedszkola</t>
  </si>
  <si>
    <t>80110</t>
  </si>
  <si>
    <t>80114</t>
  </si>
  <si>
    <t>Zespoły obsługi ekonomiczno-administracyjnej szkół</t>
  </si>
  <si>
    <t>80120</t>
  </si>
  <si>
    <t>80130</t>
  </si>
  <si>
    <r>
      <t>Wpływy z różnych opłat</t>
    </r>
    <r>
      <rPr>
        <sz val="7"/>
        <rFont val="Times New Roman CE"/>
        <family val="1"/>
      </rPr>
      <t xml:space="preserve"> (za legitymacje i inne druki)</t>
    </r>
  </si>
  <si>
    <t>80140</t>
  </si>
  <si>
    <t>Centrum Kształcenia Ustawicznego</t>
  </si>
  <si>
    <t>80195</t>
  </si>
  <si>
    <t>2130</t>
  </si>
  <si>
    <t>Dotacje celowe przekazane z budżetu państwa na realizację bieżących zadan własnych powiatu</t>
  </si>
  <si>
    <t>Dotacje celowe przekazane z budżetu państwa na realizację własnych  zadań bieżących gmin</t>
  </si>
  <si>
    <t>2700</t>
  </si>
  <si>
    <t>851</t>
  </si>
  <si>
    <t>85156</t>
  </si>
  <si>
    <t>Składki na ubezpieczenie zdrowotne oraz świadczenia dla osób nieobjętych obowiązkiem ubezpieczenia zdrowotnego</t>
  </si>
  <si>
    <t>85195</t>
  </si>
  <si>
    <t>852</t>
  </si>
  <si>
    <t>85201</t>
  </si>
  <si>
    <t>Placówki opiekuńczo-wychowawcze</t>
  </si>
  <si>
    <t>85202</t>
  </si>
  <si>
    <t>85203</t>
  </si>
  <si>
    <t>Dotacje celowe otrzymane z budżetu państwa na realizację zadań bieżących z zakresu administracji rządowej oraz innych zadań zleconych gminie ustawami</t>
  </si>
  <si>
    <t>85204</t>
  </si>
  <si>
    <t>2320</t>
  </si>
  <si>
    <t>Dotacje celowe otrzymane z powiatu na zadania bieżące realizowane na podstawie porozumień (umów) między jst</t>
  </si>
  <si>
    <t>85212</t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</si>
  <si>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</si>
  <si>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</si>
  <si>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</si>
  <si>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 naturze oraz składki na ubezpieczenia emerytalne i rentowe</t>
  </si>
  <si>
    <t>Dotacje celowe otrzymane z budżetu państwa na realizację własnych zadań bieżących gmin</t>
  </si>
  <si>
    <t>85215</t>
  </si>
  <si>
    <r>
      <t xml:space="preserve">Wpływy z różnych dochodów </t>
    </r>
    <r>
      <rPr>
        <sz val="8"/>
        <rFont val="Times New Roman CE"/>
        <family val="1"/>
      </rPr>
      <t xml:space="preserve"> (zwrot nadpłaconych dodatków)</t>
    </r>
  </si>
  <si>
    <t>85219</t>
  </si>
  <si>
    <t>85220</t>
  </si>
  <si>
    <t xml:space="preserve">Jednostki specjalistycznego poradnictwa, mieszkania chronione i ośrodki interwencji kryzysowej </t>
  </si>
  <si>
    <r>
      <t>Wpływy z usług</t>
    </r>
    <r>
      <rPr>
        <sz val="8"/>
        <rFont val="Times New Roman CE"/>
        <family val="1"/>
      </rPr>
      <t xml:space="preserve"> (odpłatność za pobyt w mieszkaniach chronionych)</t>
    </r>
  </si>
  <si>
    <t>85226</t>
  </si>
  <si>
    <t>Ośrodki opiekuńczo-wychowawcze</t>
  </si>
  <si>
    <t>85228</t>
  </si>
  <si>
    <r>
      <t xml:space="preserve">Wpływy z usług  </t>
    </r>
    <r>
      <rPr>
        <sz val="7"/>
        <rFont val="Times New Roman CE"/>
        <family val="1"/>
      </rPr>
      <t>(odpłatność za usługi opiekuńcze)</t>
    </r>
  </si>
  <si>
    <t>85295</t>
  </si>
  <si>
    <r>
      <t>Wpływy z usług  (</t>
    </r>
    <r>
      <rPr>
        <sz val="7"/>
        <rFont val="Times New Roman CE"/>
        <family val="1"/>
      </rPr>
      <t>odpłatność za usługi transportowe)</t>
    </r>
  </si>
  <si>
    <r>
      <t xml:space="preserve">Wpływy z różnych dochodów - </t>
    </r>
    <r>
      <rPr>
        <b/>
        <i/>
        <sz val="8"/>
        <rFont val="Times New Roman CE"/>
        <family val="0"/>
      </rPr>
      <t>prace społecznie-użyteczne</t>
    </r>
  </si>
  <si>
    <t>853</t>
  </si>
  <si>
    <t>POZOSTAŁE ZADANIA W ZAKRESIE POLITYKI SPOŁECZNEJ</t>
  </si>
  <si>
    <t>85305</t>
  </si>
  <si>
    <t>85311</t>
  </si>
  <si>
    <t>85321</t>
  </si>
  <si>
    <t>Zespoły do spraw orzekania o niepełnosprawności</t>
  </si>
  <si>
    <t>Dotacje celowe otrzymane z budżetu państwa na zadania  bieżące z zakresu administracji rządowej  oraz inne zadania zlecone ustawami realizowane przez powiat</t>
  </si>
  <si>
    <t>85324</t>
  </si>
  <si>
    <t>Państwowy Fundusz Rehabilitacji Osób Niepełnosprawnych</t>
  </si>
  <si>
    <t>Wpływy z różnych dochodów (PFRON)</t>
  </si>
  <si>
    <t>854</t>
  </si>
  <si>
    <t>EDUKACYJNA   OPIEKA WYCHOWAWCZA</t>
  </si>
  <si>
    <t>85403</t>
  </si>
  <si>
    <t>Specjalne ośrodki szkolno -wychowawcze</t>
  </si>
  <si>
    <t>85406</t>
  </si>
  <si>
    <t>Poradnia psychologiczno - pedagogiczna</t>
  </si>
  <si>
    <t>85407</t>
  </si>
  <si>
    <t>Placówki wychowania pozaszkolnego MDK</t>
  </si>
  <si>
    <t>85410</t>
  </si>
  <si>
    <t>85415</t>
  </si>
  <si>
    <t>Dotacje celowe otrzymane z budzetu państwa na realizazję własnych zadań bieżących gmin</t>
  </si>
  <si>
    <t>85417</t>
  </si>
  <si>
    <t>Szkolne schroniska młodzieżowe</t>
  </si>
  <si>
    <t>900</t>
  </si>
  <si>
    <t>GOSPODARKA KOMUNALNA I  OCHRONA ŚRODOWISKA</t>
  </si>
  <si>
    <t>90003</t>
  </si>
  <si>
    <t>90013</t>
  </si>
  <si>
    <t>Opłaty za schronisko</t>
  </si>
  <si>
    <t>90095</t>
  </si>
  <si>
    <t>6290</t>
  </si>
  <si>
    <t>921</t>
  </si>
  <si>
    <t>92105</t>
  </si>
  <si>
    <t>92106</t>
  </si>
  <si>
    <t>Teatry dramatyczne i lalkowe</t>
  </si>
  <si>
    <r>
      <t>Środki na dofinansowanie własnych inwestycji gmin, powiatów pozyskane z innych źródeł</t>
    </r>
  </si>
  <si>
    <t>92108</t>
  </si>
  <si>
    <t>Filharmonie, orkiestry, chóre i kapele</t>
  </si>
  <si>
    <t>92116</t>
  </si>
  <si>
    <t>926</t>
  </si>
  <si>
    <t>OGÓŁEM DOCHODY</t>
  </si>
  <si>
    <t>NA ZADANIA WŁASNE</t>
  </si>
  <si>
    <t>w tym:</t>
  </si>
  <si>
    <t xml:space="preserve">           porozumienia z jednostkami 
           samorządu terytorialnego</t>
  </si>
  <si>
    <t>NA ZADANIA ZLECONE</t>
  </si>
  <si>
    <t>GMINA OGÓŁEM</t>
  </si>
  <si>
    <t>POWIAT OGÓŁEM</t>
  </si>
  <si>
    <t xml:space="preserve">            ROCZNE  SPRAWOZDANIE O NADWYŻCE/DEFICYCIE</t>
  </si>
  <si>
    <t>A. DOCHODY</t>
  </si>
  <si>
    <t>B. WYDATKI (B1+B2)</t>
  </si>
  <si>
    <t>B1. Wydatki bieżące</t>
  </si>
  <si>
    <t>B2. Wydatki majątkowe</t>
  </si>
  <si>
    <t>C. NADWYŻKA/DEFICYT (A-B)</t>
  </si>
  <si>
    <t>D. FINANSOWANIE (D1-D2)</t>
  </si>
  <si>
    <t>D1. Przychody ogółem z tego:</t>
  </si>
  <si>
    <t>D11. Kredyty i pożyczki w tym:</t>
  </si>
  <si>
    <t>D111. na realizacje programów i projektów realizowanych z udziałem środków, o których mowa w art..5 ust. 3 ustawy o finansach publicznych</t>
  </si>
  <si>
    <t>D12.  spłaty pożyczek udzielonych</t>
  </si>
  <si>
    <t>D13.  nadwyżka z lat ubiegłych w tym:</t>
  </si>
  <si>
    <t>D131. Środki na pokrycie deficytu</t>
  </si>
  <si>
    <t>D14. Papiery wartościowe w tym:</t>
  </si>
  <si>
    <t>D141. na realizacje programów i projektów realizowanych z udziałem środków, o których mowa w art..5 ust. 3 ustawy o finansach publicznych</t>
  </si>
  <si>
    <t>D15. Obligacje jednostek samorządowych oraz związków komunalnych w tym:</t>
  </si>
  <si>
    <t>D151. na realizacje programów i projektów realizowanych z udziałem środków, o których mowa w art..5 ust. 3 ustawy o finansach publicznych</t>
  </si>
  <si>
    <t>D16. Prywatyzacja majątku j.s.t</t>
  </si>
  <si>
    <t>D17. Inne źródła w tym:</t>
  </si>
  <si>
    <t>D171. Środki na pokrycie deficytu</t>
  </si>
  <si>
    <t>D2. Rozchody ogółem z tego:</t>
  </si>
  <si>
    <t>D21. Spłaty kredytów i pożyczek w tym:</t>
  </si>
  <si>
    <t xml:space="preserve">D211. na realizację programów i projektów realizowanych z udziałem środków, o których mowa w art..5 ust. 3 ustawy o finansach publicznych </t>
  </si>
  <si>
    <t>D22. Pożyczki (udzielone)</t>
  </si>
  <si>
    <t>D23. Wykup papierów wartościowych w tym:</t>
  </si>
  <si>
    <t xml:space="preserve">D231. na realizację programów i projektów realizowanych z udziałem środków, o których mowa w art..5 ust. 3 ustawy o finansach publicznych  </t>
  </si>
  <si>
    <t>D24. Wykup obligacji samorządowych w tym:</t>
  </si>
  <si>
    <t xml:space="preserve">D241. na realizację programów i projektów realizowanych z udziałem środków, o których mowa w art..5 ust. 3 ustawy o finansach publicznych   </t>
  </si>
  <si>
    <t>D25. Inne cele</t>
  </si>
  <si>
    <t>w złotych</t>
  </si>
  <si>
    <t xml:space="preserve">Dział </t>
  </si>
  <si>
    <t>WYDATKI OGÓŁEM</t>
  </si>
  <si>
    <t>GMINA WŁASNE</t>
  </si>
  <si>
    <t>POWIAT WŁASNE</t>
  </si>
  <si>
    <t>Rozdz  §</t>
  </si>
  <si>
    <t>Wyszczególnienie</t>
  </si>
  <si>
    <t>Plan pierwotny</t>
  </si>
  <si>
    <t xml:space="preserve">Plan po zmianach </t>
  </si>
  <si>
    <t>Wykonanie</t>
  </si>
  <si>
    <t>%         wyk.</t>
  </si>
  <si>
    <t>Plan po zmianach</t>
  </si>
  <si>
    <t>%        wyk.</t>
  </si>
  <si>
    <t>%     wyk.</t>
  </si>
  <si>
    <t>010</t>
  </si>
  <si>
    <t>ROLNICTWO I  ŁOWIECTWO</t>
  </si>
  <si>
    <t>01000</t>
  </si>
  <si>
    <t>Integracja z Unią Europejską</t>
  </si>
  <si>
    <t>4410</t>
  </si>
  <si>
    <t>Podróże służbowe krajowe</t>
  </si>
  <si>
    <t>01021</t>
  </si>
  <si>
    <t>Inspekcja weterynaryjna</t>
  </si>
  <si>
    <t>3020</t>
  </si>
  <si>
    <t>Nagrody i inne wydatki nie zaliczane do wynagrodzeń</t>
  </si>
  <si>
    <t>3030</t>
  </si>
  <si>
    <t>Różne wydatki na rzecz osób fizycznych</t>
  </si>
  <si>
    <t>4010</t>
  </si>
  <si>
    <t>Wynagrodzenia osobowe pracowników</t>
  </si>
  <si>
    <t>4020</t>
  </si>
  <si>
    <t xml:space="preserve">Wynagrodzenia osobowe członków korpusu służby cywilnej 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</si>
  <si>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</si>
  <si>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</si>
  <si>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</si>
  <si>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</si>
  <si>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</si>
  <si>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</si>
  <si>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</si>
  <si>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</si>
  <si>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4230</t>
  </si>
  <si>
    <t>Zakup leków i materiałów medycznych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</si>
  <si>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</si>
  <si>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</si>
  <si>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</si>
  <si>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</si>
  <si>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</si>
  <si>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</si>
  <si>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</si>
  <si>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</si>
  <si>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</si>
  <si>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 na ZFŚS</t>
  </si>
  <si>
    <t>4480</t>
  </si>
  <si>
    <t>Podatek od nieruchomości</t>
  </si>
  <si>
    <t>4550</t>
  </si>
  <si>
    <t>Szkolenia członków korpusu służby cywilnej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</si>
  <si>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</si>
  <si>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</si>
  <si>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</si>
  <si>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</si>
  <si>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</si>
  <si>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</si>
  <si>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4740</t>
  </si>
  <si>
    <t>Zakup materiałów papierniczych do sprzętu drukarskiego i urządzeń kserograficznych</t>
  </si>
  <si>
    <t xml:space="preserve">Zakup usług pozostałych </t>
  </si>
  <si>
    <t xml:space="preserve">HANDEL </t>
  </si>
  <si>
    <t>TRANSPORT I ŁĄCZNOŚĆ</t>
  </si>
  <si>
    <t>Lokalny transport zbiorowy</t>
  </si>
  <si>
    <t>Wydatki na zakup i objęcie akcji, wniesienie wkładów do spółek prawa handlowego (amfibia)</t>
  </si>
  <si>
    <t>Drogi publiczne w miastach na prawach powiatu</t>
  </si>
  <si>
    <t>Wynagrodzenia bezosobowe</t>
  </si>
  <si>
    <t>Zakup usług obejmujących wykonanie ekspertyz, analiz i opinii</t>
  </si>
  <si>
    <t>Pozostałe odsetki</t>
  </si>
  <si>
    <t>Koszty postępowania sądowego i prokuratorskiego</t>
  </si>
  <si>
    <t>Wydatki inwestycyjne jednostek budżetowych</t>
  </si>
  <si>
    <t>ul. Lechicka (od ul. Słowiańskiej do torów)</t>
  </si>
  <si>
    <t>ul. Mieszka I (od ul. BOWiD do wiaduktu)</t>
  </si>
  <si>
    <t>ul. Połczyńska - (projekt odcinka od ul. Działkowej do ul. Żytniej)</t>
  </si>
  <si>
    <t>ul. Gnieźnieńska (od 4-go Marca do Połczyńskiej)</t>
  </si>
  <si>
    <t xml:space="preserve">ul. Gnieźnieńska - skrzyżowanie z ul. 4-go Marca </t>
  </si>
  <si>
    <t>ul. Kwiatkowskiego</t>
  </si>
  <si>
    <t>ul. Młyńska</t>
  </si>
  <si>
    <t>skrzyżowanie ul.J. Pawła II - Staszica</t>
  </si>
  <si>
    <t>skrzyżowanie ul. A. Krajowej - Bohaterów Warszawy - Morskiej</t>
  </si>
  <si>
    <t>remont obiektów mostowych (ul. Monte Cassino)</t>
  </si>
  <si>
    <t>budowa ścieżek rowerowych</t>
  </si>
  <si>
    <t>remont ul. Kędzierzyńskiej</t>
  </si>
  <si>
    <t xml:space="preserve">Budowa i przebudowa dróg stanowiących zewnętrzny pierścień układu komunikacyjnego </t>
  </si>
  <si>
    <t>Wydatki inwestycyjne jednostek budżetowych - ul. Połczyńska</t>
  </si>
  <si>
    <t xml:space="preserve">Drogi publiczne gminne </t>
  </si>
  <si>
    <t>Osiedle Lipowe - drogi</t>
  </si>
  <si>
    <t>Osiedle Unii Europejskiej - drogi</t>
  </si>
  <si>
    <t>Osiedle Podgórne - Batalionów Chłopskich - drogi</t>
  </si>
  <si>
    <t>ul. Rzeczna (dojazd do Specj. Oś. Szkolno - Wych.)</t>
  </si>
  <si>
    <t>Osiedle Bukowe - drogi</t>
  </si>
  <si>
    <t>Osiedle Topolowe - drogi</t>
  </si>
  <si>
    <t>ul. Lutyków, ul. Obotrytów, ul. P. Skargi, ul. Łużycka, ul. Poprzeczna</t>
  </si>
  <si>
    <t>przebudowa ulicy Brzozowej</t>
  </si>
  <si>
    <t>przebudowa ulic: Zawiszy Czarnego, Dąbrówki, Ks. Anastazji, K. Wielkiego</t>
  </si>
  <si>
    <t>przebudowa ulicy Wenedów</t>
  </si>
  <si>
    <t>remont odcinka ul. Bursztynowej</t>
  </si>
  <si>
    <t>Ewidencja dróg - ZDM</t>
  </si>
  <si>
    <t>Drogi wewnętrzne</t>
  </si>
  <si>
    <t xml:space="preserve">Wydatki inwestycyjne jednostek budżetowych </t>
  </si>
  <si>
    <t>Infrastruktura telekomunikacyjna</t>
  </si>
  <si>
    <t>Zakup usług pozostałych - na utrzymanie nieruchomości przejmowanych przez ZDM od WIK</t>
  </si>
  <si>
    <t>ZDM</t>
  </si>
  <si>
    <t>Wydatki osobowe niezaliczane do wynagrodzeń</t>
  </si>
  <si>
    <t>Dodatkowe wynagrodzenie roczne</t>
  </si>
  <si>
    <t>Składki na ubezpieczenie społeczne</t>
  </si>
  <si>
    <t>Składki na  FP</t>
  </si>
  <si>
    <t>Wpłaty na PFRON</t>
  </si>
  <si>
    <t>Autor dokumentu: Agnieszka Sulewska</t>
  </si>
  <si>
    <t>Wprowadził do BIP: Agnieszka Sulewska</t>
  </si>
  <si>
    <t>GMINA  ZLECONE                                                          I  POROZUMIENIA</t>
  </si>
  <si>
    <t>POWIAT ZLECONE                            I  POROZUMIENIA</t>
  </si>
  <si>
    <t>Infrastruktura kolejowa</t>
  </si>
  <si>
    <t>ulica Lubiatowska</t>
  </si>
  <si>
    <t>skrzyżowanie ul.J. Pawła II - Staszica (porozumienia)</t>
  </si>
  <si>
    <t>ul. Waryńskiego ze skrzyżowaniem z ul. Zwycięstwa, ul. Piłsudskiego, ul. Kościuszki,</t>
  </si>
  <si>
    <t>remont skrzyżowania ulic Monte Cassino - Fałta</t>
  </si>
  <si>
    <t xml:space="preserve">remont odcinka ul. Zwycięstwa </t>
  </si>
  <si>
    <t>Dokumentacje przyszłościowe - ZDM</t>
  </si>
  <si>
    <t>modernizacja rejonu ulic: T. Chałbińskiego - Leśna - Promykowa</t>
  </si>
  <si>
    <t>ul. Reymonta, ul. Staffa, Struga, Tetmajera, Żeromskiego</t>
  </si>
  <si>
    <t>przebudowa rejonu ulic Gnieźnieńskiej, 4 - go Marca, Połczyńskiej</t>
  </si>
  <si>
    <t>ul. Kamieniarska</t>
  </si>
  <si>
    <t>Parking przy ulicy: Na Skarpie - Eugeniusza Kwiatkowskiego</t>
  </si>
  <si>
    <t>przebudowa ul. St. Moniuszki</t>
  </si>
  <si>
    <t>ul. Kosynierów</t>
  </si>
  <si>
    <t>Opłaty za administrowanie i czynsze za budynki, lokale i ponieszczenia garażowe</t>
  </si>
  <si>
    <t xml:space="preserve">Wydatki osobowe niazaliczane do wynagrodzeń </t>
  </si>
  <si>
    <t>Pozostałe podatki na rzecz budżetu państwa</t>
  </si>
  <si>
    <t>Pozostałe odsetki - Km</t>
  </si>
  <si>
    <t>Kary i odszkodowania wypłacane na rzecz osób fizycznych - Km</t>
  </si>
  <si>
    <t>Koszty postępowania sadowego i prokuratorskiego - Km</t>
  </si>
  <si>
    <t>Zakup usług zdrowotnych - BHP</t>
  </si>
  <si>
    <t>Wydz. SO</t>
  </si>
  <si>
    <t>Zakup usług obejmujących wykonanie ekspertyz, alaliz i opinii - OA</t>
  </si>
  <si>
    <t>Zakup usług obejmujących wykonanie ekspertyz, alaliz i opinii - BHP</t>
  </si>
  <si>
    <t>Kary i odszkodowania na rzecz osób fizycznych</t>
  </si>
  <si>
    <t>Zakup energii - PI</t>
  </si>
  <si>
    <t>Zakup usług pozostałych - RWZ</t>
  </si>
  <si>
    <t>Wybory do Rad Osiedli</t>
  </si>
  <si>
    <t xml:space="preserve">Opłaty z tytułu zakupu usług telekomunikacyjnych telefonii stacjonarnej - OA </t>
  </si>
  <si>
    <t>Zakup materiałów papierniczych do sprzętu drukarskiego i urządzeń kserograficznych - OA</t>
  </si>
  <si>
    <t>Zakup akcesoriów komputerowych, w tym programów i licencji - OA</t>
  </si>
  <si>
    <t>Opłaty na rzecz budżetu państwa - Fk</t>
  </si>
  <si>
    <t>Rezerwa celowa (na remonty Rad Osiedli )</t>
  </si>
  <si>
    <t>Rezerwa celowa (na przeciwdziałanie i usuwanie skutków klęsk żywiołowych)</t>
  </si>
  <si>
    <t xml:space="preserve">Wydatki inwestycyjne jednostek budżetowych  </t>
  </si>
  <si>
    <t>"Program Comenius - Partnerskie projekty"</t>
  </si>
  <si>
    <t>Dotacja podmiotowa z budżetu dla uczelni publicznej</t>
  </si>
  <si>
    <t>Dotacje celowe z budżetu ma finansowanie lub dofinansowanie kosztów realizacji inwestycji i zakupów inwestycyjnych iinych jednostek sektora finansów publicznych</t>
  </si>
  <si>
    <t>Środowiskowy Dom Samopomocy przy      ul. Wyspiańskiego 4</t>
  </si>
  <si>
    <t>Świadczenia rodzinne, świadczenia z funduszu alimentacyjnego oraz składki na ubezpieczenia emerytalne i rentowe z ubezpieczenia społecznego</t>
  </si>
  <si>
    <t>"Karuzela - Program profilaktyczny dla rodzin z małoletnimi dziećmi w placówce opiekuńczo - wychowawczej wsparcia dziennego" POROZUNIENIE</t>
  </si>
  <si>
    <t>"Rozwój niespokrewnionych z dzieckiem zawodowych rodzin zastępczych w Ośrodku Adopcyjno - Opiekuńczym w Koszalinie" ROROZUMIENIA</t>
  </si>
  <si>
    <t>"Mam skrzydła - lecę do pracy. Koszaliński program aktywizacji zawodowej osób niepełnosprawnych pozostających bez zatrunienia"</t>
  </si>
  <si>
    <t>Zakup akcesoriów komputerowych, w tym progromów i licencji</t>
  </si>
  <si>
    <r>
      <t>Pozostała działalność</t>
    </r>
  </si>
  <si>
    <t>Koszaliński Program Integracji Społecznej START</t>
  </si>
  <si>
    <t>"Szkoły zawodowe dodają skrzydeł"</t>
  </si>
  <si>
    <t>Dotacje celowe przekazane do samorządu województwa na zadania bieżące realizowane na podstawie porozumień między j.s.t.</t>
  </si>
  <si>
    <t>Dotacje celowe z budżetu dla jednostek niezaliczanych do sektora finansów publicznych realizujących projekty finansowane z udziałem środków z budżetu UE</t>
  </si>
  <si>
    <t>zakup materiałów i wyposażenia</t>
  </si>
  <si>
    <t>Inne formy pomocy dla uczniów</t>
  </si>
  <si>
    <t>Zakup usług i wyposażenia</t>
  </si>
  <si>
    <t>"Umieć czytać historię. Polsko - Niemieckie Spotkania Archiwalne - Koszalin 2008"</t>
  </si>
  <si>
    <t>remont siedziby</t>
  </si>
  <si>
    <t>*</t>
  </si>
  <si>
    <t xml:space="preserve">zakup wyposażenia </t>
  </si>
  <si>
    <t>uroczyste otwarcie wyremontowanej siedziby</t>
  </si>
  <si>
    <t>widowisko OPEROWE</t>
  </si>
  <si>
    <t>na zobowiązania</t>
  </si>
  <si>
    <t>wkład własny do Hanza Jazz Festiwal</t>
  </si>
  <si>
    <t>organizacja KFDF "Młodzi i Film"</t>
  </si>
  <si>
    <t xml:space="preserve">Plan po 
zmianach </t>
  </si>
  <si>
    <t>60001</t>
  </si>
  <si>
    <t>Krajowe pasażerskie przewozy kolejowe</t>
  </si>
  <si>
    <t>2910</t>
  </si>
  <si>
    <t>Wpływy ze zwrotów dotacji wykorzystanych niezgodnie z przeznaczeniem lub pobranych w nadmiernej wysokości</t>
  </si>
  <si>
    <t>60017</t>
  </si>
  <si>
    <t>Wpływy z różnych dochodów:</t>
  </si>
  <si>
    <t>zwrot kosztów przygotowania nieruchomości do zbycia</t>
  </si>
  <si>
    <t>Polit. Koszalińska - za niedotrzymanie warunków umowy</t>
  </si>
  <si>
    <t>71004</t>
  </si>
  <si>
    <r>
      <t xml:space="preserve">Dochody jst związane z realizacją zadań z zakresu administracji rządowej oraz innych zadań zleconych ustawami </t>
    </r>
    <r>
      <rPr>
        <i/>
        <sz val="8.5"/>
        <rFont val="Times New Roman CE"/>
        <family val="1"/>
      </rPr>
      <t>(5% za dowody osobiste)</t>
    </r>
  </si>
  <si>
    <r>
      <t xml:space="preserve">Wpływy z różnych dochodów </t>
    </r>
    <r>
      <rPr>
        <i/>
        <sz val="8"/>
        <rFont val="Times New Roman CE"/>
        <family val="0"/>
      </rPr>
      <t>(rozmowy tel., media, recykling, szkolenia)</t>
    </r>
  </si>
  <si>
    <t>Kwalifikacja wojskowa</t>
  </si>
  <si>
    <t>0460</t>
  </si>
  <si>
    <t>Wpływy z opłaty eksploatacyjnej</t>
  </si>
  <si>
    <t>0900</t>
  </si>
  <si>
    <t>Odsetki od dotacji wykorzystanych niezgodnie z przeznaczeniem lub pobranych w nadmiernej wysokości</t>
  </si>
  <si>
    <r>
      <t xml:space="preserve">Dotacje celowe przekazane z budżetu państwa na realizację inwestycji i zakupów inwestycyjnych własnych gmin - </t>
    </r>
    <r>
      <rPr>
        <b/>
        <i/>
        <sz val="8"/>
        <rFont val="Times New Roman CE"/>
        <family val="0"/>
      </rPr>
      <t>Sala gimnastyczna wraz z boiskiem - Gimnazjum nr 6</t>
    </r>
  </si>
  <si>
    <r>
      <t>Dotacje celowe otrzymane z budżetu państwa na zadania bieżące realizowane przez gminę na podstawie porozumień z organami administracji rządowej -</t>
    </r>
    <r>
      <rPr>
        <i/>
        <sz val="9"/>
        <rFont val="Times New Roman CE"/>
        <family val="0"/>
      </rPr>
      <t xml:space="preserve"> podręczniki dla dzieci romskich</t>
    </r>
  </si>
  <si>
    <r>
      <t xml:space="preserve">Środki na dofinansowanie własnych zadań bieżących gmin pozyskane z innych źródeł - </t>
    </r>
    <r>
      <rPr>
        <b/>
        <i/>
        <sz val="9"/>
        <rFont val="Times New Roman CE"/>
        <family val="1"/>
      </rPr>
      <t xml:space="preserve">"Śpiewająca Polska" </t>
    </r>
  </si>
  <si>
    <t>Przeciwdziałanie wykluczeniu cyfrowemu uczniów</t>
  </si>
  <si>
    <t>6208</t>
  </si>
  <si>
    <t>Dotacje rozwojowe</t>
  </si>
  <si>
    <t>6209</t>
  </si>
  <si>
    <t>85154</t>
  </si>
  <si>
    <t xml:space="preserve">Program poprawy osiągnięć edukacyjnych uczniów Gimnazjum nr 2 </t>
  </si>
  <si>
    <t>90001</t>
  </si>
  <si>
    <t xml:space="preserve">Dotacje przekazane z funduszy celowych na realizacje zadań bieżących jednostek zaliczanych do sektora finansów publicznych </t>
  </si>
  <si>
    <r>
      <t xml:space="preserve">Dotacje celowe przekazane z budżetu państwa na realizację inwestycji i zakupów inwestycyjnych własnych gmin - </t>
    </r>
    <r>
      <rPr>
        <b/>
        <i/>
        <sz val="8"/>
        <rFont val="Times New Roman CE"/>
        <family val="0"/>
      </rPr>
      <t>Hala widowiskowo - sportowa</t>
    </r>
  </si>
  <si>
    <t>Autor dokumentu: Sylwia Szpak</t>
  </si>
  <si>
    <t>Wprowadził do BIP:Agnieszka  Sulewska</t>
  </si>
  <si>
    <t>Data wprowadzenia do BIP: 19.04.2010 r.</t>
  </si>
  <si>
    <t xml:space="preserve"> WYKONANIE   PLANU   WYDATKÓW   MIASTA   KOSZALINA   ZA  2009   ROK                                                                                                    </t>
  </si>
  <si>
    <r>
      <t xml:space="preserve">Wydatki inwestycyjne jednostek budżetowych - </t>
    </r>
    <r>
      <rPr>
        <i/>
        <sz val="9"/>
        <rFont val="Calibri"/>
        <family val="2"/>
      </rPr>
      <t>budowa ul.Władysława IV</t>
    </r>
  </si>
  <si>
    <r>
      <t xml:space="preserve">Wydatki inwestycyjne jednostek budżetowych - </t>
    </r>
    <r>
      <rPr>
        <i/>
        <sz val="9"/>
        <rFont val="Calibri"/>
        <family val="2"/>
      </rPr>
      <t>budowa ulicy Śródmiejskiej</t>
    </r>
  </si>
  <si>
    <r>
      <t xml:space="preserve">Wydatki inwestycyjne jednostek budżetowych </t>
    </r>
    <r>
      <rPr>
        <i/>
        <sz val="9"/>
        <rFont val="Calibri"/>
        <family val="2"/>
      </rPr>
      <t>- skrzyżowanie ul.Jana Pawła II - Staszica</t>
    </r>
  </si>
  <si>
    <t>Uzbrojenie Osiedla Wenedów - INW</t>
  </si>
  <si>
    <r>
      <t xml:space="preserve">Zakup usług remontowych </t>
    </r>
    <r>
      <rPr>
        <i/>
        <sz val="9"/>
        <rFont val="Calibri"/>
        <family val="2"/>
      </rPr>
      <t>(w tym 556.730 zł - RO)</t>
    </r>
  </si>
  <si>
    <r>
      <t>Zakup usług pozostałych</t>
    </r>
    <r>
      <rPr>
        <i/>
        <sz val="9"/>
        <rFont val="Calibri"/>
        <family val="2"/>
      </rPr>
      <t xml:space="preserve"> (w tym 3,0 tys. zł - RO)</t>
    </r>
  </si>
  <si>
    <r>
      <t>Wydatki inwestycyjne jednostek budżetowych (</t>
    </r>
    <r>
      <rPr>
        <i/>
        <sz val="9"/>
        <rFont val="Calibri"/>
        <family val="2"/>
      </rPr>
      <t>w tym RO - 20.000 zł)</t>
    </r>
  </si>
  <si>
    <r>
      <t xml:space="preserve">Wydatki  inwestycyjne jednostek budżetowych </t>
    </r>
    <r>
      <rPr>
        <i/>
        <sz val="9"/>
        <rFont val="Calibri"/>
        <family val="2"/>
      </rPr>
      <t xml:space="preserve">- rozbudowę systemu antywłamaniowego </t>
    </r>
  </si>
  <si>
    <r>
      <t xml:space="preserve">Zakup pozostałych usług - </t>
    </r>
    <r>
      <rPr>
        <i/>
        <sz val="9"/>
        <rFont val="Calibri"/>
        <family val="2"/>
      </rPr>
      <t xml:space="preserve">opracowania, podziały geodezyjne, ekspertyzy, wyrysy </t>
    </r>
  </si>
  <si>
    <r>
      <t xml:space="preserve">Wydatki na zakupy inw. jednostek budżetowych - </t>
    </r>
    <r>
      <rPr>
        <i/>
        <sz val="9"/>
        <rFont val="Calibri"/>
        <family val="2"/>
      </rPr>
      <t>pierwokupy nieruchomości, rozwiązywanie umów notarialnych, wykupy gruntów</t>
    </r>
  </si>
  <si>
    <r>
      <t xml:space="preserve">Wydatki na zakup i objęcie akcji oraz wniesienie wkładów do spółek prawa handlowego - </t>
    </r>
    <r>
      <rPr>
        <i/>
        <sz val="9"/>
        <rFont val="Calibri"/>
        <family val="2"/>
      </rPr>
      <t>KTBS</t>
    </r>
  </si>
  <si>
    <t>Opłaty za administrowanie i czynsze za budynki, lokale i ponieszczenia garażowe - Rp</t>
  </si>
  <si>
    <t>Wydatki na zakupy inwestycyjne jednostek budżetowych - Rp</t>
  </si>
  <si>
    <t>Nagrody o charakterze szczególnym niezaliczone do wynagrodzeń</t>
  </si>
  <si>
    <r>
      <t xml:space="preserve">Zakup usług pozostałych - </t>
    </r>
    <r>
      <rPr>
        <i/>
        <sz val="9"/>
        <rFont val="Calibri"/>
        <family val="2"/>
      </rPr>
      <t>z tytułu  porozumień</t>
    </r>
  </si>
  <si>
    <r>
      <t xml:space="preserve">Zakup usług pozostałych  - </t>
    </r>
    <r>
      <rPr>
        <i/>
        <sz val="9"/>
        <rFont val="Calibri"/>
        <family val="2"/>
      </rPr>
      <t>utrzymanie cmentarza</t>
    </r>
  </si>
  <si>
    <t>Dotacje celowe na pomoc finansową udzielaną między j.s.t. Na dofinansowanie własnych zadań inwestycyjnych i zakupów inwestycyjnych</t>
  </si>
  <si>
    <r>
      <t>Wynagrodzenia agencyjno - prowizyjne</t>
    </r>
    <r>
      <rPr>
        <i/>
        <sz val="9"/>
        <rFont val="Calibri"/>
        <family val="2"/>
      </rPr>
      <t xml:space="preserve"> - IK</t>
    </r>
  </si>
  <si>
    <r>
      <t>Składki na ubezpieczenia społeczne</t>
    </r>
    <r>
      <rPr>
        <i/>
        <sz val="9"/>
        <rFont val="Calibri"/>
        <family val="2"/>
      </rPr>
      <t xml:space="preserve"> - E</t>
    </r>
  </si>
  <si>
    <r>
      <t>Składki na FP</t>
    </r>
    <r>
      <rPr>
        <i/>
        <sz val="9"/>
        <rFont val="Calibri"/>
        <family val="2"/>
      </rPr>
      <t xml:space="preserve"> - OA</t>
    </r>
  </si>
  <si>
    <r>
      <t xml:space="preserve">Składki na FP </t>
    </r>
    <r>
      <rPr>
        <i/>
        <sz val="9"/>
        <rFont val="Calibri"/>
        <family val="2"/>
      </rPr>
      <t>- E</t>
    </r>
  </si>
  <si>
    <r>
      <t>Wynagrodzenia bezosobowe</t>
    </r>
    <r>
      <rPr>
        <i/>
        <sz val="9"/>
        <rFont val="Calibri"/>
        <family val="2"/>
      </rPr>
      <t xml:space="preserve"> - E</t>
    </r>
  </si>
  <si>
    <r>
      <t>Zakup materiałów i wyposażenia</t>
    </r>
    <r>
      <rPr>
        <i/>
        <sz val="9"/>
        <rFont val="Calibri"/>
        <family val="2"/>
      </rPr>
      <t xml:space="preserve"> </t>
    </r>
  </si>
  <si>
    <r>
      <t xml:space="preserve">Zakup usług dostępu do sieci Internet - </t>
    </r>
    <r>
      <rPr>
        <i/>
        <sz val="9"/>
        <rFont val="Calibri"/>
        <family val="2"/>
      </rPr>
      <t>Inf</t>
    </r>
  </si>
  <si>
    <r>
      <t xml:space="preserve">Zakup usług dostępu do sieci Internet - </t>
    </r>
    <r>
      <rPr>
        <i/>
        <sz val="9"/>
        <rFont val="Calibri"/>
        <family val="2"/>
      </rPr>
      <t>BZP</t>
    </r>
  </si>
  <si>
    <r>
      <t>Podróże służbowe zagraniczne -</t>
    </r>
    <r>
      <rPr>
        <i/>
        <sz val="9"/>
        <rFont val="Calibri"/>
        <family val="2"/>
      </rPr>
      <t xml:space="preserve"> RWZ</t>
    </r>
  </si>
  <si>
    <r>
      <t>Koszty postępowania sądowego -</t>
    </r>
    <r>
      <rPr>
        <i/>
        <sz val="9"/>
        <rFont val="Calibri"/>
        <family val="2"/>
      </rPr>
      <t xml:space="preserve"> Rp</t>
    </r>
  </si>
  <si>
    <r>
      <t>Koszty postępowania sądowego -</t>
    </r>
    <r>
      <rPr>
        <i/>
        <sz val="9"/>
        <rFont val="Calibri"/>
        <family val="2"/>
      </rPr>
      <t xml:space="preserve"> OP</t>
    </r>
  </si>
  <si>
    <r>
      <t>Koszty postępowania sądowego -</t>
    </r>
    <r>
      <rPr>
        <i/>
        <sz val="9"/>
        <rFont val="Calibri"/>
        <family val="2"/>
      </rPr>
      <t xml:space="preserve"> Fk</t>
    </r>
  </si>
  <si>
    <r>
      <t xml:space="preserve">Zakup akcesoriów komputerowych, w tym programów i licencji                         </t>
    </r>
    <r>
      <rPr>
        <i/>
        <sz val="9"/>
        <rFont val="Calibri"/>
        <family val="2"/>
      </rPr>
      <t>OA i Inf.</t>
    </r>
  </si>
  <si>
    <r>
      <t>Wynagrodzenia bezosobowe -</t>
    </r>
    <r>
      <rPr>
        <i/>
        <sz val="9"/>
        <rFont val="Calibri"/>
        <family val="2"/>
      </rPr>
      <t xml:space="preserve"> porozum.</t>
    </r>
  </si>
  <si>
    <r>
      <t xml:space="preserve">Zakup usług pozostałych </t>
    </r>
    <r>
      <rPr>
        <i/>
        <sz val="9"/>
        <rFont val="Calibri"/>
        <family val="2"/>
      </rPr>
      <t>- por.  ekspertyzy lekarskie</t>
    </r>
  </si>
  <si>
    <t>"Prezentacje gospodarcze na obszarze Euroregionu Pomerania Schwedt/n. Odrą - Koszalin 2009 do 2011"</t>
  </si>
  <si>
    <r>
      <t xml:space="preserve">Nagrody o charakterze szczególnym niezaliczane do wynagrodzeń - </t>
    </r>
    <r>
      <rPr>
        <i/>
        <sz val="9"/>
        <rFont val="Calibri"/>
        <family val="2"/>
      </rPr>
      <t>USC</t>
    </r>
  </si>
  <si>
    <r>
      <t xml:space="preserve">Składki na ubezpieczenia społeczne - </t>
    </r>
    <r>
      <rPr>
        <i/>
        <sz val="9"/>
        <rFont val="Calibri"/>
        <family val="2"/>
      </rPr>
      <t>RWZ</t>
    </r>
  </si>
  <si>
    <r>
      <t xml:space="preserve">Składki na FP </t>
    </r>
    <r>
      <rPr>
        <i/>
        <sz val="9"/>
        <rFont val="Calibri"/>
        <family val="2"/>
      </rPr>
      <t>- RWZ</t>
    </r>
  </si>
  <si>
    <r>
      <t xml:space="preserve">Wynagrodzenia bezosobowe </t>
    </r>
    <r>
      <rPr>
        <i/>
        <sz val="9"/>
        <rFont val="Calibri"/>
        <family val="2"/>
      </rPr>
      <t>-RWZ</t>
    </r>
  </si>
  <si>
    <r>
      <t>Zakupy materiałów i wyposażenia -</t>
    </r>
    <r>
      <rPr>
        <i/>
        <sz val="9"/>
        <rFont val="Calibri"/>
        <family val="2"/>
      </rPr>
      <t xml:space="preserve"> RWZ</t>
    </r>
  </si>
  <si>
    <r>
      <t xml:space="preserve">Zakup pozostałych usług </t>
    </r>
    <r>
      <rPr>
        <i/>
        <sz val="9"/>
        <rFont val="Calibri"/>
        <family val="2"/>
      </rPr>
      <t>- RWZ</t>
    </r>
  </si>
  <si>
    <r>
      <t>Różne opłaty i składki -  R</t>
    </r>
    <r>
      <rPr>
        <i/>
        <sz val="9"/>
        <rFont val="Calibri"/>
        <family val="2"/>
      </rPr>
      <t>WZ</t>
    </r>
  </si>
  <si>
    <r>
      <t xml:space="preserve">Składki na ubezpieczenia społeczne - </t>
    </r>
    <r>
      <rPr>
        <i/>
        <sz val="9"/>
        <rFont val="Calibri"/>
        <family val="2"/>
      </rPr>
      <t>OA</t>
    </r>
  </si>
  <si>
    <r>
      <t xml:space="preserve">Składki na FP </t>
    </r>
    <r>
      <rPr>
        <i/>
        <sz val="9"/>
        <rFont val="Calibri"/>
        <family val="2"/>
      </rPr>
      <t>- OA</t>
    </r>
  </si>
  <si>
    <r>
      <t xml:space="preserve">Wynagrodzenia bezosobowe </t>
    </r>
    <r>
      <rPr>
        <i/>
        <sz val="9"/>
        <rFont val="Calibri"/>
        <family val="2"/>
      </rPr>
      <t>-OA</t>
    </r>
  </si>
  <si>
    <r>
      <t>Zakupy materiałów i wyposażenia -</t>
    </r>
    <r>
      <rPr>
        <i/>
        <sz val="9"/>
        <rFont val="Calibri"/>
        <family val="2"/>
      </rPr>
      <t xml:space="preserve"> OA</t>
    </r>
  </si>
  <si>
    <r>
      <t xml:space="preserve">Zakup pozostałych usług </t>
    </r>
    <r>
      <rPr>
        <i/>
        <sz val="9"/>
        <rFont val="Calibri"/>
        <family val="2"/>
      </rPr>
      <t>- OA</t>
    </r>
  </si>
  <si>
    <r>
      <t xml:space="preserve">Wydatki na zakupy inwestycyjne jednostek budżetowych - </t>
    </r>
    <r>
      <rPr>
        <i/>
        <sz val="9"/>
        <rFont val="Calibri"/>
        <family val="2"/>
      </rPr>
      <t>zakup projektu multimedialnego</t>
    </r>
  </si>
  <si>
    <r>
      <t xml:space="preserve">Rezerwa celowa </t>
    </r>
    <r>
      <rPr>
        <i/>
        <sz val="8"/>
        <rFont val="Calibri"/>
        <family val="2"/>
      </rPr>
      <t>- na realizacje zadań własnych z zakresu zarządzania kryzysowego</t>
    </r>
  </si>
  <si>
    <r>
      <t xml:space="preserve">Wynagrodzenia osobowe pracowników - IK </t>
    </r>
    <r>
      <rPr>
        <i/>
        <sz val="9"/>
        <rFont val="Calibri"/>
        <family val="2"/>
      </rPr>
      <t>(inkasenci)</t>
    </r>
  </si>
  <si>
    <r>
      <t>Wynagrodzenia agencyjno - prowizyjne -</t>
    </r>
    <r>
      <rPr>
        <i/>
        <sz val="9"/>
        <rFont val="Calibri"/>
        <family val="2"/>
      </rPr>
      <t xml:space="preserve"> Fk</t>
    </r>
  </si>
  <si>
    <r>
      <t>Wynagrodzenia agencyjno - prowizyjne</t>
    </r>
    <r>
      <rPr>
        <i/>
        <sz val="9"/>
        <rFont val="Calibri"/>
        <family val="2"/>
      </rPr>
      <t xml:space="preserve"> IK</t>
    </r>
  </si>
  <si>
    <r>
      <t xml:space="preserve">Składki na ubezpieczenia społeczne -  </t>
    </r>
    <r>
      <rPr>
        <i/>
        <sz val="9"/>
        <rFont val="Calibri"/>
        <family val="2"/>
      </rPr>
      <t>IK</t>
    </r>
  </si>
  <si>
    <r>
      <t>Składki na ubezpieczenia społeczne -</t>
    </r>
    <r>
      <rPr>
        <i/>
        <sz val="9"/>
        <rFont val="Calibri"/>
        <family val="2"/>
      </rPr>
      <t xml:space="preserve"> Fk</t>
    </r>
  </si>
  <si>
    <r>
      <t>Składki na FP -</t>
    </r>
    <r>
      <rPr>
        <i/>
        <sz val="9"/>
        <rFont val="Calibri"/>
        <family val="2"/>
      </rPr>
      <t xml:space="preserve"> IK</t>
    </r>
  </si>
  <si>
    <r>
      <t xml:space="preserve">Składki na FP - </t>
    </r>
    <r>
      <rPr>
        <i/>
        <sz val="9"/>
        <rFont val="Calibri"/>
        <family val="2"/>
      </rPr>
      <t xml:space="preserve"> Fk</t>
    </r>
  </si>
  <si>
    <r>
      <t>Zakup usług pozostałych -</t>
    </r>
    <r>
      <rPr>
        <i/>
        <sz val="9"/>
        <rFont val="Calibri"/>
        <family val="2"/>
      </rPr>
      <t xml:space="preserve"> Fk</t>
    </r>
  </si>
  <si>
    <r>
      <t xml:space="preserve">Zakup usług pozostałych - </t>
    </r>
    <r>
      <rPr>
        <i/>
        <sz val="9"/>
        <rFont val="Calibri"/>
        <family val="2"/>
      </rPr>
      <t>IK</t>
    </r>
  </si>
  <si>
    <t>Różne wydatki na rzecz osób fizycznych - Fk</t>
  </si>
  <si>
    <t>Kary i odszkodowania na rzecz osób fizycznych - Rp</t>
  </si>
  <si>
    <t>Kary i odszkodowania na rzecz osób prawnych i innych jednostek organizacyjnych - Rp</t>
  </si>
  <si>
    <r>
      <t xml:space="preserve">Rezerwy na inwestycje i zakupy inwestycyjne </t>
    </r>
    <r>
      <rPr>
        <i/>
        <sz val="9"/>
        <rFont val="Calibri"/>
        <family val="2"/>
      </rPr>
      <t>(inwestycje zakończone)</t>
    </r>
  </si>
  <si>
    <r>
      <t>Wydatki inwestycyjne jednostek budżetowych               (</t>
    </r>
    <r>
      <rPr>
        <i/>
        <sz val="9"/>
        <rFont val="Calibri"/>
        <family val="2"/>
      </rPr>
      <t>w tym: IK -4.108.420 zł - boisko sportowe przy ZS 13, SP 7, SP 13</t>
    </r>
    <r>
      <rPr>
        <sz val="9"/>
        <rFont val="Calibri"/>
        <family val="2"/>
      </rPr>
      <t>)</t>
    </r>
  </si>
  <si>
    <r>
      <t xml:space="preserve">Wydatki inwestycyjne jednostek budżetowych         </t>
    </r>
    <r>
      <rPr>
        <i/>
        <sz val="9"/>
        <rFont val="Calibri"/>
        <family val="2"/>
      </rPr>
      <t>(w tym: IK - 601,2 tys. zł - sala sport. przy gim. Nr6)</t>
    </r>
  </si>
  <si>
    <r>
      <t xml:space="preserve">Wydatki inwestycyjne jednostek budżetowych </t>
    </r>
    <r>
      <rPr>
        <i/>
        <sz val="9"/>
        <rFont val="Calibri"/>
        <family val="2"/>
      </rPr>
      <t xml:space="preserve">- modernizacja przedszkoli </t>
    </r>
  </si>
  <si>
    <r>
      <t>Zakup usług pozostałych -</t>
    </r>
    <r>
      <rPr>
        <i/>
        <sz val="9"/>
        <rFont val="Calibri"/>
        <family val="2"/>
      </rPr>
      <t xml:space="preserve"> doskonalenie</t>
    </r>
  </si>
  <si>
    <r>
      <t xml:space="preserve">Składki na ubezpieczenia społeczne  </t>
    </r>
    <r>
      <rPr>
        <i/>
        <sz val="9"/>
        <rFont val="Calibri"/>
        <family val="2"/>
      </rPr>
      <t>- komisje ds. stypendiów szkolnych</t>
    </r>
  </si>
  <si>
    <r>
      <t xml:space="preserve">Składki na FP </t>
    </r>
    <r>
      <rPr>
        <i/>
        <sz val="9"/>
        <rFont val="Calibri"/>
        <family val="2"/>
      </rPr>
      <t>- komisje ds. stypendiów szkolnych</t>
    </r>
  </si>
  <si>
    <r>
      <t xml:space="preserve">Wynagrodzenia bezosobowe </t>
    </r>
    <r>
      <rPr>
        <i/>
        <sz val="9"/>
        <rFont val="Calibri"/>
        <family val="2"/>
      </rPr>
      <t>- komisje ds. stypendiów szkolnych</t>
    </r>
  </si>
  <si>
    <r>
      <t>Zakup materiałów i wyposażenia</t>
    </r>
    <r>
      <rPr>
        <i/>
        <sz val="9"/>
        <rFont val="Calibri"/>
        <family val="2"/>
      </rPr>
      <t xml:space="preserve"> - porozumienia</t>
    </r>
  </si>
  <si>
    <r>
      <t xml:space="preserve">Zakup usług remontowych - </t>
    </r>
    <r>
      <rPr>
        <i/>
        <sz val="9"/>
        <rFont val="Calibri"/>
        <family val="2"/>
      </rPr>
      <t>Rady Osiedli</t>
    </r>
  </si>
  <si>
    <r>
      <t xml:space="preserve">Wydatki inwestycyjne jednostek budżetowych </t>
    </r>
    <r>
      <rPr>
        <i/>
        <sz val="9"/>
        <rFont val="Calibri"/>
        <family val="2"/>
      </rPr>
      <t>- (dach na budynku warsztatów w ZS Nr 10 - 400,0 tys. zł; sala gimnast. ZS Nr 8 - 100,0 tys. zł)</t>
    </r>
  </si>
  <si>
    <r>
      <t xml:space="preserve">Wydatki na zakupy inwestycyjne jednostek budżetowych </t>
    </r>
    <r>
      <rPr>
        <i/>
        <sz val="9"/>
        <rFont val="Calibri"/>
        <family val="2"/>
      </rPr>
      <t xml:space="preserve">(ZS Nr 12) </t>
    </r>
  </si>
  <si>
    <r>
      <t>Dotacja podmiotowa z budżetu dla samorządowej instytucji kultury -</t>
    </r>
    <r>
      <rPr>
        <i/>
        <sz val="9"/>
        <rFont val="Calibri"/>
        <family val="2"/>
      </rPr>
      <t xml:space="preserve"> porozum.</t>
    </r>
  </si>
  <si>
    <r>
      <t xml:space="preserve">Dotacja podmiotowa z budżetu dla niepublicznej jednostki systemu oświaty </t>
    </r>
    <r>
      <rPr>
        <i/>
        <sz val="9"/>
        <rFont val="Calibri"/>
        <family val="2"/>
      </rPr>
      <t>- nauka pływania</t>
    </r>
  </si>
  <si>
    <t xml:space="preserve">Dotacja celowa z budżetu na finansowanie i dofinansowanie zadań zleconych do realizacji stowarzyszeniom </t>
  </si>
  <si>
    <r>
      <t xml:space="preserve">Zakup materiałów i wyposażenia </t>
    </r>
    <r>
      <rPr>
        <b/>
        <sz val="9"/>
        <rFont val="Calibri"/>
        <family val="2"/>
      </rPr>
      <t>"Szkolne projekty Socrates Comenius 2005/2006"</t>
    </r>
  </si>
  <si>
    <t>Comenius 2009/2010 "Wizyta przygotowawcza" - ZS Nr 1</t>
  </si>
  <si>
    <t>Leonardo da Vinci 2009/2010: - "Gastrofach" ZS Nr 12</t>
  </si>
  <si>
    <t xml:space="preserve">Zakup pomocy naukowych, dydaktycznych i książek </t>
  </si>
  <si>
    <t>Comenius 2009/2010 "Skoła Skautów" ("School of Scouts") ZS Nr 7</t>
  </si>
  <si>
    <t>Comenius 2009/2010: "Europa śpiewa" ("Europe Is singing") - SP Integracyjna Nr 21</t>
  </si>
  <si>
    <t>Comenius 2009/2010: "Identyczne Cele, Różne Sposoby, Identyczne Serca, Różne Uczucia" ("Europeans: Identical Aims, Different Ways, Identical Hearts, Different Feelings") - SP Integracyjna Nr 21</t>
  </si>
  <si>
    <t>Comenius 2009/2010:"Przemoc środowiskowa - mediatorzy w szkole bez przemocy" ("Violence as a climate killer - mentors for a violent - free school") - Gimnazjum Nr 2</t>
  </si>
  <si>
    <t>Comenius 2009/2010 "Wizyta przygotowawcza" - SP Nr 4</t>
  </si>
  <si>
    <t>"Przeciwdziałanie wykluczeniu cyfrowemu uczniów koszalińskich szkół"</t>
  </si>
  <si>
    <r>
      <t xml:space="preserve">Dotacja przedmiotowa z budżetu dla pozostałych jednostek sektora finansów publicznych - </t>
    </r>
    <r>
      <rPr>
        <i/>
        <sz val="9"/>
        <rFont val="Calibri"/>
        <family val="2"/>
      </rPr>
      <t>realizacja "Programu zwalczania narkomanii".</t>
    </r>
  </si>
  <si>
    <r>
      <t xml:space="preserve">Zakup usług zdrowotnych - </t>
    </r>
    <r>
      <rPr>
        <i/>
        <sz val="9"/>
        <rFont val="Calibri"/>
        <family val="2"/>
      </rPr>
      <t>badania lekarskie</t>
    </r>
  </si>
  <si>
    <r>
      <t>Wydatki inwestycyjne jednostek budżetowych  -</t>
    </r>
    <r>
      <rPr>
        <i/>
        <sz val="9"/>
        <rFont val="Calibri"/>
        <family val="2"/>
      </rPr>
      <t xml:space="preserve"> likwidacja barier architektonicznych</t>
    </r>
  </si>
  <si>
    <r>
      <t xml:space="preserve">Wydatki inwestycyjne jednostek budżetowych  - </t>
    </r>
    <r>
      <rPr>
        <b/>
        <sz val="9"/>
        <rFont val="Calibri"/>
        <family val="2"/>
      </rPr>
      <t>budowa Hospicjum</t>
    </r>
  </si>
  <si>
    <r>
      <t xml:space="preserve">Wydatki na zakupy inwestycyjne jednostek budżetowych </t>
    </r>
    <r>
      <rPr>
        <i/>
        <sz val="9"/>
        <rFont val="Calibri"/>
        <family val="2"/>
      </rPr>
      <t>- zestawy komputerowe</t>
    </r>
  </si>
  <si>
    <r>
      <t>Świadczenia społeczne</t>
    </r>
    <r>
      <rPr>
        <b/>
        <sz val="9"/>
        <rFont val="Calibri"/>
        <family val="2"/>
      </rPr>
      <t xml:space="preserve"> -</t>
    </r>
    <r>
      <rPr>
        <b/>
        <i/>
        <sz val="9"/>
        <rFont val="Calibri"/>
        <family val="2"/>
      </rPr>
      <t>(w tym:</t>
    </r>
    <r>
      <rPr>
        <b/>
        <sz val="9"/>
        <rFont val="Calibri"/>
        <family val="2"/>
      </rPr>
      <t xml:space="preserve"> Prace społecznie użyteczne - 334,0 tys. zł)</t>
    </r>
  </si>
  <si>
    <r>
      <t xml:space="preserve">Dotacja podmiotowa z budżetu dla jednostek niezaliczanych do sektora finansów publicznych </t>
    </r>
    <r>
      <rPr>
        <i/>
        <sz val="9"/>
        <rFont val="Calibri"/>
        <family val="2"/>
      </rPr>
      <t>(porozumienia z j.s.t.)</t>
    </r>
  </si>
  <si>
    <t>Powiatowe urządy pracy</t>
  </si>
  <si>
    <t xml:space="preserve">"Program poprawy osiągnięć edukacyjnych uczniów Gimnazjum Nr 2 im. Janusza Korczaka w Koszalinie" </t>
  </si>
  <si>
    <t xml:space="preserve">Dotacja celowa z budżetu na finansowanie  lub dofinansowanie zadań zleconych do realizacji stowarzyszeniom </t>
  </si>
  <si>
    <r>
      <t>Wynagrodzenia osobowe pracowników -</t>
    </r>
    <r>
      <rPr>
        <i/>
        <sz val="9"/>
        <rFont val="Calibri"/>
        <family val="2"/>
      </rPr>
      <t xml:space="preserve"> (na podwyżki wynagrodzeń od września 2009r.)</t>
    </r>
  </si>
  <si>
    <r>
      <t xml:space="preserve">Zakup materiałów i wyposażenia  </t>
    </r>
    <r>
      <rPr>
        <i/>
        <sz val="9"/>
        <rFont val="Calibri"/>
        <family val="2"/>
      </rPr>
      <t>RO</t>
    </r>
  </si>
  <si>
    <r>
      <t>Zakup usług pozostałych</t>
    </r>
    <r>
      <rPr>
        <i/>
        <sz val="9"/>
        <rFont val="Calibri"/>
        <family val="2"/>
      </rPr>
      <t xml:space="preserve"> RO</t>
    </r>
  </si>
  <si>
    <t>Jednostka Realizująca Projekt - "Uporządkowanie gospodarki wodno - ściekowej w m. Koszalin - I etap"</t>
  </si>
  <si>
    <t>Opłaty za administrowanie i czynsze za budynki, lokale i pomieszczenia garażowe</t>
  </si>
  <si>
    <t xml:space="preserve">Gospodarka odpadami </t>
  </si>
  <si>
    <r>
      <t xml:space="preserve">Wydatki inwestycyjne jednostek budżetowych - </t>
    </r>
    <r>
      <rPr>
        <i/>
        <sz val="9"/>
        <rFont val="Calibri"/>
        <family val="2"/>
      </rPr>
      <t>System gospodarki odpadami oraz budowa zakładu termicznego przekształcania odpadów dla miast i gmin Pomorza Środkowego</t>
    </r>
  </si>
  <si>
    <r>
      <t xml:space="preserve">Zakup usług pozostałych </t>
    </r>
    <r>
      <rPr>
        <b/>
        <i/>
        <sz val="9"/>
        <rFont val="Calibri"/>
        <family val="2"/>
      </rPr>
      <t>- roboty publiczne</t>
    </r>
  </si>
  <si>
    <r>
      <t xml:space="preserve">Zakup usług pozostałych - </t>
    </r>
    <r>
      <rPr>
        <i/>
        <sz val="9"/>
        <rFont val="Calibri"/>
        <family val="2"/>
      </rPr>
      <t>bieżące utrzymanie</t>
    </r>
  </si>
  <si>
    <r>
      <t xml:space="preserve">Wydatki inwestycyjne jednostek budżetowych </t>
    </r>
    <r>
      <rPr>
        <i/>
        <sz val="9"/>
        <rFont val="Calibri"/>
        <family val="2"/>
      </rPr>
      <t>- budowa schroniska</t>
    </r>
  </si>
  <si>
    <t>Zakup usług remontowych (w tym: RO - 298.000 zł)</t>
  </si>
  <si>
    <r>
      <t xml:space="preserve">Zakup usług pozostałych - </t>
    </r>
    <r>
      <rPr>
        <i/>
        <sz val="9"/>
        <rFont val="Calibri"/>
        <family val="2"/>
      </rPr>
      <t xml:space="preserve">organizacja różnych imprez </t>
    </r>
  </si>
  <si>
    <t>Festiwal Muzyki Polskiej "Swego nie znacie" - wkład własny</t>
  </si>
  <si>
    <r>
      <t>Zakup materiałów i wyposażenia</t>
    </r>
    <r>
      <rPr>
        <i/>
        <sz val="9"/>
        <rFont val="Calibri"/>
        <family val="2"/>
      </rPr>
      <t xml:space="preserve"> - porozum.</t>
    </r>
  </si>
  <si>
    <r>
      <t>Wydatki inwestycyjne jednostek budżetowych -</t>
    </r>
    <r>
      <rPr>
        <i/>
        <sz val="9"/>
        <rFont val="Calibri"/>
        <family val="2"/>
      </rPr>
      <t xml:space="preserve"> sala koncertowa</t>
    </r>
  </si>
  <si>
    <r>
      <t xml:space="preserve">Dotacje celowe z budżetu na finansowanie  lub dofinansowanie kosztów realizacji inwestycji i zakupów inwestycyjnych  innych jednostek sektora finansów publicznych - </t>
    </r>
    <r>
      <rPr>
        <i/>
        <sz val="9"/>
        <rFont val="Calibri"/>
        <family val="2"/>
      </rPr>
      <t>zakup instrumentów *</t>
    </r>
  </si>
  <si>
    <t>Sylwester 2009/2010</t>
  </si>
  <si>
    <r>
      <t xml:space="preserve">Wydatki inwestycyjne jednostek budżetowych </t>
    </r>
    <r>
      <rPr>
        <i/>
        <sz val="9"/>
        <rFont val="Calibri"/>
        <family val="2"/>
      </rPr>
      <t>- akustyka</t>
    </r>
  </si>
  <si>
    <r>
      <t>Wydatki inwestycyjne jednostek budżetowych -</t>
    </r>
    <r>
      <rPr>
        <i/>
        <sz val="8"/>
        <rFont val="Calibri"/>
        <family val="2"/>
      </rPr>
      <t>MDK</t>
    </r>
  </si>
  <si>
    <t>współwydanie książki pn. "Z dala od centrum: Rok 1968 na Pomorzu Zachodnim"</t>
  </si>
  <si>
    <t>remont schodów do budynku Biblioteki</t>
  </si>
  <si>
    <t>projekt nowego ogrodzenia posesji</t>
  </si>
  <si>
    <r>
      <t xml:space="preserve">Wydatki inwestycyjne jednostek budżetowych </t>
    </r>
    <r>
      <rPr>
        <i/>
        <sz val="9"/>
        <rFont val="Calibri"/>
        <family val="2"/>
      </rPr>
      <t>(elewacja - IK)</t>
    </r>
  </si>
  <si>
    <r>
      <t>Zakup usług remontowych -</t>
    </r>
    <r>
      <rPr>
        <i/>
        <sz val="9"/>
        <rFont val="Calibri"/>
        <family val="2"/>
      </rPr>
      <t>remont murów miejskich</t>
    </r>
  </si>
  <si>
    <r>
      <t xml:space="preserve">Zakup materiałów i wyposażenia - </t>
    </r>
    <r>
      <rPr>
        <i/>
        <sz val="9"/>
        <rFont val="Calibri"/>
        <family val="2"/>
      </rPr>
      <t xml:space="preserve"> RO</t>
    </r>
  </si>
  <si>
    <r>
      <t>Zakup usług pozostałych -</t>
    </r>
    <r>
      <rPr>
        <i/>
        <sz val="9"/>
        <rFont val="Calibri"/>
        <family val="2"/>
      </rPr>
      <t xml:space="preserve"> KS</t>
    </r>
  </si>
  <si>
    <r>
      <t>Zakup usług pozostałych -</t>
    </r>
    <r>
      <rPr>
        <i/>
        <sz val="9"/>
        <rFont val="Calibri"/>
        <family val="2"/>
      </rPr>
      <t xml:space="preserve"> RO</t>
    </r>
  </si>
  <si>
    <r>
      <t xml:space="preserve">Różne opłaty i składki </t>
    </r>
    <r>
      <rPr>
        <i/>
        <sz val="9"/>
        <rFont val="Calibri"/>
        <family val="2"/>
      </rPr>
      <t>- RO</t>
    </r>
  </si>
  <si>
    <r>
      <t xml:space="preserve">Zakup materiałów papierniczych do sprzętu drukarskiego i urządzeń kserograficznych - </t>
    </r>
    <r>
      <rPr>
        <i/>
        <sz val="9"/>
        <rFont val="Calibri"/>
        <family val="2"/>
      </rPr>
      <t>RO</t>
    </r>
  </si>
  <si>
    <r>
      <t>Dotacja celowa z budżetu na finansowanie lub dofinansowanie zadań zleconych do realizacji stowarzyszeniom -</t>
    </r>
    <r>
      <rPr>
        <i/>
        <sz val="9"/>
        <rFont val="Calibri"/>
        <family val="2"/>
      </rPr>
      <t xml:space="preserve"> VI Bałtyckich Igrzysk Młodzieży - Koszalin 2009</t>
    </r>
  </si>
  <si>
    <r>
      <t xml:space="preserve">Dotacje celowe z budżetu na finansowanie  lub dofinansowanie  inwestycji i zakupów inwestycyjnych jednostek nie zaliczanych do sektora finansów publicznych - </t>
    </r>
    <r>
      <rPr>
        <i/>
        <sz val="9"/>
        <rFont val="Calibri"/>
        <family val="2"/>
      </rPr>
      <t>VI Bałtyckich Igrzysk Młodzieży - Koszalin 2009</t>
    </r>
  </si>
  <si>
    <r>
      <t>Zakup materiałów i wyposażenia -</t>
    </r>
    <r>
      <rPr>
        <i/>
        <sz val="9"/>
        <rFont val="Calibri"/>
        <family val="2"/>
      </rPr>
      <t xml:space="preserve"> RO</t>
    </r>
  </si>
  <si>
    <r>
      <t>Różne opłaty i składki -</t>
    </r>
    <r>
      <rPr>
        <i/>
        <sz val="9"/>
        <rFont val="Calibri"/>
        <family val="2"/>
      </rPr>
      <t xml:space="preserve"> RO</t>
    </r>
  </si>
  <si>
    <t>WYKONANIE   PLANU   DOCHODÓW   MIASTA   KOSZALINA   ZA  2009  ROK</t>
  </si>
  <si>
    <t xml:space="preserve">                              za okres od początku roku do dnia 31 grudnia 2009 r.</t>
  </si>
  <si>
    <t>Data wprowadzenia do BIP: 19.04.2009 r.</t>
  </si>
  <si>
    <t>Współorganizacja koncertu z okazji Dnia Unii Europejskiej, Dnia Zwycięstwa i inauguracji XXX Tygodnia Kultury Studenckiej</t>
  </si>
  <si>
    <t>Organizacja "Majówki 2008"</t>
  </si>
  <si>
    <t>"Dni Koszalina"</t>
  </si>
  <si>
    <t>remont Domku Kata</t>
  </si>
  <si>
    <t>wydanie książki pt.: "Województwo środkowopomorskie"</t>
  </si>
  <si>
    <t>wydanie publikacji pn. "Rejestr Pomników Koszalina"</t>
  </si>
  <si>
    <t>festiwal "Integracja Ty i Ja"</t>
  </si>
  <si>
    <t>wydanie książki "60 lat wojskowego szkolnictwa zawodowego w K-nie"</t>
  </si>
  <si>
    <t>odprawa rentowa</t>
  </si>
  <si>
    <t>wystawa "Prehiostoria Pomorza Środkowego"</t>
  </si>
  <si>
    <t>impreza pn. "Noc muzeów"</t>
  </si>
  <si>
    <t>wykonanie projektu graficznego i druk publikacji "Awangarda w plenerze: Osieki i łazy. Polska awangarda lat 60 - 80 w kolekcji sztuki współczesnej w Muzeum w Koszalinie"</t>
  </si>
  <si>
    <t xml:space="preserve">"Muzealne spotkanie z fotografią" </t>
  </si>
  <si>
    <t xml:space="preserve">archeologiczne wykopaliskowe badania ratownicze 2008 stanowisk zagrożonych woj. Zachodniopomorskiego </t>
  </si>
  <si>
    <t>poprawa bazy umożliwiająca uatrakcyjnienie działań wystawienniczych i oświatowych Muzeum w Koszalinie</t>
  </si>
  <si>
    <t>refundacja kosztów dot. Wykopalisk na Rynku Miejskim</t>
  </si>
  <si>
    <t xml:space="preserve">druk folderów, plakatów </t>
  </si>
  <si>
    <t>porozumienie</t>
  </si>
  <si>
    <t>monitoring Muzeum</t>
  </si>
  <si>
    <t>dziedziniec oraz droga dojazdowa do działu archeologii</t>
  </si>
  <si>
    <t>wymiana instalacji elektrycznej w salach wystawowych</t>
  </si>
  <si>
    <t>remont klatki schodowej</t>
  </si>
  <si>
    <t>Dotacja podmiotowa z budżetu dla samorządowej instytucji kultury (na realizację zadań dofinans. ze środków zewnętrznych)</t>
  </si>
  <si>
    <t>Zakup usług pozostałych - "Sportowa Dolina"</t>
  </si>
  <si>
    <t>Hala widowiskowo - sportowa</t>
  </si>
  <si>
    <t>Boisko sportowe przy SP Nr 18 ul. St. Staszica</t>
  </si>
  <si>
    <t>Boisko sportowe przy SP Nr 10</t>
  </si>
  <si>
    <t>Boisko sportowe przy SP Nr 17</t>
  </si>
  <si>
    <t>Boiska sportowe na Osiedlu Wenedów</t>
  </si>
  <si>
    <t>na podstawie porozumień z organami administracji rządowej</t>
  </si>
  <si>
    <t>Zakup usług zdrowotnych</t>
  </si>
  <si>
    <t>Zakup pozostałych usług</t>
  </si>
  <si>
    <t>Zakup usług dostępu do sieci Internet</t>
  </si>
  <si>
    <t xml:space="preserve">Opłaty z tytułu zakupu usług telekomunikacyjnych telefonii komórkowej </t>
  </si>
  <si>
    <t>Opłaty z tytułu zakupu usług telekomunikacyjnych telefonii stacjonarnej</t>
  </si>
  <si>
    <t>Opłaty czynszowe za pomieszczenie biurowe</t>
  </si>
  <si>
    <t>Podróże  służbowe zagraniczne</t>
  </si>
  <si>
    <t xml:space="preserve">Podatek od nieruchomości </t>
  </si>
  <si>
    <t>Szkolenia pracowników niebędących członkami korpusu służby cywilnej</t>
  </si>
  <si>
    <t>Zakup akcesoriów komputerowych, w tym programów i licencji</t>
  </si>
  <si>
    <t xml:space="preserve">Wydatki na zakupy inwestycyjne jednostek budżetowych </t>
  </si>
  <si>
    <t>TURYSTYKA</t>
  </si>
  <si>
    <t>Zdania w zakresie upowszechniania turystyki</t>
  </si>
  <si>
    <t xml:space="preserve">Dotacja celowa z budżetu na finansowanie lub dofinansowanie zadań zleconych do realizacji stowarzyszeniom </t>
  </si>
  <si>
    <t xml:space="preserve">Dotacja celowa z budżetu na finansowanie lub dofinansowanie zadań zleconych do realizacji fundacjom </t>
  </si>
  <si>
    <t>Zakup materiałów i wyposażenia - RWZ</t>
  </si>
  <si>
    <t>Zakup usług pozostałych  - RWZ</t>
  </si>
  <si>
    <t>"Szlak gotyku ceglanego EuRoB II"</t>
  </si>
  <si>
    <t>Podróże służbowe zagraniczne</t>
  </si>
  <si>
    <t>"Transgraniczna wymiana daświadczeń w Euroregionie Pomerania"</t>
  </si>
  <si>
    <t>Zakup usług obejmujących tłumaczenia</t>
  </si>
  <si>
    <t>"Reaktywacja połączenia kolejowego Koszalin - Mielno"</t>
  </si>
  <si>
    <t>Dotacja celowa na pomoc finansową udzielaną między j.s.t. na dofinansowanie własnych zadań bieżących</t>
  </si>
  <si>
    <t>GOSPODARKA MIESZKANIOWA</t>
  </si>
  <si>
    <t>Zakłady gospodarki mieszkaniowej - ZBM</t>
  </si>
  <si>
    <t>Dotacja przedmiotowa z budżetu dla zakładu budżetowego</t>
  </si>
  <si>
    <t>Dotacje celowe z budżetu na finansowanie lub dofinansowanie kosztów realizacji inwestycji i zakupów inwestycyjnych zakładów budżetowych</t>
  </si>
  <si>
    <t>Gospodarka gruntami i nieruchomościami</t>
  </si>
  <si>
    <t>Zakup pozostałych usług - OP</t>
  </si>
  <si>
    <t>Zakup pozostałych usług - KS</t>
  </si>
  <si>
    <t>Zakup pomocy naukowych, dydaktycznych i książek</t>
  </si>
  <si>
    <t xml:space="preserve">Zakup usług obejmujących wykonanie ekspertyz, analiz i opinii </t>
  </si>
  <si>
    <t>Pozostałe podatki na rzecz budżetów jednostek samorządu terytorialnego</t>
  </si>
  <si>
    <t>Opłaty na rzecz budżetów j.s.t.</t>
  </si>
  <si>
    <t>Podatek od towarów i usług VAT</t>
  </si>
  <si>
    <t>Kary i odszkodowania wypłacane na rzecz osób fizycznych</t>
  </si>
  <si>
    <t>Kary i odszkodowania wypłacane na rzecz osób prawnych i innych jednostek organizacyjnych</t>
  </si>
  <si>
    <t>Koszty postępowania sadowego i prokuratorskiego</t>
  </si>
  <si>
    <t>Odsetki od nieterminowych wpłat podatku od towarów i usług VAT</t>
  </si>
  <si>
    <t>Towarzystwa budownictwa społecznego</t>
  </si>
  <si>
    <t>Zakup materiałów i wyposażenia  - RO</t>
  </si>
  <si>
    <t>Zakup pozostałych usług -RO</t>
  </si>
  <si>
    <t>Składki na FP</t>
  </si>
  <si>
    <t>Budowa budynku komunalnego</t>
  </si>
  <si>
    <t>DZIAŁALNOŚĆ USŁUGOWA</t>
  </si>
  <si>
    <t>Plany zagospodarowania przestrzennego</t>
  </si>
  <si>
    <t>Składki na Fundusz Pracy</t>
  </si>
  <si>
    <t>Prace geodezyjne i kartograficzne (nieinwestycyjne)</t>
  </si>
  <si>
    <t>Opracowania geodezyjne i kartograficzne</t>
  </si>
  <si>
    <t>Nadzór budowlany</t>
  </si>
  <si>
    <t>Krajowe podróże służbowe</t>
  </si>
  <si>
    <t>Wydatki na zakupy inwestycyjne jednostek budżetowych</t>
  </si>
  <si>
    <t>Cmentarze</t>
  </si>
  <si>
    <t>ADMINISTRACJA PUBLICZNA</t>
  </si>
  <si>
    <t>Urzędy Wojewódzkie</t>
  </si>
  <si>
    <t xml:space="preserve"> </t>
  </si>
  <si>
    <t>Starostwa powiatowe</t>
  </si>
  <si>
    <t>Dotacje celowe przekazane dla powiatu na zadania bieżące realizowane na podstawie porozumień między j.s.t.</t>
  </si>
  <si>
    <t>Wynagrodzenia osobowe</t>
  </si>
  <si>
    <t>Zakup materiałów i wyposażenia - Km</t>
  </si>
  <si>
    <t>Zakup usług pozostałych - Km</t>
  </si>
  <si>
    <t>Rada Miejska</t>
  </si>
  <si>
    <t>Biuro Rady Miejskiej</t>
  </si>
  <si>
    <t xml:space="preserve">Nagrody o charakterze szczególnym niezaliczane do wynagrodzeń </t>
  </si>
  <si>
    <t>Młodzieżowa Rada Miasta</t>
  </si>
  <si>
    <t>Urząd Miejski</t>
  </si>
  <si>
    <t>Organizacyjno-Administr.</t>
  </si>
  <si>
    <t>Straż Miejska</t>
  </si>
  <si>
    <t>Rp</t>
  </si>
  <si>
    <t>USC</t>
  </si>
  <si>
    <t>BHP</t>
  </si>
  <si>
    <t>Różne wydatki na rzecz osób fizycznych - OA</t>
  </si>
  <si>
    <t>Nagrody o charakterze szczególnym niezaliczane do wynagrodzeń - USC</t>
  </si>
  <si>
    <t xml:space="preserve">Wynagrodzenia agencyjno - prowizyjne </t>
  </si>
  <si>
    <t xml:space="preserve">Składki na ubezpieczenia społeczne </t>
  </si>
  <si>
    <t>Organizacujno-Administ.</t>
  </si>
  <si>
    <t xml:space="preserve"> Straż Miejska</t>
  </si>
  <si>
    <t xml:space="preserve"> Komunikacja</t>
  </si>
  <si>
    <t xml:space="preserve"> Biuro Informatyki </t>
  </si>
  <si>
    <t xml:space="preserve">BHP </t>
  </si>
  <si>
    <t xml:space="preserve">Zakup usług remontowych </t>
  </si>
  <si>
    <t>Wydz. O- A</t>
  </si>
  <si>
    <t>Zakup usług pozostałych  w tym:</t>
  </si>
  <si>
    <t>Wydz. Komunikacja</t>
  </si>
  <si>
    <t>Wydz. Fk</t>
  </si>
  <si>
    <t>Biuro Zamówień Publicznych</t>
  </si>
  <si>
    <t>Inf.</t>
  </si>
  <si>
    <t>Opłaty z tytułu zakupu usług telekomunikacyjnych telefonii komórkowej - OA</t>
  </si>
  <si>
    <t>Opłaty z tytułu zakupu usług telekomunikacyjnych telefonii stacjonarnej -OA</t>
  </si>
  <si>
    <t>Różne opłaty i składki Fk</t>
  </si>
  <si>
    <t>Różne opłaty i składki OA</t>
  </si>
  <si>
    <t xml:space="preserve">Wydatki inwestycyjne jednostek budżetowych             </t>
  </si>
  <si>
    <t xml:space="preserve">Wydatki na zakupy inwestycyjne jednostek budżetowych             </t>
  </si>
  <si>
    <t xml:space="preserve">Opłaty z tytułu zakupu usług telekomunikacyjnych telefonii stacjonarnej </t>
  </si>
  <si>
    <t>Promocja jednostek samorządu terytorialnego</t>
  </si>
  <si>
    <t>Dotacja celowa z budżetu na finansowanie lub dofinansowanie zadań zleconych do realizacji stowarzyszeniom</t>
  </si>
  <si>
    <t>Wynagrodzenia bezosobowe - R</t>
  </si>
  <si>
    <t>Zakup materiałów i wyposażenia - PI</t>
  </si>
  <si>
    <t>Zakup materiałów i wyposażenia - R</t>
  </si>
  <si>
    <t>Zakup usług pozostałych - PI</t>
  </si>
  <si>
    <t>Zakup usług pozostałych - R</t>
  </si>
  <si>
    <t>Zakup usług pozostałych - KS</t>
  </si>
  <si>
    <t>Zakup usług do sieci Internet - PI</t>
  </si>
  <si>
    <t>Wynagrodzienia bezosobowe</t>
  </si>
  <si>
    <t>"Promocja rozwoju Koszalina - Vademecum Inwestora"</t>
  </si>
  <si>
    <t>"Koszaliński katolog usług polsko - niemieckich"</t>
  </si>
  <si>
    <t>Składki FP</t>
  </si>
  <si>
    <t>Pozostała działalność RO</t>
  </si>
  <si>
    <t>Nagrody i wydatki osobowe nie zaliczane do wynagrodzeń</t>
  </si>
  <si>
    <t>Zakup usług  pozostałych</t>
  </si>
  <si>
    <t>Zakup akcesoriów komputerowych , w tym programów i licencji</t>
  </si>
  <si>
    <t>Zakup usług do sieci Internet - RWZ</t>
  </si>
  <si>
    <t>Zakup usług obejmujących tłumaczenia - RWZ</t>
  </si>
  <si>
    <t>Zakup usług obejmujących wykonanie ekspertyz, analiz i opinii - RWZ</t>
  </si>
  <si>
    <t xml:space="preserve"> - dofinansowanie Regionalnego Centrum Informacji Europejskiej - RCIE</t>
  </si>
  <si>
    <t xml:space="preserve"> - dofinansowanie działalności CIP</t>
  </si>
  <si>
    <t>URZĘDY NACZELNYCH ORGANÓW WŁADZY PAŃSTWOWEJ, KONTROLI I OCHRONY PRAWA ORAZ SĄDOWNICTWA</t>
  </si>
  <si>
    <t>Urzędy naczelnych organów władzy państwowej, kontroli i ochrony prawa</t>
  </si>
  <si>
    <t xml:space="preserve">Składki na FP </t>
  </si>
  <si>
    <t xml:space="preserve">Zakup materiałów i wyposażenia </t>
  </si>
  <si>
    <t>Wybory Prezydenta Rzeczpospolitej Polskiej</t>
  </si>
  <si>
    <t xml:space="preserve">Nagrody i wydatki osobowe nie zaliczane do wynagrodzeń </t>
  </si>
  <si>
    <t>OBRONA NARODOWA</t>
  </si>
  <si>
    <t>Pozostałe wydatki obronne</t>
  </si>
  <si>
    <t>Zakup pomocy nauk., dydaktycznych i książek</t>
  </si>
  <si>
    <t>BEZPIECZEŃSTWO PUBLICZNE I OCHRONA PRZECIWPOŻAROWA</t>
  </si>
  <si>
    <t>Komendy powiatowe Policji</t>
  </si>
  <si>
    <t>Wpłaty jednostek na fundusz celowy</t>
  </si>
  <si>
    <t>Wpłaty jednostek na fundusz celowy na finansowanie lub dofinansowanie zadań inwestycyjnych</t>
  </si>
  <si>
    <t>Komendy powiatowe Państwowej Straży Pożarnej</t>
  </si>
  <si>
    <t>Wydatki osobowe niezaliczane do uposażeń wypłacane żołnierzom i funkcjonariuszom</t>
  </si>
  <si>
    <t xml:space="preserve">Wynagrodzenia osobowe pracowników 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</si>
  <si>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</si>
  <si>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</si>
  <si>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</si>
  <si>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Uposazenia i świadczenia pieniężne wypłacane przez okres roku żoł. i funkcjon. zwolnionym ze służby</t>
  </si>
  <si>
    <t>Równoważniki pieniężne i ekwiwalenty dla żołnierzy i funkcjonariuszy</t>
  </si>
  <si>
    <t>Zakup sprzętu i ubrojenia</t>
  </si>
  <si>
    <t>Zakup środków żywności</t>
  </si>
  <si>
    <t>Zakup sprzętu i uzbrojenia</t>
  </si>
  <si>
    <t>Opłaty z tytułu zakupu usług telekomunikacyjnych telefonii komórkowej</t>
  </si>
  <si>
    <t>Odpisy na ZFŚS</t>
  </si>
  <si>
    <t>Opłaty na rzecz budżetu państwa</t>
  </si>
  <si>
    <t>Dotacje celowe z budżetu na finansowanie lub dofinansowanie kosztów realizacji inwestycji i zakupów inwestycyjnych innych jednostek sektora finansów publicznych</t>
  </si>
  <si>
    <t>Ochotnicze straże pożarne</t>
  </si>
  <si>
    <t>Dotacja celowa z budżetu  lub dofinansowanie zadań zleconych do realizacji stowarzyszeniom</t>
  </si>
  <si>
    <t>Obrona cywilna</t>
  </si>
  <si>
    <t>Zarządzanie Kryzysowe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</si>
  <si>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</si>
  <si>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</si>
  <si>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bezosobowe - IK</t>
  </si>
  <si>
    <t>Różne opłaty i składki -Rp</t>
  </si>
  <si>
    <t>Różne opłaty i składki -Fk</t>
  </si>
  <si>
    <t>Fk</t>
  </si>
  <si>
    <t>OP</t>
  </si>
  <si>
    <t>OBSŁUGA DŁUGU PUBLICZNEGO</t>
  </si>
  <si>
    <t>Obsługa papierów wartościowych, kredytów i  pożyczek j.s.t.</t>
  </si>
  <si>
    <t>Odsetki i dyskonto od krajowych skarbowych papierów wartościowych oraz od krajowych pożyczek i kredytów</t>
  </si>
  <si>
    <t>RÓŻNE ROZLICZENIA</t>
  </si>
  <si>
    <t>Część równoważąca subwencji ogólnej dla powiatów</t>
  </si>
  <si>
    <t>Wpłaty jednostek samorządu terytorialnego do budżetu państwa</t>
  </si>
  <si>
    <t>Rezerwy ogólne i celowe</t>
  </si>
  <si>
    <t>Rezerwa celowa (na realizację zadań dofinans. ze środków zewnętrznych)</t>
  </si>
  <si>
    <t>Rezerwa ogólna do 1% wydatków</t>
  </si>
  <si>
    <t>OŚWIATA I WYCHOWANIE</t>
  </si>
  <si>
    <t>Szkoły podstawowe</t>
  </si>
  <si>
    <t>Dotacja podmiotowa z budżetu dla niepublicznej jednostki systemu oświaty</t>
  </si>
  <si>
    <t>Wydatki osobowe niezaliczone do wynagrodzeń</t>
  </si>
  <si>
    <t>Zakupy pomocy naukowych, dydaktycznych i książek</t>
  </si>
  <si>
    <t xml:space="preserve">Zakup usług obejmujących tłumaczenia </t>
  </si>
  <si>
    <t>Szkoły podstawowe specjalne</t>
  </si>
  <si>
    <t>Świadczenia społeczne</t>
  </si>
  <si>
    <t>Składki na ubezpieczenia zdrowotne</t>
  </si>
  <si>
    <t>Oddziały przedszkolne w szkołach podstawowych</t>
  </si>
  <si>
    <t xml:space="preserve">Przedszkola </t>
  </si>
  <si>
    <t>Dotacja podmiotowa z budżetu dla zakładu budżetowego</t>
  </si>
  <si>
    <t>Przedszkola specjalne</t>
  </si>
  <si>
    <t>Gimnazja</t>
  </si>
  <si>
    <t>Gimnazja specjalne</t>
  </si>
  <si>
    <t>Zakup pomocy naukowych, dydakt. i książek</t>
  </si>
  <si>
    <t>Zespół Obsługi Ekonomiczno - Administracyjnej Szkół (Przedszkoli Miejskich)</t>
  </si>
  <si>
    <t>Licea ogólnokształcące</t>
  </si>
  <si>
    <t>Zakup usług remont. KS</t>
  </si>
  <si>
    <t>Licea profilowane</t>
  </si>
  <si>
    <t xml:space="preserve">Szkoły zawodowe </t>
  </si>
  <si>
    <t>Dotacja podmiotowa z budżetu dla publicznej jednostki systemu oświaty prowadzonej przez osobę prawną inną niż j.s.t. lub przez osobę fizyczną</t>
  </si>
  <si>
    <t>Zasądzone renty</t>
  </si>
  <si>
    <t>Wpłata na PFRON</t>
  </si>
  <si>
    <t>Szkoły pomaturalne i policealne</t>
  </si>
  <si>
    <t>Dotacja podmiotowa dla niepublicznej szkoły lub innej placówki oświatowo-wychowawczej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</si>
  <si>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</si>
  <si>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</si>
  <si>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</si>
  <si>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</si>
  <si>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>Dotacja podmiotowa dla zakładu budżetowego</t>
  </si>
  <si>
    <t>Odpis na ZFŚS emerytów</t>
  </si>
  <si>
    <t xml:space="preserve">Dotacje celowe z budżetu na finansowanie  lub dofinansowanie kosztów realizacji inwestycji i zakupów inwestycyjnych  innych jednostek sektora finansów publicznych </t>
  </si>
  <si>
    <t>Dotacja podmiotowa z budżetu dla samorządowej instytucji kultury</t>
  </si>
  <si>
    <t>Dotacja podmiotowa z budżetu dla pozostałych jednostek sektorafinansów publicznych</t>
  </si>
  <si>
    <t xml:space="preserve">Wynagrodzenia bezosobowe </t>
  </si>
  <si>
    <t>"Leonardo da Vinci" - Praktyka uczniów technikum samochodowego i mechanicznego w Niemczech szansą poznania rynku UE</t>
  </si>
  <si>
    <t>"Śpiewająca Polska"</t>
  </si>
  <si>
    <t xml:space="preserve">SZKOLNICTWO WYŻSZE </t>
  </si>
  <si>
    <t>Pomoc materialna dla studentów i doktorantów</t>
  </si>
  <si>
    <t>Stypendia różne</t>
  </si>
  <si>
    <t>Europejski fundusz stypendialny dla studentów w Koszalinie 2006/2007</t>
  </si>
  <si>
    <t>Stypendia i zasiłki dla studentów</t>
  </si>
  <si>
    <t>Nagrody o charakterze szczególnym niezaliczane do wynagrodzeń</t>
  </si>
  <si>
    <t>OCHRONA ZDROWIA</t>
  </si>
  <si>
    <t>Szpitale ogólne</t>
  </si>
  <si>
    <t>Dotacja celowa z budżetu dla pozostałych jednostek zaliczanych do sektora finansow publicznych</t>
  </si>
  <si>
    <t>Programy polityki zdrowotnej</t>
  </si>
  <si>
    <t>Dotacja podmiotowa z budżetu dla pozostałych jednostek sektora  finansów publicznych</t>
  </si>
  <si>
    <t>Zwalczanie narkomanii</t>
  </si>
  <si>
    <t>ZLECONE 
I POROZUMIENIA</t>
  </si>
  <si>
    <r>
      <t xml:space="preserve">Wpływy z różnych opłat </t>
    </r>
    <r>
      <rPr>
        <i/>
        <sz val="8"/>
        <rFont val="Times New Roman CE"/>
        <family val="0"/>
      </rPr>
      <t>(karta parkingowa)</t>
    </r>
  </si>
  <si>
    <t>75113</t>
  </si>
  <si>
    <t>Wybory do Parlamentu Europejskiego</t>
  </si>
  <si>
    <t>75495</t>
  </si>
  <si>
    <r>
      <t xml:space="preserve">Dotacje celowe otrzymane z budżetu państwa na zadania bieżące realizowane przez powiat na podstawie porozumień z organami administracji rządowej - </t>
    </r>
    <r>
      <rPr>
        <b/>
        <i/>
        <sz val="8"/>
        <rFont val="Times New Roman CE"/>
        <family val="0"/>
      </rPr>
      <t>Razem skuteczni, razem bezpieczni</t>
    </r>
  </si>
  <si>
    <r>
      <t xml:space="preserve">Podatek od działalności gospodarczej osób fizycznych opłacany w formie </t>
    </r>
    <r>
      <rPr>
        <b/>
        <sz val="9"/>
        <rFont val="Times New Roman CE"/>
        <family val="1"/>
      </rPr>
      <t>karty podatkowej</t>
    </r>
  </si>
  <si>
    <t>dochody szkół za rozliczenia z ZUS i US</t>
  </si>
  <si>
    <t>rozliczenia lat ubiegłych (UM)</t>
  </si>
  <si>
    <r>
      <t>Wpływy z różnych dochodów</t>
    </r>
    <r>
      <rPr>
        <sz val="8"/>
        <rFont val="Times New Roman CE"/>
        <family val="0"/>
      </rPr>
      <t xml:space="preserve"> (zwrot nienależnie pobranych świadczeń)</t>
    </r>
  </si>
  <si>
    <r>
      <t xml:space="preserve">Wpływy z różnych dochodów  </t>
    </r>
    <r>
      <rPr>
        <sz val="8"/>
        <rFont val="Times New Roman CE"/>
        <family val="1"/>
      </rPr>
      <t>(zwrot nienależnie pobranych świadczeń)</t>
    </r>
  </si>
  <si>
    <t>Europejski fundusz stypendialny…</t>
  </si>
  <si>
    <t>2888</t>
  </si>
  <si>
    <t>Dotacja celowa otrzymana przez jst od innej jst będącej instytucja wdrażającą na zadania bieżące realizowane na podstawie porozumień</t>
  </si>
  <si>
    <t>2889</t>
  </si>
  <si>
    <t>85495</t>
  </si>
  <si>
    <r>
      <t xml:space="preserve">Dotacje przekazane z funduszy celowych na realizacje zadań bieżących jednostek zaliczanych do sektora finansów publicznych </t>
    </r>
    <r>
      <rPr>
        <i/>
        <sz val="8"/>
        <rFont val="Times New Roman CE"/>
        <family val="0"/>
      </rPr>
      <t>(dla Pałacu Młodzieży - konkursy)</t>
    </r>
  </si>
  <si>
    <r>
      <t xml:space="preserve">Wpływy z różnych dochodów </t>
    </r>
    <r>
      <rPr>
        <i/>
        <sz val="8"/>
        <rFont val="Times New Roman CE"/>
        <family val="0"/>
      </rPr>
      <t>(rozliczenie warsztatów polsko-niemieckich)</t>
    </r>
  </si>
  <si>
    <t>Wpływy z tytułu pomocy finansowej udzielanej między jst na dofinansowanie własnych zadań bieżących</t>
  </si>
  <si>
    <t>6420</t>
  </si>
  <si>
    <r>
      <t xml:space="preserve">Dotacje celowe otrzymane z budżetu państwa na inwestycje i zakupy inwestycyjne realizowane przez powiat na podstawie porozumień z organami administracji rządowej - </t>
    </r>
    <r>
      <rPr>
        <b/>
        <i/>
        <sz val="8"/>
        <rFont val="Times New Roman CE"/>
        <family val="0"/>
      </rPr>
      <t>Zakup sprzętu i oprogramowania komputerowego</t>
    </r>
  </si>
  <si>
    <r>
      <t>Dotacje celowe otrzymane z budżetu państwa na zadania bieżące realizowane przez gminę na podstawie porozumień z organami administracji rządowej -</t>
    </r>
    <r>
      <rPr>
        <b/>
        <i/>
        <sz val="8"/>
        <rFont val="Times New Roman CE"/>
        <family val="0"/>
      </rPr>
      <t xml:space="preserve"> Program na rzecz społeczności romskiej</t>
    </r>
  </si>
  <si>
    <t>92695</t>
  </si>
  <si>
    <t xml:space="preserve"> VI Bałtyckie Igrzyska Młodzieży</t>
  </si>
  <si>
    <t>przebudowa skrzyżowań / budowa skrzyżowań z ruchem okężnym</t>
  </si>
  <si>
    <t>ul. Syrenki i Gdańska</t>
  </si>
  <si>
    <t>Przebudowa ul. Niepodległości</t>
  </si>
  <si>
    <t>Przebudowa ul. Paproci i Wrzosów</t>
  </si>
  <si>
    <t>Uzbrojenie terenu pod Słupską Specjalną Strefę Ekonomiczną, Kompleks Koszalin - drogi</t>
  </si>
  <si>
    <t>Nagrody motywacyjne</t>
  </si>
  <si>
    <t>"Lokalny system powiadamiania o przemocy - Razem skuteczni, razem bezpieczni" ROROZUMIENIA</t>
  </si>
  <si>
    <t>Zakup akcesoriów kompeterowych, w tym programów i licencji</t>
  </si>
  <si>
    <t>Wydatki na zakup i objęcie akcji, wniesienie wkładów do spółek prawa handlowego</t>
  </si>
  <si>
    <t>Europejski fundusz stypendialny dla uczniów szkół ponadgimnazjalnych w Koszalinie 2009</t>
  </si>
  <si>
    <t xml:space="preserve">Dotacja celowa na pomoc finansową udzielaną między jednostkami samorządu terytorialnego na dofinansowanie własnych zadań inwestycyjnych i zakupów inwestycyjnych </t>
  </si>
  <si>
    <t>zakup sprzętu i oprogramowania komputerowego                   (w tym 68,0 tys. zł - porozumienia)</t>
  </si>
  <si>
    <t>współorganizacja imprezy pn. Dzień Unii Europejskiej</t>
  </si>
  <si>
    <t>Udział Orkiestry Akordeonowej "AKORD" w V-tym Międzymarodowym Festiwalu Młodżeży w Chinach</t>
  </si>
  <si>
    <t xml:space="preserve">Dotacja celowa z budżetu na finansowanie lub dofinansowanie prac remontowych i konserwatorskich obiektów zabytkowych, przekazane jednostkom niezaliczanym do sektora finansów publicznych  </t>
  </si>
  <si>
    <t>"XIV Festiwal Młodzieży Euroregionu Pomerania - Koszalin 2009"</t>
  </si>
  <si>
    <t>Dotacja podmiotowa z budżetu dla pozostałych jednostek sektora  finansów publicznych- realizacja "Programu zwalczania narkomanii".</t>
  </si>
  <si>
    <t>Przeciwdziałanie alkoholizmowi</t>
  </si>
  <si>
    <t>Koszty postępowania sądowego i prokuratorskie</t>
  </si>
  <si>
    <t xml:space="preserve">Składki na ubezpieczenia zdrowotne  oraz świadczenia dla osób nie objętych obowiązkiem ubezpieczenia zdrowotnego  </t>
  </si>
  <si>
    <t>Izby Wytrzeźwień</t>
  </si>
  <si>
    <t>Opłata na rzecz budżetu jednostek samorz. terytor.</t>
  </si>
  <si>
    <t>POMOC SPOŁECZNA</t>
  </si>
  <si>
    <t>Placówki opiekuńczo-wychowawcze -Rodzinne Domy Dziecka</t>
  </si>
  <si>
    <t>Dotacja celowa z budżetu lub dofinansowanie zadań zleconych do realizacji stowarzyszeniom</t>
  </si>
  <si>
    <t>Swietlice</t>
  </si>
  <si>
    <t>Rodzinny Dom Dziecka Nr 2</t>
  </si>
  <si>
    <t xml:space="preserve">Zakup usług zdrowotnych </t>
  </si>
  <si>
    <t>Rodzinny Dom Dziecka Nr 3</t>
  </si>
  <si>
    <t>Domy pomocy społecznej</t>
  </si>
  <si>
    <t>Zakup usług przez j.s.t. od innych j.s.t.</t>
  </si>
  <si>
    <t>Ośrodki wsparcia</t>
  </si>
  <si>
    <t>Wydatki na zakupy  inwestycyjne jednostek budżetowych</t>
  </si>
  <si>
    <t>"Złoty Wiek"</t>
  </si>
  <si>
    <t xml:space="preserve">Schronisko dla bezdomnych </t>
  </si>
  <si>
    <t>"Odrodzenie" - ŚDS 1</t>
  </si>
  <si>
    <t>Środowiskowy Dom Samopomocy 2</t>
  </si>
  <si>
    <t>Rodziny zastępcze</t>
  </si>
  <si>
    <t>Dodotkowe wynagrodzenia roczne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</si>
  <si>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</si>
  <si>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</si>
  <si>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</si>
  <si>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Zwrot dotacji wykorzystanych niezgodnie z przeznaczeniem lub pobranych w nadmiernej wysokości</t>
  </si>
  <si>
    <t>Zasiłki rodzinne, pielęgnacyjne i wychowawcze</t>
  </si>
  <si>
    <t>Powiatowe centra pomocy rodzinie</t>
  </si>
  <si>
    <t>Ośrodki pomocy społecznej</t>
  </si>
  <si>
    <t xml:space="preserve">Koszty postępowania sądowego i prokuratorskiego </t>
  </si>
  <si>
    <t>Niewłaściwe obciążenia</t>
  </si>
  <si>
    <t>Jednostki specjalistyczne poradnictwa, mieszkania chronione i ośrodki  interwencji kryzysowej</t>
  </si>
  <si>
    <t>Ośrodki adopcyjno-opiekuńcze</t>
  </si>
  <si>
    <t xml:space="preserve">Podróże służbowe krajowe </t>
  </si>
  <si>
    <t>Usługi opiekuńcze i specjalistyczne usługi opiekuńcze</t>
  </si>
  <si>
    <t>Usuwanie skutków klęsk żywiołowych</t>
  </si>
  <si>
    <t>Zakup usług pozostałych KS</t>
  </si>
  <si>
    <t>Projekt "Dobra perspektywa"</t>
  </si>
  <si>
    <t xml:space="preserve">POZOSTAŁE ZADANIA W ZAKRESIE POLITYKI SPOŁECZNEJ </t>
  </si>
  <si>
    <t>Żłobki</t>
  </si>
  <si>
    <t>Rehabilitacja zawodowa i społeczna osób niepełnosprawnych</t>
  </si>
  <si>
    <t>Dotacja podmiotowa z budżetu dla jednostek niezaliczanych do sektora finansów publicznych</t>
  </si>
  <si>
    <t>Zespoły ds orzekania o niepełnosprawności</t>
  </si>
  <si>
    <t>Pomoc dla repatriantów</t>
  </si>
  <si>
    <t>EDUKACYJNA OPIEKA WYCHOWAWCZA</t>
  </si>
  <si>
    <t>Świetlice szkolne</t>
  </si>
  <si>
    <t>Specjalne ośrodki szkolno-wychowawcze</t>
  </si>
  <si>
    <t>Zakup pomocy naukowych, dydakt. książek</t>
  </si>
  <si>
    <t>Poradnie psychologiczno - pedagogiczne, w tym poradnie specjalistyczne</t>
  </si>
  <si>
    <t>Zakup pomocy naukowych, dydakt.i książek</t>
  </si>
  <si>
    <t>"Zero tolerancji dla przemocy w szkole"</t>
  </si>
  <si>
    <t>"Program opieki i terapii skierowany na uczniów z niepłynnością mowy"</t>
  </si>
  <si>
    <t>Placówki wychowania pozaszkolnego</t>
  </si>
  <si>
    <t>Internaty i bursy szkolne</t>
  </si>
  <si>
    <t>Pomoc materialna dla uczniów</t>
  </si>
  <si>
    <t xml:space="preserve">Stypendia dla uczniów </t>
  </si>
  <si>
    <t>Program "Równy start"</t>
  </si>
  <si>
    <t>Szkolne Schroniska Młodzieżowe</t>
  </si>
  <si>
    <t>Ośrodki rewalidacyjno - wychowawcze</t>
  </si>
  <si>
    <t>Dotacja podmiotowa dla niepublicznej jednostki systemu oświaty</t>
  </si>
  <si>
    <t>Stołówki szkolne</t>
  </si>
  <si>
    <t>Pozostałe wydatki</t>
  </si>
  <si>
    <t xml:space="preserve">Zakup materiałów i wyposażenia  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</si>
  <si>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</si>
  <si>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</si>
  <si>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</si>
  <si>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</si>
  <si>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</si>
  <si>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</si>
  <si>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Wydatki na zakup i objęcie akcji oraz wniesienie wkładów do spółek prawa handlowego (PGK)</t>
  </si>
  <si>
    <t>"Concerto ATC2"</t>
  </si>
  <si>
    <t>Wynagrodzenie bezosobowe</t>
  </si>
  <si>
    <t>KULTURA I OCHRONA DZIEDZICTWA NARODOWEGO</t>
  </si>
  <si>
    <t>Zadania w zakresie kinematografii</t>
  </si>
  <si>
    <t xml:space="preserve">Dotacja podmiotowa z budżetu dla instytucji kultury  </t>
  </si>
  <si>
    <t>Pozostałe zadania w zakresie kultury</t>
  </si>
  <si>
    <t>Wydatki osobowe nie zaliczone do wynagrodzeń</t>
  </si>
  <si>
    <t xml:space="preserve">Zakup materiałów i wyposażenia - RWZ </t>
  </si>
  <si>
    <t xml:space="preserve">Teatry </t>
  </si>
  <si>
    <t>Dotacja podmiotowa z budżetu dla samorządowej instytucji kultury w tym:</t>
  </si>
  <si>
    <t>działalność bieżąca</t>
  </si>
  <si>
    <t>porozumienia</t>
  </si>
  <si>
    <t>na realizację projektów dofinans. ze środków zewnętrznych</t>
  </si>
  <si>
    <t>adaptacja pomieszczeń w budynku przy ul. Morskiej</t>
  </si>
  <si>
    <t>Gala Baletowa</t>
  </si>
  <si>
    <t>organizacja międzynarodowych warsztatów teatralnych</t>
  </si>
  <si>
    <t>Filharmonie, orkiestry, chóry i kapele</t>
  </si>
  <si>
    <t xml:space="preserve">Dotacja podmiotowa z budżetu dla samorządowej instytucji kultury w tym:  </t>
  </si>
  <si>
    <t>Międzynarodowy Festiwal Organowy</t>
  </si>
  <si>
    <t>"Lato Muzyczne z Filharmonią"</t>
  </si>
  <si>
    <t>Domy i ośrodki kultury, świetlice i kluby</t>
  </si>
  <si>
    <t>Centrum Kultury - gmina</t>
  </si>
  <si>
    <t>na imprezy</t>
  </si>
  <si>
    <t>Galeria "Scena"</t>
  </si>
  <si>
    <t>festiwal filmów Wł. Wysockiego</t>
  </si>
  <si>
    <t>Festiwal Pieśni Religijnej</t>
  </si>
  <si>
    <t xml:space="preserve">Modernizacja budynku MOK </t>
  </si>
  <si>
    <t>Biblioteki</t>
  </si>
  <si>
    <t>Almanach</t>
  </si>
  <si>
    <t>wydawnictwa - "Miesiąc w Koszalinie"</t>
  </si>
  <si>
    <t>"Roczniki Koszalińskie"</t>
  </si>
  <si>
    <t>Muzea</t>
  </si>
  <si>
    <t>odprawa emerytalna i nagrody jubileuszowe</t>
  </si>
  <si>
    <t>wystawa pt. "Mur Chiński"</t>
  </si>
  <si>
    <t>wydanie "Koszalińskich Zeszytów Muzealnych" i informator</t>
  </si>
  <si>
    <t>Dotacje celowe z budżetu na finansowanie  lub dofinansowanie kosztów realizacji inwestycji i zakupów inwestycyjnych  innych jednostek sektora finansów publicznych</t>
  </si>
  <si>
    <t>Ochrona zabytków i opieka nad zabytkami</t>
  </si>
  <si>
    <t>Zakup usług remontowo - konserwatorskich dotyczących obiektów zabytkowych będących w użytkowaniu jednostek budżetowych</t>
  </si>
  <si>
    <t>Nagrody o charakterze szczególnym niezaliczane do wynagrodzeń - KS</t>
  </si>
  <si>
    <t>KULTURA FIZYCZNA I SPORT</t>
  </si>
  <si>
    <t>Obiekty sportowe</t>
  </si>
  <si>
    <t xml:space="preserve">Bałtyk </t>
  </si>
  <si>
    <t>"Budowa Centrum rekreacyjno - sportowego w Koszalinie"</t>
  </si>
  <si>
    <t>Zadania w zakresie kultury fizycznej i sportu</t>
  </si>
  <si>
    <t xml:space="preserve">Pozostała działalność </t>
  </si>
  <si>
    <t>Zakup usług pozostałych - RO</t>
  </si>
  <si>
    <t>Zakup materiałów papierniczych do sprzętu drukarskiego i urządzeń kserograficznych - RO</t>
  </si>
  <si>
    <t>OGÓŁEM</t>
  </si>
  <si>
    <t>własne</t>
  </si>
  <si>
    <t xml:space="preserve">w tym: </t>
  </si>
  <si>
    <t>na podstawie porozumień          z jednostkami samorządu terytorialnego</t>
  </si>
  <si>
    <t>zlecone</t>
  </si>
  <si>
    <t xml:space="preserve">Dział rozdział § </t>
  </si>
  <si>
    <t xml:space="preserve">GMINA </t>
  </si>
  <si>
    <t>POWIAT</t>
  </si>
  <si>
    <t>WŁASNE</t>
  </si>
  <si>
    <t>Plan         
pierwotny</t>
  </si>
  <si>
    <t>% wyk. planu</t>
  </si>
  <si>
    <t>ROLNICTWO I ŁOWIECTWO</t>
  </si>
  <si>
    <t>2010</t>
  </si>
  <si>
    <t>Dotacje celowe otrzymane z budżetu państwa na realizację zadań bieżących z zakresu administracji rządowej zleconych gminom</t>
  </si>
  <si>
    <t>600</t>
  </si>
  <si>
    <t>TRANSPORT  I  ŁĄCZNOŚĆ</t>
  </si>
  <si>
    <t>60015</t>
  </si>
  <si>
    <t>0580</t>
  </si>
  <si>
    <t>Grzywny, mandaty i inne kary pieniężne od osób prawnych i innych jednostek organizacyjnych</t>
  </si>
  <si>
    <t>0870</t>
  </si>
  <si>
    <t xml:space="preserve">Wpływy z różnych dochodów </t>
  </si>
  <si>
    <t>6298</t>
  </si>
  <si>
    <t>60016</t>
  </si>
  <si>
    <t>Drogi publiczne gminne</t>
  </si>
  <si>
    <t>Grzywny i inne kary pieniężne od osób prawnych i innych jednostek organizacyjnych</t>
  </si>
  <si>
    <t>0970</t>
  </si>
  <si>
    <t>60053</t>
  </si>
  <si>
    <t>Infrastruktura telekominikacyjna</t>
  </si>
  <si>
    <t>60095</t>
  </si>
  <si>
    <t>2708</t>
  </si>
  <si>
    <t>700</t>
  </si>
  <si>
    <t>70005</t>
  </si>
  <si>
    <t>0470</t>
  </si>
  <si>
    <t xml:space="preserve">Wpływy z opłat za zarząd, użytkowanie i użytkowanie wieczyste nieruchomości  </t>
  </si>
  <si>
    <t>0690</t>
  </si>
  <si>
    <t>0750</t>
  </si>
  <si>
    <t>Dochody z najmu i dzierżawy składników majątkowych Skarbu Państwa, jst lub innych jednostek zaliczanych do sektora finansów publicznych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</si>
  <si>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</si>
  <si>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</si>
  <si>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</si>
  <si>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 oraz prawa użytkowania wieczystego nieruchomości</t>
  </si>
  <si>
    <t>2110</t>
  </si>
  <si>
    <t>Dotacje celowe otrzymane z budżetu państwa na zadania bieżące z zakresu administracji rządowej oraz inne zadania zlecone ustawami realizowane przez powiat</t>
  </si>
  <si>
    <t>2360</t>
  </si>
  <si>
    <r>
      <t>Dochody jst związane z realizacją zadań z zakresu administracji rządowej oraz innych zadań zleconych ustawami</t>
    </r>
    <r>
      <rPr>
        <i/>
        <sz val="8"/>
        <rFont val="Times New Roman CE"/>
        <family val="0"/>
      </rPr>
      <t xml:space="preserve"> (25%  z majątku Skarbu Państwa)</t>
    </r>
  </si>
  <si>
    <t>Wpływy z różnych dochodów</t>
  </si>
  <si>
    <t>710</t>
  </si>
  <si>
    <t>71013</t>
  </si>
  <si>
    <t>Prace geodezyjne i kartograficzne</t>
  </si>
  <si>
    <t>71014</t>
  </si>
  <si>
    <t>71015</t>
  </si>
  <si>
    <t xml:space="preserve">Nadzór  budowlany </t>
  </si>
  <si>
    <t>0920</t>
  </si>
  <si>
    <t xml:space="preserve">Pozostałe odsetki </t>
  </si>
  <si>
    <t>6410</t>
  </si>
  <si>
    <t>Dotacje celowe otrzymane z budżetu państwa na inwestycje i zakupy inwestycyjne z zakresu administracji rządowej oraz inne zadania zlecone ustawami realizowane przez powiat</t>
  </si>
  <si>
    <t>71035</t>
  </si>
  <si>
    <t>2020</t>
  </si>
  <si>
    <t xml:space="preserve">Dotacje celowe otrzymane z budżetu państwa na zadania bieżące realizowane przez gminę na podstawie porozumień z organami administracji rządowej  </t>
  </si>
  <si>
    <t>750</t>
  </si>
  <si>
    <t>ADMINISTRACJA  PUBLICZNA</t>
  </si>
  <si>
    <t>75011</t>
  </si>
  <si>
    <t>Urzędy wojewódzkie</t>
  </si>
  <si>
    <t>75020</t>
  </si>
  <si>
    <t>0420</t>
  </si>
  <si>
    <t>Wpływy z opłaty komunikacyjnej</t>
  </si>
  <si>
    <t>75023</t>
  </si>
  <si>
    <t>Urzędy gmin</t>
  </si>
  <si>
    <t>Dochody z najmu i dzierżawy składników majątkowych Skarbu Państwa, jst lub innych jednostek zaliczanych do sektora fin. publ.</t>
  </si>
  <si>
    <t>Wpływy ze sprzedaży składników majątkowych</t>
  </si>
  <si>
    <t>75045</t>
  </si>
  <si>
    <t>2120</t>
  </si>
  <si>
    <t>Dotacje celowe otrzymane z budżetu państwa na zadania bieżące realizowane przez powiat na podstawie porozumień z organami administracji rządowej</t>
  </si>
  <si>
    <t>75075</t>
  </si>
  <si>
    <t>75095</t>
  </si>
  <si>
    <t>0570</t>
  </si>
  <si>
    <t>751</t>
  </si>
  <si>
    <t>75101</t>
  </si>
  <si>
    <t>754</t>
  </si>
  <si>
    <t>75411</t>
  </si>
  <si>
    <t>Dochody jst związane z realizacją zadań z zakresu administracji rządowej oraz innych zadań zleconych ustawami</t>
  </si>
  <si>
    <t>2710</t>
  </si>
  <si>
    <t>75414</t>
  </si>
  <si>
    <t>Dotacje celowe otrzymane z budżetu państwa na zadania bieżące z zakresu administracji rządowej oraz inne zadania zlecone ustawami realizowane przez gminę</t>
  </si>
  <si>
    <t>756</t>
  </si>
  <si>
    <t xml:space="preserve">DOCHODY OD OSÓB PRAWNYCH, OD OSÓB  FIZYCZNYCH I OD INNYCH JEDNOSTEK NIEPOSIADAJĄCYCH OSOBOWOŚCI PRAWNEJ ORAZ WYDATKI ZWIĄZANE Z ICH POBOREM </t>
  </si>
  <si>
    <t>75601</t>
  </si>
  <si>
    <t>Wpływy z podatku dochodowego od osób fizycznych</t>
  </si>
  <si>
    <t>0350</t>
  </si>
  <si>
    <t>75615</t>
  </si>
  <si>
    <t>Wpływy z podatku rolnego, podatku leśnego, podatku od czynności cywilnoprawnych, podatków i opłat lokalnych od osób prawnych  i innych jednostek organizacyjnych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</si>
  <si>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</si>
  <si>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</si>
  <si>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</si>
  <si>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</si>
  <si>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</si>
  <si>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</si>
  <si>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</si>
  <si>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</si>
  <si>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</si>
  <si>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0500</t>
  </si>
  <si>
    <t>Podatek od czynności cywilno-prawnych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</si>
  <si>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</si>
  <si>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</si>
  <si>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</si>
  <si>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</si>
  <si>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0560</t>
  </si>
  <si>
    <t>Zaległości z podatków zniesionych</t>
  </si>
  <si>
    <t>2440</t>
  </si>
  <si>
    <t>Dotacje otrzymane z funduszy celowych na realizacje zadań bieżących jednostek sektora finansów publicznych</t>
  </si>
  <si>
    <t>75618</t>
  </si>
  <si>
    <t xml:space="preserve">Wpływy z innych opłat stanowiących dochody  j.s.t.  na podstawie ustaw </t>
  </si>
  <si>
    <t>0410</t>
  </si>
  <si>
    <t>Wpływy z opłaty skarbowej</t>
  </si>
  <si>
    <t>0480</t>
  </si>
  <si>
    <t>Wpływy z opłat za zezwolenia na sprzedaż alkoholu</t>
  </si>
  <si>
    <t>0490</t>
  </si>
  <si>
    <t>75619</t>
  </si>
  <si>
    <t>Wpływy z różnych rozliczeń</t>
  </si>
  <si>
    <t>0910</t>
  </si>
  <si>
    <t>Odsetki od nieterminowych wpłat z tytułu podatków i opłat</t>
  </si>
  <si>
    <t>75621</t>
  </si>
  <si>
    <t>Udziały gmin w podatkach stanowiących dochód budżetu państwa</t>
  </si>
  <si>
    <t>0010</t>
  </si>
  <si>
    <t xml:space="preserve">Podatek dochodowy od osób fizycznych  </t>
  </si>
  <si>
    <t>0020</t>
  </si>
  <si>
    <t xml:space="preserve">Podatek dochodowy od osób prawnych  </t>
  </si>
  <si>
    <t>75622</t>
  </si>
  <si>
    <t>Udziały  powiatów  w podatkach stanowiących dochód budżetu państwa</t>
  </si>
  <si>
    <t xml:space="preserve">Podatek dochodowy od osób fizycznych </t>
  </si>
  <si>
    <t>75624</t>
  </si>
  <si>
    <t>Dywidendy</t>
  </si>
  <si>
    <t>0740</t>
  </si>
  <si>
    <t>Wpływy z dywidend</t>
  </si>
  <si>
    <t>75647</t>
  </si>
  <si>
    <t>Pobór podatków, opłat i nieopodatkowanych należności budżetowych</t>
  </si>
  <si>
    <t xml:space="preserve">Wpływy z różnych opłat </t>
  </si>
  <si>
    <t>758</t>
  </si>
  <si>
    <t>75801</t>
  </si>
  <si>
    <t>Część oświatowa subwencji ogólnej dla jednostek samorządu terytorialnego</t>
  </si>
  <si>
    <t>2920</t>
  </si>
  <si>
    <t>Subwencje ogólne z budżetu państwa</t>
  </si>
  <si>
    <r>
      <t xml:space="preserve">Środki na dofinansowanie własnych inwestycji gmin, powiatów pozyskane z innych źródeł - </t>
    </r>
    <r>
      <rPr>
        <b/>
        <i/>
        <sz val="9"/>
        <rFont val="Times New Roman CE"/>
        <family val="1"/>
      </rPr>
      <t>ul. Syrenki</t>
    </r>
  </si>
  <si>
    <t>6330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</si>
</sst>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62">
    <font>
      <sz val="10"/>
      <name val="Arial CE"/>
      <family val="0"/>
    </font>
    <font>
      <sz val="9"/>
      <name val="Times New Roman CE"/>
      <family val="0"/>
    </font>
    <font>
      <sz val="10"/>
      <name val="Times New Roman CE"/>
      <family val="0"/>
    </font>
    <font>
      <i/>
      <sz val="7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7"/>
      <name val="Times New Roman CE"/>
      <family val="1"/>
    </font>
    <font>
      <i/>
      <sz val="9"/>
      <name val="Times New Roman CE"/>
      <family val="1"/>
    </font>
    <font>
      <sz val="7"/>
      <name val="Times New Roman CE"/>
      <family val="1"/>
    </font>
    <font>
      <b/>
      <i/>
      <sz val="9"/>
      <name val="Times New Roman CE"/>
      <family val="1"/>
    </font>
    <font>
      <b/>
      <sz val="7"/>
      <name val="Times New Roman CE"/>
      <family val="1"/>
    </font>
    <font>
      <sz val="9"/>
      <name val="Times New Roman"/>
      <family val="1"/>
    </font>
    <font>
      <sz val="12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9"/>
      <name val="MS Sans Serif"/>
      <family val="0"/>
    </font>
    <font>
      <sz val="8"/>
      <name val="MS Sans Serif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7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b/>
      <i/>
      <sz val="9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8"/>
      <name val="Arial CE"/>
      <family val="0"/>
    </font>
    <font>
      <sz val="8.5"/>
      <name val="Times New Roman CE"/>
      <family val="1"/>
    </font>
    <font>
      <i/>
      <sz val="8.5"/>
      <name val="Times New Roman CE"/>
      <family val="1"/>
    </font>
    <font>
      <sz val="9"/>
      <name val="Calibri"/>
      <family val="2"/>
    </font>
    <font>
      <sz val="10"/>
      <name val="Calibri"/>
      <family val="2"/>
    </font>
    <font>
      <i/>
      <sz val="7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7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sz val="7"/>
      <name val="Calibri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5">
    <xf numFmtId="0" fontId="0" fillId="0" borderId="0" xfId="0" applyAlignment="1">
      <alignment/>
    </xf>
    <xf numFmtId="49" fontId="1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49" fontId="10" fillId="0" borderId="3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3" xfId="0" applyNumberFormat="1" applyFont="1" applyFill="1" applyBorder="1" applyAlignment="1" applyProtection="1">
      <alignment horizontal="centerContinuous" vertical="center"/>
      <protection locked="0"/>
    </xf>
    <xf numFmtId="49" fontId="1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5" xfId="0" applyNumberFormat="1" applyFont="1" applyFill="1" applyBorder="1" applyAlignment="1" applyProtection="1">
      <alignment vertical="center"/>
      <protection locked="0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164" fontId="6" fillId="0" borderId="2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 applyProtection="1">
      <alignment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164" fontId="3" fillId="0" borderId="2" xfId="0" applyNumberFormat="1" applyFont="1" applyFill="1" applyBorder="1" applyAlignment="1" applyProtection="1">
      <alignment horizontal="right" vertical="center"/>
      <protection locked="0"/>
    </xf>
    <xf numFmtId="164" fontId="6" fillId="0" borderId="5" xfId="0" applyNumberFormat="1" applyFont="1" applyFill="1" applyBorder="1" applyAlignment="1" applyProtection="1">
      <alignment vertical="center"/>
      <protection locked="0"/>
    </xf>
    <xf numFmtId="164" fontId="6" fillId="0" borderId="7" xfId="0" applyNumberFormat="1" applyFont="1" applyFill="1" applyBorder="1" applyAlignment="1" applyProtection="1">
      <alignment vertical="center"/>
      <protection locked="0"/>
    </xf>
    <xf numFmtId="164" fontId="8" fillId="0" borderId="2" xfId="0" applyNumberFormat="1" applyFont="1" applyFill="1" applyBorder="1" applyAlignment="1" applyProtection="1">
      <alignment vertical="center"/>
      <protection locked="0"/>
    </xf>
    <xf numFmtId="164" fontId="5" fillId="0" borderId="7" xfId="0" applyNumberFormat="1" applyFont="1" applyFill="1" applyBorder="1" applyAlignment="1" applyProtection="1">
      <alignment vertical="center"/>
      <protection locked="0"/>
    </xf>
    <xf numFmtId="164" fontId="11" fillId="0" borderId="8" xfId="0" applyNumberFormat="1" applyFont="1" applyFill="1" applyBorder="1" applyAlignment="1" applyProtection="1">
      <alignment horizontal="right" vertical="center"/>
      <protection locked="0"/>
    </xf>
    <xf numFmtId="164" fontId="3" fillId="0" borderId="2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3" fontId="12" fillId="0" borderId="9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4" fontId="6" fillId="0" borderId="2" xfId="0" applyNumberFormat="1" applyFont="1" applyFill="1" applyBorder="1" applyAlignment="1" applyProtection="1">
      <alignment horizontal="right" vertical="center"/>
      <protection locked="0"/>
    </xf>
    <xf numFmtId="164" fontId="6" fillId="0" borderId="8" xfId="0" applyNumberFormat="1" applyFont="1" applyFill="1" applyBorder="1" applyAlignment="1" applyProtection="1">
      <alignment vertical="center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164" fontId="13" fillId="0" borderId="2" xfId="0" applyNumberFormat="1" applyFont="1" applyFill="1" applyBorder="1" applyAlignment="1" applyProtection="1">
      <alignment vertical="center"/>
      <protection locked="0"/>
    </xf>
    <xf numFmtId="164" fontId="13" fillId="0" borderId="5" xfId="0" applyNumberFormat="1" applyFont="1" applyFill="1" applyBorder="1" applyAlignment="1" applyProtection="1">
      <alignment vertical="center"/>
      <protection locked="0"/>
    </xf>
    <xf numFmtId="164" fontId="13" fillId="0" borderId="7" xfId="0" applyNumberFormat="1" applyFont="1" applyFill="1" applyBorder="1" applyAlignment="1" applyProtection="1">
      <alignment vertical="center"/>
      <protection locked="0"/>
    </xf>
    <xf numFmtId="164" fontId="13" fillId="0" borderId="6" xfId="0" applyNumberFormat="1" applyFont="1" applyFill="1" applyBorder="1" applyAlignment="1" applyProtection="1">
      <alignment vertical="center"/>
      <protection locked="0"/>
    </xf>
    <xf numFmtId="164" fontId="15" fillId="0" borderId="5" xfId="0" applyNumberFormat="1" applyFont="1" applyFill="1" applyBorder="1" applyAlignment="1" applyProtection="1">
      <alignment vertical="center"/>
      <protection locked="0"/>
    </xf>
    <xf numFmtId="164" fontId="3" fillId="0" borderId="7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15" xfId="0" applyNumberFormat="1" applyFont="1" applyFill="1" applyBorder="1" applyAlignment="1" applyProtection="1">
      <alignment horizontal="centerContinuous"/>
      <protection locked="0"/>
    </xf>
    <xf numFmtId="0" fontId="1" fillId="0" borderId="16" xfId="0" applyNumberFormat="1" applyFont="1" applyFill="1" applyBorder="1" applyAlignment="1" applyProtection="1">
      <alignment horizontal="centerContinuous"/>
      <protection locked="0"/>
    </xf>
    <xf numFmtId="1" fontId="1" fillId="0" borderId="10" xfId="0" applyNumberFormat="1" applyFont="1" applyFill="1" applyBorder="1" applyAlignment="1" applyProtection="1">
      <alignment horizontal="centerContinuous"/>
      <protection locked="0"/>
    </xf>
    <xf numFmtId="1" fontId="1" fillId="0" borderId="17" xfId="0" applyNumberFormat="1" applyFont="1" applyFill="1" applyBorder="1" applyAlignment="1" applyProtection="1">
      <alignment horizontal="centerContinuous"/>
      <protection locked="0"/>
    </xf>
    <xf numFmtId="1" fontId="1" fillId="0" borderId="18" xfId="0" applyNumberFormat="1" applyFont="1" applyFill="1" applyBorder="1" applyAlignment="1" applyProtection="1">
      <alignment horizontal="centerContinuous"/>
      <protection locked="0"/>
    </xf>
    <xf numFmtId="1" fontId="1" fillId="0" borderId="10" xfId="0" applyNumberFormat="1" applyFont="1" applyFill="1" applyBorder="1" applyAlignment="1" applyProtection="1">
      <alignment horizontal="centerContinuous"/>
      <protection locked="0"/>
    </xf>
    <xf numFmtId="1" fontId="1" fillId="0" borderId="17" xfId="0" applyNumberFormat="1" applyFont="1" applyFill="1" applyBorder="1" applyAlignment="1" applyProtection="1">
      <alignment horizontal="centerContinuous"/>
      <protection locked="0"/>
    </xf>
    <xf numFmtId="1" fontId="13" fillId="0" borderId="18" xfId="0" applyNumberFormat="1" applyFont="1" applyFill="1" applyBorder="1" applyAlignment="1" applyProtection="1">
      <alignment horizontal="centerContinuous"/>
      <protection locked="0"/>
    </xf>
    <xf numFmtId="1" fontId="1" fillId="0" borderId="9" xfId="0" applyNumberFormat="1" applyFont="1" applyFill="1" applyBorder="1" applyAlignment="1" applyProtection="1">
      <alignment horizontal="centerContinuous"/>
      <protection locked="0"/>
    </xf>
    <xf numFmtId="1" fontId="10" fillId="0" borderId="17" xfId="0" applyNumberFormat="1" applyFont="1" applyFill="1" applyBorder="1" applyAlignment="1" applyProtection="1">
      <alignment horizontal="centerContinuous"/>
      <protection locked="0"/>
    </xf>
    <xf numFmtId="1" fontId="4" fillId="0" borderId="0" xfId="0" applyNumberFormat="1" applyFont="1" applyFill="1" applyBorder="1" applyAlignment="1" applyProtection="1">
      <alignment horizontal="centerContinuous"/>
      <protection locked="0"/>
    </xf>
    <xf numFmtId="1" fontId="10" fillId="0" borderId="0" xfId="0" applyNumberFormat="1" applyFont="1" applyFill="1" applyBorder="1" applyAlignment="1" applyProtection="1">
      <alignment horizontal="left" wrapText="1"/>
      <protection locked="0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1" fontId="15" fillId="0" borderId="0" xfId="0" applyNumberFormat="1" applyFont="1" applyFill="1" applyBorder="1" applyAlignment="1" applyProtection="1">
      <alignment horizontal="left"/>
      <protection locked="0"/>
    </xf>
    <xf numFmtId="3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165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" fontId="13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26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27" xfId="0" applyNumberFormat="1" applyFont="1" applyFill="1" applyBorder="1" applyAlignment="1" applyProtection="1">
      <alignment vertical="center" wrapText="1"/>
      <protection locked="0"/>
    </xf>
    <xf numFmtId="3" fontId="10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24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25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21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left"/>
    </xf>
    <xf numFmtId="49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30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31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9" xfId="0" applyNumberFormat="1" applyFont="1" applyFill="1" applyBorder="1" applyAlignment="1" applyProtection="1">
      <alignment vertical="center" wrapText="1"/>
      <protection locked="0"/>
    </xf>
    <xf numFmtId="165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35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3" fontId="10" fillId="0" borderId="37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164" fontId="6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164" fontId="6" fillId="0" borderId="5" xfId="0" applyNumberFormat="1" applyFont="1" applyFill="1" applyBorder="1" applyAlignment="1" applyProtection="1">
      <alignment vertical="center" wrapText="1"/>
      <protection locked="0"/>
    </xf>
    <xf numFmtId="164" fontId="6" fillId="0" borderId="11" xfId="0" applyNumberFormat="1" applyFont="1" applyFill="1" applyBorder="1" applyAlignment="1" applyProtection="1">
      <alignment vertical="center" wrapText="1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49" fontId="1" fillId="0" borderId="41" xfId="0" applyNumberFormat="1" applyFont="1" applyFill="1" applyBorder="1" applyAlignment="1" applyProtection="1">
      <alignment horizontal="centerContinuous" vertical="center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3" fontId="1" fillId="0" borderId="40" xfId="0" applyNumberFormat="1" applyFont="1" applyFill="1" applyBorder="1" applyAlignment="1" applyProtection="1">
      <alignment vertical="center" wrapText="1"/>
      <protection locked="0"/>
    </xf>
    <xf numFmtId="164" fontId="4" fillId="0" borderId="20" xfId="0" applyNumberFormat="1" applyFont="1" applyFill="1" applyBorder="1" applyAlignment="1" applyProtection="1">
      <alignment vertical="center" wrapText="1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40" xfId="0" applyNumberFormat="1" applyFont="1" applyFill="1" applyBorder="1" applyAlignment="1" applyProtection="1">
      <alignment vertical="center"/>
      <protection locked="0"/>
    </xf>
    <xf numFmtId="164" fontId="4" fillId="0" borderId="7" xfId="0" applyNumberFormat="1" applyFont="1" applyFill="1" applyBorder="1" applyAlignment="1" applyProtection="1">
      <alignment vertical="center" wrapText="1"/>
      <protection locked="0"/>
    </xf>
    <xf numFmtId="49" fontId="10" fillId="0" borderId="4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3" fontId="10" fillId="0" borderId="42" xfId="0" applyNumberFormat="1" applyFont="1" applyFill="1" applyBorder="1" applyAlignment="1" applyProtection="1">
      <alignment vertical="center" wrapText="1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64" fontId="6" fillId="0" borderId="7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164" fontId="15" fillId="0" borderId="7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Fill="1" applyBorder="1" applyAlignment="1" applyProtection="1">
      <alignment horizontal="centerContinuous" vertical="center"/>
      <protection locked="0"/>
    </xf>
    <xf numFmtId="3" fontId="1" fillId="0" borderId="19" xfId="0" applyNumberFormat="1" applyFont="1" applyFill="1" applyBorder="1" applyAlignment="1" applyProtection="1">
      <alignment vertical="center" wrapText="1"/>
      <protection locked="0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0" fontId="4" fillId="0" borderId="17" xfId="0" applyNumberFormat="1" applyFont="1" applyFill="1" applyBorder="1" applyAlignment="1" applyProtection="1">
      <alignment vertical="center" wrapText="1"/>
      <protection locked="0"/>
    </xf>
    <xf numFmtId="49" fontId="1" fillId="0" borderId="42" xfId="0" applyNumberFormat="1" applyFont="1" applyFill="1" applyBorder="1" applyAlignment="1" applyProtection="1">
      <alignment horizontal="centerContinuous" vertical="center"/>
      <protection locked="0"/>
    </xf>
    <xf numFmtId="3" fontId="1" fillId="0" borderId="42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 wrapText="1"/>
      <protection locked="0"/>
    </xf>
    <xf numFmtId="164" fontId="4" fillId="0" borderId="43" xfId="0" applyNumberFormat="1" applyFont="1" applyFill="1" applyBorder="1" applyAlignment="1" applyProtection="1">
      <alignment vertical="center" wrapText="1"/>
      <protection locked="0"/>
    </xf>
    <xf numFmtId="49" fontId="10" fillId="0" borderId="4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41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164" fontId="15" fillId="0" borderId="5" xfId="0" applyNumberFormat="1" applyFont="1" applyFill="1" applyBorder="1" applyAlignment="1" applyProtection="1">
      <alignment vertical="center" wrapText="1"/>
      <protection locked="0"/>
    </xf>
    <xf numFmtId="49" fontId="1" fillId="0" borderId="44" xfId="0" applyNumberFormat="1" applyFont="1" applyFill="1" applyBorder="1" applyAlignment="1" applyProtection="1">
      <alignment horizontal="centerContinuous" vertical="center"/>
      <protection locked="0"/>
    </xf>
    <xf numFmtId="3" fontId="1" fillId="0" borderId="44" xfId="0" applyNumberFormat="1" applyFont="1" applyFill="1" applyBorder="1" applyAlignment="1" applyProtection="1">
      <alignment vertical="center" wrapText="1"/>
      <protection locked="0"/>
    </xf>
    <xf numFmtId="3" fontId="1" fillId="0" borderId="45" xfId="0" applyNumberFormat="1" applyFont="1" applyFill="1" applyBorder="1" applyAlignment="1" applyProtection="1">
      <alignment vertical="center" wrapText="1"/>
      <protection locked="0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0" borderId="45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 applyProtection="1">
      <alignment vertical="center" wrapText="1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1" fillId="0" borderId="2" xfId="0" applyNumberFormat="1" applyFont="1" applyFill="1" applyBorder="1" applyAlignment="1" applyProtection="1">
      <alignment vertical="center" wrapText="1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7" xfId="0" applyNumberFormat="1" applyFont="1" applyFill="1" applyBorder="1" applyAlignment="1" applyProtection="1">
      <alignment vertical="center" wrapText="1"/>
      <protection locked="0"/>
    </xf>
    <xf numFmtId="3" fontId="10" fillId="0" borderId="27" xfId="0" applyNumberFormat="1" applyFont="1" applyFill="1" applyBorder="1" applyAlignment="1" applyProtection="1">
      <alignment vertical="center" wrapText="1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164" fontId="6" fillId="0" borderId="8" xfId="0" applyNumberFormat="1" applyFont="1" applyFill="1" applyBorder="1" applyAlignment="1" applyProtection="1">
      <alignment vertical="center"/>
      <protection locked="0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0" borderId="45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 applyProtection="1">
      <alignment vertical="center"/>
      <protection locked="0"/>
    </xf>
    <xf numFmtId="0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42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7" xfId="0" applyNumberFormat="1" applyFont="1" applyFill="1" applyBorder="1" applyAlignment="1" applyProtection="1">
      <alignment vertical="center" wrapText="1"/>
      <protection locked="0"/>
    </xf>
    <xf numFmtId="3" fontId="1" fillId="0" borderId="41" xfId="0" applyNumberFormat="1" applyFont="1" applyFill="1" applyBorder="1" applyAlignment="1" applyProtection="1">
      <alignment vertical="center" wrapText="1"/>
      <protection locked="0"/>
    </xf>
    <xf numFmtId="164" fontId="13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164" fontId="10" fillId="0" borderId="5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/>
    </xf>
    <xf numFmtId="164" fontId="4" fillId="0" borderId="46" xfId="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vertical="center" wrapText="1"/>
      <protection locked="0"/>
    </xf>
    <xf numFmtId="3" fontId="10" fillId="0" borderId="31" xfId="0" applyNumberFormat="1" applyFont="1" applyFill="1" applyBorder="1" applyAlignment="1" applyProtection="1">
      <alignment vertical="center" wrapText="1"/>
      <protection locked="0"/>
    </xf>
    <xf numFmtId="164" fontId="6" fillId="0" borderId="43" xfId="0" applyNumberFormat="1" applyFont="1" applyFill="1" applyBorder="1" applyAlignment="1" applyProtection="1">
      <alignment vertical="center" wrapText="1"/>
      <protection locked="0"/>
    </xf>
    <xf numFmtId="164" fontId="6" fillId="0" borderId="46" xfId="0" applyNumberFormat="1" applyFont="1" applyFill="1" applyBorder="1" applyAlignment="1" applyProtection="1">
      <alignment vertical="center" wrapText="1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40" xfId="0" applyNumberFormat="1" applyFont="1" applyFill="1" applyBorder="1" applyAlignment="1" applyProtection="1">
      <alignment vertical="center"/>
      <protection locked="0"/>
    </xf>
    <xf numFmtId="164" fontId="13" fillId="0" borderId="7" xfId="0" applyNumberFormat="1" applyFont="1" applyFill="1" applyBorder="1" applyAlignment="1" applyProtection="1">
      <alignment vertical="center" wrapText="1"/>
      <protection locked="0"/>
    </xf>
    <xf numFmtId="164" fontId="4" fillId="0" borderId="48" xfId="0" applyNumberFormat="1" applyFont="1" applyFill="1" applyBorder="1" applyAlignment="1" applyProtection="1">
      <alignment vertical="center" wrapText="1"/>
      <protection locked="0"/>
    </xf>
    <xf numFmtId="3" fontId="10" fillId="0" borderId="39" xfId="0" applyNumberFormat="1" applyFont="1" applyFill="1" applyBorder="1" applyAlignment="1" applyProtection="1">
      <alignment vertical="center" wrapText="1"/>
      <protection locked="0"/>
    </xf>
    <xf numFmtId="0" fontId="1" fillId="0" borderId="7" xfId="0" applyNumberFormat="1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3" fontId="1" fillId="0" borderId="12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/>
    </xf>
    <xf numFmtId="0" fontId="1" fillId="0" borderId="6" xfId="0" applyNumberFormat="1" applyFont="1" applyFill="1" applyBorder="1" applyAlignment="1" applyProtection="1">
      <alignment vertical="center" wrapText="1"/>
      <protection locked="0"/>
    </xf>
    <xf numFmtId="3" fontId="1" fillId="0" borderId="4" xfId="0" applyNumberFormat="1" applyFont="1" applyFill="1" applyBorder="1" applyAlignment="1" applyProtection="1">
      <alignment vertical="center" wrapText="1"/>
      <protection locked="0"/>
    </xf>
    <xf numFmtId="49" fontId="10" fillId="0" borderId="4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3" fontId="10" fillId="0" borderId="42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164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64" fontId="10" fillId="0" borderId="7" xfId="0" applyNumberFormat="1" applyFont="1" applyFill="1" applyBorder="1" applyAlignment="1" applyProtection="1">
      <alignment vertical="center" wrapText="1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49" fontId="10" fillId="0" borderId="4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41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164" fontId="15" fillId="0" borderId="5" xfId="0" applyNumberFormat="1" applyFont="1" applyFill="1" applyBorder="1" applyAlignment="1" applyProtection="1">
      <alignment vertical="center"/>
      <protection locked="0"/>
    </xf>
    <xf numFmtId="3" fontId="10" fillId="0" borderId="3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/>
    </xf>
    <xf numFmtId="164" fontId="6" fillId="0" borderId="5" xfId="0" applyNumberFormat="1" applyFont="1" applyFill="1" applyBorder="1" applyAlignment="1" applyProtection="1">
      <alignment vertical="center" wrapText="1"/>
      <protection locked="0"/>
    </xf>
    <xf numFmtId="164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49" xfId="0" applyNumberFormat="1" applyFont="1" applyFill="1" applyBorder="1" applyAlignment="1" applyProtection="1">
      <alignment vertical="center"/>
      <protection locked="0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49" fontId="6" fillId="0" borderId="41" xfId="0" applyNumberFormat="1" applyFont="1" applyFill="1" applyBorder="1" applyAlignment="1" applyProtection="1">
      <alignment horizontal="centerContinuous" vertical="center"/>
      <protection locked="0"/>
    </xf>
    <xf numFmtId="0" fontId="6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 wrapText="1"/>
      <protection locked="0"/>
    </xf>
    <xf numFmtId="164" fontId="6" fillId="0" borderId="7" xfId="0" applyNumberFormat="1" applyFont="1" applyFill="1" applyBorder="1" applyAlignment="1" applyProtection="1">
      <alignment vertical="center" wrapText="1"/>
      <protection locked="0"/>
    </xf>
    <xf numFmtId="164" fontId="4" fillId="0" borderId="5" xfId="0" applyNumberFormat="1" applyFont="1" applyFill="1" applyBorder="1" applyAlignment="1" applyProtection="1">
      <alignment vertical="center" wrapText="1"/>
      <protection locked="0"/>
    </xf>
    <xf numFmtId="49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1" xfId="0" applyNumberFormat="1" applyFont="1" applyFill="1" applyBorder="1" applyAlignment="1" applyProtection="1">
      <alignment vertical="center" wrapText="1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164" fontId="6" fillId="0" borderId="20" xfId="0" applyNumberFormat="1" applyFont="1" applyFill="1" applyBorder="1" applyAlignment="1" applyProtection="1">
      <alignment vertical="center" wrapText="1"/>
      <protection locked="0"/>
    </xf>
    <xf numFmtId="164" fontId="6" fillId="0" borderId="2" xfId="0" applyNumberFormat="1" applyFont="1" applyFill="1" applyBorder="1" applyAlignment="1" applyProtection="1">
      <alignment vertical="center" wrapText="1"/>
      <protection locked="0"/>
    </xf>
    <xf numFmtId="3" fontId="10" fillId="0" borderId="50" xfId="0" applyNumberFormat="1" applyFont="1" applyFill="1" applyBorder="1" applyAlignment="1" applyProtection="1">
      <alignment vertical="center" wrapText="1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0" fontId="1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/>
    </xf>
    <xf numFmtId="3" fontId="10" fillId="0" borderId="28" xfId="0" applyNumberFormat="1" applyFont="1" applyFill="1" applyBorder="1" applyAlignment="1" applyProtection="1">
      <alignment vertical="center" wrapText="1"/>
      <protection locked="0"/>
    </xf>
    <xf numFmtId="3" fontId="1" fillId="0" borderId="40" xfId="0" applyNumberFormat="1" applyFont="1" applyFill="1" applyBorder="1" applyAlignment="1" applyProtection="1">
      <alignment vertical="center" wrapText="1"/>
      <protection locked="0"/>
    </xf>
    <xf numFmtId="0" fontId="10" fillId="0" borderId="5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7" xfId="0" applyNumberFormat="1" applyFont="1" applyFill="1" applyBorder="1" applyAlignment="1" applyProtection="1">
      <alignment vertical="center" wrapText="1"/>
      <protection locked="0"/>
    </xf>
    <xf numFmtId="164" fontId="1" fillId="0" borderId="5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Fill="1" applyBorder="1" applyAlignment="1" applyProtection="1">
      <alignment vertical="center"/>
      <protection locked="0"/>
    </xf>
    <xf numFmtId="3" fontId="1" fillId="0" borderId="47" xfId="0" applyNumberFormat="1" applyFont="1" applyFill="1" applyBorder="1" applyAlignment="1" applyProtection="1">
      <alignment vertical="center"/>
      <protection locked="0"/>
    </xf>
    <xf numFmtId="49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3" xfId="0" applyNumberFormat="1" applyFont="1" applyFill="1" applyBorder="1" applyAlignment="1" applyProtection="1">
      <alignment vertical="center" wrapText="1"/>
      <protection locked="0"/>
    </xf>
    <xf numFmtId="0" fontId="10" fillId="0" borderId="51" xfId="0" applyNumberFormat="1" applyFont="1" applyFill="1" applyBorder="1" applyAlignment="1" applyProtection="1">
      <alignment vertical="center" wrapText="1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49" fontId="1" fillId="0" borderId="12" xfId="0" applyNumberFormat="1" applyFont="1" applyFill="1" applyBorder="1" applyAlignment="1" applyProtection="1">
      <alignment horizontal="centerContinuous"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0" fontId="6" fillId="0" borderId="51" xfId="0" applyNumberFormat="1" applyFont="1" applyFill="1" applyBorder="1" applyAlignment="1" applyProtection="1">
      <alignment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Continuous" vertical="center"/>
      <protection locked="0"/>
    </xf>
    <xf numFmtId="0" fontId="1" fillId="0" borderId="55" xfId="0" applyNumberFormat="1" applyFont="1" applyFill="1" applyBorder="1" applyAlignment="1" applyProtection="1">
      <alignment vertical="center" wrapText="1"/>
      <protection locked="0"/>
    </xf>
    <xf numFmtId="164" fontId="4" fillId="0" borderId="5" xfId="0" applyNumberFormat="1" applyFont="1" applyFill="1" applyBorder="1" applyAlignment="1" applyProtection="1">
      <alignment vertical="center"/>
      <protection locked="0"/>
    </xf>
    <xf numFmtId="0" fontId="1" fillId="0" borderId="53" xfId="0" applyNumberFormat="1" applyFont="1" applyFill="1" applyBorder="1" applyAlignment="1" applyProtection="1">
      <alignment vertical="center" wrapText="1"/>
      <protection locked="0"/>
    </xf>
    <xf numFmtId="0" fontId="6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1" xfId="0" applyNumberFormat="1" applyFont="1" applyFill="1" applyBorder="1" applyAlignment="1" applyProtection="1">
      <alignment vertical="center" wrapText="1"/>
      <protection locked="0"/>
    </xf>
    <xf numFmtId="3" fontId="22" fillId="0" borderId="3" xfId="0" applyNumberFormat="1" applyFont="1" applyBorder="1" applyAlignment="1">
      <alignment vertical="center"/>
    </xf>
    <xf numFmtId="3" fontId="22" fillId="0" borderId="40" xfId="0" applyNumberFormat="1" applyFont="1" applyBorder="1" applyAlignment="1">
      <alignment vertical="center"/>
    </xf>
    <xf numFmtId="164" fontId="23" fillId="0" borderId="5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3" fontId="22" fillId="0" borderId="9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0" fontId="10" fillId="0" borderId="40" xfId="0" applyNumberFormat="1" applyFont="1" applyFill="1" applyBorder="1" applyAlignment="1" applyProtection="1">
      <alignment vertical="center" wrapText="1"/>
      <protection locked="0"/>
    </xf>
    <xf numFmtId="49" fontId="10" fillId="0" borderId="3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164" fontId="6" fillId="0" borderId="46" xfId="0" applyNumberFormat="1" applyFont="1" applyFill="1" applyBorder="1" applyAlignment="1" applyProtection="1">
      <alignment vertical="center" wrapText="1"/>
      <protection locked="0"/>
    </xf>
    <xf numFmtId="3" fontId="1" fillId="0" borderId="44" xfId="0" applyNumberFormat="1" applyFont="1" applyFill="1" applyBorder="1" applyAlignment="1" applyProtection="1">
      <alignment vertical="center" wrapText="1"/>
      <protection locked="0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164" fontId="4" fillId="0" borderId="7" xfId="0" applyNumberFormat="1" applyFont="1" applyFill="1" applyBorder="1" applyAlignment="1" applyProtection="1">
      <alignment vertical="center" wrapText="1"/>
      <protection locked="0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3" fontId="12" fillId="0" borderId="9" xfId="0" applyNumberFormat="1" applyFont="1" applyFill="1" applyBorder="1" applyAlignment="1" applyProtection="1">
      <alignment vertical="center" wrapText="1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0" fontId="20" fillId="0" borderId="20" xfId="0" applyFont="1" applyBorder="1" applyAlignment="1">
      <alignment horizontal="center" vertical="center"/>
    </xf>
    <xf numFmtId="3" fontId="6" fillId="0" borderId="9" xfId="0" applyNumberFormat="1" applyFont="1" applyFill="1" applyBorder="1" applyAlignment="1" applyProtection="1">
      <alignment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164" fontId="15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Fill="1" applyBorder="1" applyAlignment="1" applyProtection="1">
      <alignment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3" fontId="8" fillId="0" borderId="9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Alignment="1">
      <alignment/>
    </xf>
    <xf numFmtId="3" fontId="8" fillId="0" borderId="37" xfId="0" applyNumberFormat="1" applyFont="1" applyFill="1" applyBorder="1" applyAlignment="1" applyProtection="1">
      <alignment horizontal="right" vertical="center"/>
      <protection locked="0"/>
    </xf>
    <xf numFmtId="3" fontId="8" fillId="0" borderId="27" xfId="0" applyNumberFormat="1" applyFont="1" applyFill="1" applyBorder="1" applyAlignment="1" applyProtection="1">
      <alignment vertical="center" wrapText="1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164" fontId="11" fillId="0" borderId="8" xfId="0" applyNumberFormat="1" applyFont="1" applyFill="1" applyBorder="1" applyAlignment="1" applyProtection="1">
      <alignment horizontal="right" vertical="center"/>
      <protection locked="0"/>
    </xf>
    <xf numFmtId="164" fontId="11" fillId="0" borderId="8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56" xfId="0" applyFont="1" applyBorder="1" applyAlignment="1">
      <alignment horizontal="center" vertical="center" wrapText="1"/>
    </xf>
    <xf numFmtId="3" fontId="27" fillId="0" borderId="57" xfId="0" applyNumberFormat="1" applyFont="1" applyBorder="1" applyAlignment="1">
      <alignment horizontal="center" vertical="center"/>
    </xf>
    <xf numFmtId="3" fontId="27" fillId="0" borderId="5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0" borderId="59" xfId="0" applyFont="1" applyBorder="1" applyAlignment="1">
      <alignment horizontal="center" vertical="center" wrapText="1"/>
    </xf>
    <xf numFmtId="3" fontId="16" fillId="0" borderId="60" xfId="0" applyNumberFormat="1" applyFont="1" applyBorder="1" applyAlignment="1">
      <alignment horizontal="center" vertical="center"/>
    </xf>
    <xf numFmtId="3" fontId="16" fillId="0" borderId="6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7" fillId="0" borderId="62" xfId="0" applyFont="1" applyBorder="1" applyAlignment="1">
      <alignment vertical="center" wrapText="1"/>
    </xf>
    <xf numFmtId="4" fontId="27" fillId="0" borderId="13" xfId="0" applyNumberFormat="1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0" fontId="27" fillId="0" borderId="64" xfId="0" applyFont="1" applyBorder="1" applyAlignment="1">
      <alignment vertical="center" wrapText="1"/>
    </xf>
    <xf numFmtId="4" fontId="27" fillId="0" borderId="40" xfId="0" applyNumberFormat="1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0" fontId="28" fillId="0" borderId="64" xfId="0" applyFont="1" applyBorder="1" applyAlignment="1">
      <alignment vertical="center" wrapText="1"/>
    </xf>
    <xf numFmtId="4" fontId="28" fillId="0" borderId="40" xfId="0" applyNumberFormat="1" applyFont="1" applyBorder="1" applyAlignment="1">
      <alignment vertical="center"/>
    </xf>
    <xf numFmtId="4" fontId="28" fillId="0" borderId="65" xfId="0" applyNumberFormat="1" applyFont="1" applyBorder="1" applyAlignment="1">
      <alignment vertical="center"/>
    </xf>
    <xf numFmtId="0" fontId="30" fillId="0" borderId="64" xfId="0" applyFont="1" applyBorder="1" applyAlignment="1">
      <alignment vertical="center" wrapText="1"/>
    </xf>
    <xf numFmtId="4" fontId="30" fillId="0" borderId="40" xfId="0" applyNumberFormat="1" applyFont="1" applyBorder="1" applyAlignment="1">
      <alignment vertical="center"/>
    </xf>
    <xf numFmtId="4" fontId="30" fillId="0" borderId="65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164" fontId="28" fillId="0" borderId="64" xfId="0" applyNumberFormat="1" applyFont="1" applyBorder="1" applyAlignment="1">
      <alignment vertical="center" wrapText="1"/>
    </xf>
    <xf numFmtId="164" fontId="2" fillId="0" borderId="64" xfId="0" applyNumberFormat="1" applyFont="1" applyBorder="1" applyAlignment="1">
      <alignment vertical="center" wrapText="1"/>
    </xf>
    <xf numFmtId="3" fontId="28" fillId="0" borderId="40" xfId="0" applyNumberFormat="1" applyFont="1" applyBorder="1" applyAlignment="1">
      <alignment vertical="center"/>
    </xf>
    <xf numFmtId="3" fontId="28" fillId="0" borderId="65" xfId="0" applyNumberFormat="1" applyFont="1" applyBorder="1" applyAlignment="1">
      <alignment vertical="center"/>
    </xf>
    <xf numFmtId="0" fontId="28" fillId="0" borderId="59" xfId="0" applyFont="1" applyBorder="1" applyAlignment="1">
      <alignment vertical="center" wrapText="1"/>
    </xf>
    <xf numFmtId="3" fontId="28" fillId="0" borderId="60" xfId="0" applyNumberFormat="1" applyFont="1" applyBorder="1" applyAlignment="1">
      <alignment vertical="center"/>
    </xf>
    <xf numFmtId="3" fontId="28" fillId="0" borderId="61" xfId="0" applyNumberFormat="1" applyFont="1" applyBorder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164" fontId="11" fillId="0" borderId="8" xfId="0" applyNumberFormat="1" applyFont="1" applyFill="1" applyBorder="1" applyAlignment="1" applyProtection="1">
      <alignment vertical="center"/>
      <protection locked="0"/>
    </xf>
    <xf numFmtId="3" fontId="14" fillId="0" borderId="1" xfId="0" applyNumberFormat="1" applyFont="1" applyFill="1" applyBorder="1" applyAlignment="1" applyProtection="1">
      <alignment vertical="center"/>
      <protection locked="0"/>
    </xf>
    <xf numFmtId="164" fontId="8" fillId="0" borderId="2" xfId="0" applyNumberFormat="1" applyFont="1" applyFill="1" applyBorder="1" applyAlignment="1" applyProtection="1">
      <alignment vertical="center"/>
      <protection locked="0"/>
    </xf>
    <xf numFmtId="3" fontId="14" fillId="0" borderId="9" xfId="0" applyNumberFormat="1" applyFont="1" applyFill="1" applyBorder="1" applyAlignment="1" applyProtection="1">
      <alignment vertical="center"/>
      <protection locked="0"/>
    </xf>
    <xf numFmtId="164" fontId="5" fillId="0" borderId="7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49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Fill="1" applyBorder="1" applyAlignment="1" applyProtection="1">
      <alignment horizontal="centerContinuous" vertical="center"/>
      <protection locked="0"/>
    </xf>
    <xf numFmtId="0" fontId="5" fillId="0" borderId="17" xfId="0" applyNumberFormat="1" applyFont="1" applyFill="1" applyBorder="1" applyAlignment="1" applyProtection="1">
      <alignment vertical="center" wrapText="1"/>
      <protection locked="0"/>
    </xf>
    <xf numFmtId="3" fontId="12" fillId="0" borderId="19" xfId="0" applyNumberFormat="1" applyFont="1" applyFill="1" applyBorder="1" applyAlignment="1" applyProtection="1">
      <alignment vertical="center" wrapText="1"/>
      <protection locked="0"/>
    </xf>
    <xf numFmtId="164" fontId="5" fillId="0" borderId="20" xfId="0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/>
    </xf>
    <xf numFmtId="0" fontId="0" fillId="0" borderId="19" xfId="0" applyFont="1" applyBorder="1" applyAlignment="1">
      <alignment/>
    </xf>
    <xf numFmtId="49" fontId="5" fillId="0" borderId="19" xfId="0" applyNumberFormat="1" applyFont="1" applyFill="1" applyBorder="1" applyAlignment="1" applyProtection="1">
      <alignment horizontal="centerContinuous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Border="1" applyAlignment="1">
      <alignment/>
    </xf>
    <xf numFmtId="49" fontId="1" fillId="0" borderId="66" xfId="0" applyNumberFormat="1" applyFont="1" applyFill="1" applyBorder="1" applyAlignment="1" applyProtection="1">
      <alignment horizontal="centerContinuous" vertical="center"/>
      <protection locked="0"/>
    </xf>
    <xf numFmtId="0" fontId="1" fillId="0" borderId="67" xfId="0" applyNumberFormat="1" applyFont="1" applyFill="1" applyBorder="1" applyAlignment="1" applyProtection="1">
      <alignment vertical="center" wrapText="1"/>
      <protection locked="0"/>
    </xf>
    <xf numFmtId="3" fontId="1" fillId="0" borderId="66" xfId="0" applyNumberFormat="1" applyFont="1" applyFill="1" applyBorder="1" applyAlignment="1" applyProtection="1">
      <alignment vertical="center" wrapText="1"/>
      <protection locked="0"/>
    </xf>
    <xf numFmtId="3" fontId="1" fillId="0" borderId="47" xfId="0" applyNumberFormat="1" applyFont="1" applyFill="1" applyBorder="1" applyAlignment="1" applyProtection="1">
      <alignment vertical="center" wrapText="1"/>
      <protection locked="0"/>
    </xf>
    <xf numFmtId="164" fontId="4" fillId="0" borderId="67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Fill="1" applyBorder="1" applyAlignment="1" applyProtection="1">
      <alignment vertical="center"/>
      <protection locked="0"/>
    </xf>
    <xf numFmtId="3" fontId="1" fillId="0" borderId="47" xfId="0" applyNumberFormat="1" applyFont="1" applyFill="1" applyBorder="1" applyAlignment="1" applyProtection="1">
      <alignment vertical="center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51" xfId="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vertical="center" wrapText="1"/>
      <protection locked="0"/>
    </xf>
    <xf numFmtId="3" fontId="10" fillId="0" borderId="9" xfId="0" applyNumberFormat="1" applyFont="1" applyFill="1" applyBorder="1" applyAlignment="1" applyProtection="1">
      <alignment vertical="center" wrapText="1"/>
      <protection locked="0"/>
    </xf>
    <xf numFmtId="3" fontId="1" fillId="0" borderId="9" xfId="0" applyNumberFormat="1" applyFont="1" applyFill="1" applyBorder="1" applyAlignment="1" applyProtection="1">
      <alignment vertical="center" wrapText="1"/>
      <protection locked="0"/>
    </xf>
    <xf numFmtId="164" fontId="4" fillId="0" borderId="20" xfId="0" applyNumberFormat="1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 wrapText="1"/>
      <protection locked="0"/>
    </xf>
    <xf numFmtId="3" fontId="22" fillId="0" borderId="12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vertical="center"/>
    </xf>
    <xf numFmtId="164" fontId="23" fillId="0" borderId="7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10" fillId="0" borderId="1" xfId="0" applyNumberFormat="1" applyFont="1" applyFill="1" applyBorder="1" applyAlignment="1" applyProtection="1">
      <alignment horizontal="centerContinuous" vertical="center"/>
      <protection locked="0"/>
    </xf>
    <xf numFmtId="3" fontId="14" fillId="0" borderId="19" xfId="0" applyNumberFormat="1" applyFont="1" applyFill="1" applyBorder="1" applyAlignment="1" applyProtection="1">
      <alignment vertical="center" wrapText="1"/>
      <protection locked="0"/>
    </xf>
    <xf numFmtId="3" fontId="14" fillId="0" borderId="9" xfId="0" applyNumberFormat="1" applyFont="1" applyFill="1" applyBorder="1" applyAlignment="1" applyProtection="1">
      <alignment vertical="center" wrapText="1"/>
      <protection locked="0"/>
    </xf>
    <xf numFmtId="3" fontId="12" fillId="0" borderId="45" xfId="0" applyNumberFormat="1" applyFont="1" applyFill="1" applyBorder="1" applyAlignment="1" applyProtection="1">
      <alignment vertical="center" wrapText="1"/>
      <protection locked="0"/>
    </xf>
    <xf numFmtId="164" fontId="8" fillId="0" borderId="20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" xfId="0" applyNumberFormat="1" applyFont="1" applyFill="1" applyBorder="1" applyAlignment="1" applyProtection="1">
      <alignment vertical="center" wrapText="1"/>
      <protection locked="0"/>
    </xf>
    <xf numFmtId="3" fontId="14" fillId="0" borderId="19" xfId="0" applyNumberFormat="1" applyFont="1" applyFill="1" applyBorder="1" applyAlignment="1" applyProtection="1">
      <alignment vertical="center" wrapText="1"/>
      <protection locked="0"/>
    </xf>
    <xf numFmtId="3" fontId="14" fillId="0" borderId="9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vertical="center" wrapText="1"/>
      <protection locked="0"/>
    </xf>
    <xf numFmtId="3" fontId="14" fillId="0" borderId="9" xfId="0" applyNumberFormat="1" applyFont="1" applyFill="1" applyBorder="1" applyAlignment="1" applyProtection="1">
      <alignment vertical="center"/>
      <protection locked="0"/>
    </xf>
    <xf numFmtId="164" fontId="14" fillId="0" borderId="2" xfId="0" applyNumberFormat="1" applyFont="1" applyFill="1" applyBorder="1" applyAlignment="1" applyProtection="1">
      <alignment vertical="center" wrapText="1"/>
      <protection locked="0"/>
    </xf>
    <xf numFmtId="3" fontId="14" fillId="0" borderId="1" xfId="0" applyNumberFormat="1" applyFont="1" applyFill="1" applyBorder="1" applyAlignment="1" applyProtection="1">
      <alignment vertical="center"/>
      <protection locked="0"/>
    </xf>
    <xf numFmtId="164" fontId="14" fillId="0" borderId="2" xfId="0" applyNumberFormat="1" applyFont="1" applyFill="1" applyBorder="1" applyAlignment="1" applyProtection="1">
      <alignment vertical="center" wrapText="1"/>
      <protection locked="0"/>
    </xf>
    <xf numFmtId="164" fontId="1" fillId="0" borderId="20" xfId="0" applyNumberFormat="1" applyFont="1" applyFill="1" applyBorder="1" applyAlignment="1" applyProtection="1">
      <alignment vertical="center" wrapText="1"/>
      <protection locked="0"/>
    </xf>
    <xf numFmtId="164" fontId="1" fillId="0" borderId="2" xfId="0" applyNumberFormat="1" applyFont="1" applyFill="1" applyBorder="1" applyAlignment="1" applyProtection="1">
      <alignment vertical="center" wrapText="1"/>
      <protection locked="0"/>
    </xf>
    <xf numFmtId="164" fontId="10" fillId="0" borderId="68" xfId="0" applyNumberFormat="1" applyFont="1" applyFill="1" applyBorder="1" applyAlignment="1" applyProtection="1">
      <alignment vertical="center" wrapText="1"/>
      <protection locked="0"/>
    </xf>
    <xf numFmtId="164" fontId="6" fillId="0" borderId="5" xfId="0" applyNumberFormat="1" applyFont="1" applyFill="1" applyBorder="1" applyAlignment="1" applyProtection="1">
      <alignment vertical="center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3" fontId="10" fillId="0" borderId="69" xfId="0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NumberFormat="1" applyFont="1" applyFill="1" applyBorder="1" applyAlignment="1" applyProtection="1">
      <alignment vertical="center" wrapText="1"/>
      <protection locked="0"/>
    </xf>
    <xf numFmtId="165" fontId="6" fillId="0" borderId="2" xfId="0" applyNumberFormat="1" applyFont="1" applyFill="1" applyBorder="1" applyAlignment="1" applyProtection="1">
      <alignment horizontal="righ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165" fontId="5" fillId="0" borderId="2" xfId="0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4" fontId="5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52" xfId="0" applyNumberFormat="1" applyFont="1" applyFill="1" applyBorder="1" applyAlignment="1" applyProtection="1">
      <alignment horizontal="right" vertical="center"/>
      <protection locked="0"/>
    </xf>
    <xf numFmtId="3" fontId="6" fillId="0" borderId="47" xfId="0" applyNumberFormat="1" applyFont="1" applyFill="1" applyBorder="1" applyAlignment="1" applyProtection="1">
      <alignment vertical="center" wrapText="1"/>
      <protection locked="0"/>
    </xf>
    <xf numFmtId="165" fontId="6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5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67" xfId="0" applyFont="1" applyBorder="1" applyAlignment="1">
      <alignment/>
    </xf>
    <xf numFmtId="3" fontId="6" fillId="0" borderId="71" xfId="0" applyNumberFormat="1" applyFont="1" applyFill="1" applyBorder="1" applyAlignment="1" applyProtection="1">
      <alignment horizontal="right" vertical="center"/>
      <protection locked="0"/>
    </xf>
    <xf numFmtId="164" fontId="6" fillId="0" borderId="67" xfId="0" applyNumberFormat="1" applyFont="1" applyFill="1" applyBorder="1" applyAlignment="1" applyProtection="1">
      <alignment horizontal="right" vertical="center"/>
      <protection locked="0"/>
    </xf>
    <xf numFmtId="165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3" fontId="8" fillId="0" borderId="27" xfId="0" applyNumberFormat="1" applyFont="1" applyFill="1" applyBorder="1" applyAlignment="1" applyProtection="1">
      <alignment horizontal="right" vertical="center"/>
      <protection locked="0"/>
    </xf>
    <xf numFmtId="164" fontId="11" fillId="0" borderId="38" xfId="0" applyNumberFormat="1" applyFont="1" applyFill="1" applyBorder="1" applyAlignment="1" applyProtection="1">
      <alignment horizontal="right" vertical="center"/>
      <protection locked="0"/>
    </xf>
    <xf numFmtId="4" fontId="8" fillId="0" borderId="39" xfId="0" applyNumberFormat="1" applyFont="1" applyFill="1" applyBorder="1" applyAlignment="1" applyProtection="1">
      <alignment horizontal="right" vertical="center"/>
      <protection locked="0"/>
    </xf>
    <xf numFmtId="4" fontId="8" fillId="0" borderId="27" xfId="0" applyNumberFormat="1" applyFont="1" applyFill="1" applyBorder="1" applyAlignment="1" applyProtection="1">
      <alignment horizontal="right" vertical="center"/>
      <protection locked="0"/>
    </xf>
    <xf numFmtId="3" fontId="8" fillId="0" borderId="49" xfId="0" applyNumberFormat="1" applyFont="1" applyFill="1" applyBorder="1" applyAlignment="1" applyProtection="1">
      <alignment horizontal="right" vertical="center"/>
      <protection locked="0"/>
    </xf>
    <xf numFmtId="165" fontId="8" fillId="0" borderId="8" xfId="0" applyNumberFormat="1" applyFont="1" applyFill="1" applyBorder="1" applyAlignment="1" applyProtection="1">
      <alignment horizontal="right" vertical="center"/>
      <protection locked="0"/>
    </xf>
    <xf numFmtId="4" fontId="8" fillId="0" borderId="39" xfId="0" applyNumberFormat="1" applyFont="1" applyFill="1" applyBorder="1" applyAlignment="1" applyProtection="1">
      <alignment horizontal="right" vertical="center"/>
      <protection locked="0"/>
    </xf>
    <xf numFmtId="4" fontId="8" fillId="0" borderId="27" xfId="0" applyNumberFormat="1" applyFont="1" applyFill="1" applyBorder="1" applyAlignment="1" applyProtection="1">
      <alignment horizontal="right" vertical="center"/>
      <protection locked="0"/>
    </xf>
    <xf numFmtId="4" fontId="10" fillId="0" borderId="27" xfId="0" applyNumberFormat="1" applyFont="1" applyFill="1" applyBorder="1" applyAlignment="1" applyProtection="1">
      <alignment vertical="center" wrapText="1"/>
      <protection locked="0"/>
    </xf>
    <xf numFmtId="4" fontId="10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1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9" xfId="0" applyNumberFormat="1" applyFont="1" applyFill="1" applyBorder="1" applyAlignment="1" applyProtection="1">
      <alignment vertical="center" wrapText="1"/>
      <protection locked="0"/>
    </xf>
    <xf numFmtId="4" fontId="1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39" xfId="0" applyNumberFormat="1" applyFont="1" applyFill="1" applyBorder="1" applyAlignment="1" applyProtection="1">
      <alignment vertical="center" wrapText="1"/>
      <protection locked="0"/>
    </xf>
    <xf numFmtId="164" fontId="10" fillId="0" borderId="8" xfId="0" applyNumberFormat="1" applyFont="1" applyFill="1" applyBorder="1" applyAlignment="1" applyProtection="1">
      <alignment vertical="center" wrapText="1"/>
      <protection locked="0"/>
    </xf>
    <xf numFmtId="164" fontId="6" fillId="0" borderId="7" xfId="0" applyNumberFormat="1" applyFont="1" applyFill="1" applyBorder="1" applyAlignment="1" applyProtection="1">
      <alignment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67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 wrapText="1"/>
      <protection locked="0"/>
    </xf>
    <xf numFmtId="164" fontId="6" fillId="0" borderId="6" xfId="0" applyNumberFormat="1" applyFont="1" applyFill="1" applyBorder="1" applyAlignment="1" applyProtection="1">
      <alignment vertical="center"/>
      <protection locked="0"/>
    </xf>
    <xf numFmtId="164" fontId="6" fillId="0" borderId="6" xfId="0" applyNumberFormat="1" applyFont="1" applyFill="1" applyBorder="1" applyAlignment="1" applyProtection="1">
      <alignment vertical="center" wrapText="1"/>
      <protection locked="0"/>
    </xf>
    <xf numFmtId="164" fontId="6" fillId="0" borderId="11" xfId="0" applyNumberFormat="1" applyFont="1" applyFill="1" applyBorder="1" applyAlignment="1" applyProtection="1">
      <alignment vertical="center" wrapText="1"/>
      <protection locked="0"/>
    </xf>
    <xf numFmtId="3" fontId="1" fillId="0" borderId="3" xfId="0" applyNumberFormat="1" applyFont="1" applyFill="1" applyBorder="1" applyAlignment="1" applyProtection="1">
      <alignment vertical="center" wrapText="1"/>
      <protection locked="0"/>
    </xf>
    <xf numFmtId="0" fontId="12" fillId="0" borderId="2" xfId="0" applyNumberFormat="1" applyFont="1" applyFill="1" applyBorder="1" applyAlignment="1" applyProtection="1">
      <alignment vertical="center" wrapText="1"/>
      <protection locked="0"/>
    </xf>
    <xf numFmtId="165" fontId="6" fillId="0" borderId="8" xfId="0" applyNumberFormat="1" applyFont="1" applyFill="1" applyBorder="1" applyAlignment="1" applyProtection="1">
      <alignment vertical="center" wrapText="1"/>
      <protection locked="0"/>
    </xf>
    <xf numFmtId="3" fontId="1" fillId="0" borderId="45" xfId="0" applyNumberFormat="1" applyFont="1" applyFill="1" applyBorder="1" applyAlignment="1" applyProtection="1">
      <alignment vertical="center" wrapText="1"/>
      <protection locked="0"/>
    </xf>
    <xf numFmtId="0" fontId="10" fillId="0" borderId="67" xfId="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Fill="1" applyBorder="1" applyAlignment="1" applyProtection="1">
      <alignment vertical="center" wrapText="1"/>
      <protection locked="0"/>
    </xf>
    <xf numFmtId="164" fontId="6" fillId="0" borderId="67" xfId="0" applyNumberFormat="1" applyFont="1" applyFill="1" applyBorder="1" applyAlignment="1" applyProtection="1">
      <alignment vertical="center" wrapText="1"/>
      <protection locked="0"/>
    </xf>
    <xf numFmtId="3" fontId="10" fillId="0" borderId="52" xfId="0" applyNumberFormat="1" applyFont="1" applyFill="1" applyBorder="1" applyAlignment="1" applyProtection="1">
      <alignment vertical="center" wrapText="1"/>
      <protection locked="0"/>
    </xf>
    <xf numFmtId="3" fontId="10" fillId="0" borderId="52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0" fontId="34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10" fillId="0" borderId="50" xfId="0" applyNumberFormat="1" applyFont="1" applyFill="1" applyBorder="1" applyAlignment="1" applyProtection="1">
      <alignment vertical="center" wrapText="1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164" fontId="6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37" fillId="0" borderId="40" xfId="0" applyNumberFormat="1" applyFont="1" applyBorder="1" applyAlignment="1">
      <alignment vertical="center"/>
    </xf>
    <xf numFmtId="49" fontId="8" fillId="0" borderId="1" xfId="0" applyNumberFormat="1" applyFont="1" applyFill="1" applyBorder="1" applyAlignment="1" applyProtection="1">
      <alignment horizontal="centerContinuous" vertical="center"/>
      <protection locked="0"/>
    </xf>
    <xf numFmtId="0" fontId="8" fillId="0" borderId="17" xfId="0" applyNumberFormat="1" applyFont="1" applyFill="1" applyBorder="1" applyAlignment="1" applyProtection="1">
      <alignment vertical="center" wrapText="1"/>
      <protection locked="0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38" fillId="0" borderId="9" xfId="0" applyNumberFormat="1" applyFont="1" applyBorder="1" applyAlignment="1">
      <alignment vertical="center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Border="1" applyAlignment="1">
      <alignment/>
    </xf>
    <xf numFmtId="4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165" fontId="6" fillId="0" borderId="2" xfId="0" applyNumberFormat="1" applyFont="1" applyFill="1" applyBorder="1" applyAlignment="1" applyProtection="1">
      <alignment horizontal="right" vertical="center"/>
      <protection locked="0"/>
    </xf>
    <xf numFmtId="165" fontId="5" fillId="0" borderId="2" xfId="0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Fill="1" applyBorder="1" applyAlignment="1" applyProtection="1">
      <alignment vertical="center" wrapText="1"/>
      <protection locked="0"/>
    </xf>
    <xf numFmtId="164" fontId="6" fillId="0" borderId="70" xfId="0" applyNumberFormat="1" applyFont="1" applyFill="1" applyBorder="1" applyAlignment="1" applyProtection="1">
      <alignment horizontal="right" vertical="center"/>
      <protection locked="0"/>
    </xf>
    <xf numFmtId="3" fontId="6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2" xfId="0" applyFont="1" applyBorder="1" applyAlignment="1">
      <alignment horizontal="center" vertical="center" wrapText="1"/>
    </xf>
    <xf numFmtId="3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>
      <alignment horizontal="center" vertical="center" wrapText="1"/>
    </xf>
    <xf numFmtId="3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>
      <alignment horizontal="center" vertical="center" wrapText="1"/>
    </xf>
    <xf numFmtId="0" fontId="10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 horizontal="center" vertical="center" wrapText="1"/>
    </xf>
    <xf numFmtId="3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20" fillId="0" borderId="15" xfId="0" applyFont="1" applyBorder="1" applyAlignment="1">
      <alignment horizontal="center" vertical="center"/>
    </xf>
    <xf numFmtId="3" fontId="5" fillId="0" borderId="15" xfId="0" applyNumberFormat="1" applyFont="1" applyFill="1" applyBorder="1" applyAlignment="1" applyProtection="1">
      <alignment vertical="center" wrapText="1"/>
      <protection locked="0"/>
    </xf>
    <xf numFmtId="0" fontId="24" fillId="0" borderId="15" xfId="0" applyFont="1" applyBorder="1" applyAlignment="1">
      <alignment vertical="center" wrapText="1"/>
    </xf>
    <xf numFmtId="3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20" fillId="0" borderId="20" xfId="0" applyFont="1" applyBorder="1" applyAlignment="1">
      <alignment horizontal="center" vertical="center"/>
    </xf>
    <xf numFmtId="165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65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77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66" xfId="0" applyFont="1" applyBorder="1" applyAlignment="1">
      <alignment/>
    </xf>
    <xf numFmtId="0" fontId="17" fillId="0" borderId="78" xfId="0" applyFont="1" applyBorder="1" applyAlignment="1">
      <alignment/>
    </xf>
    <xf numFmtId="0" fontId="17" fillId="0" borderId="72" xfId="0" applyFont="1" applyBorder="1" applyAlignment="1">
      <alignment/>
    </xf>
    <xf numFmtId="165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7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65" fontId="10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164" fontId="6" fillId="0" borderId="30" xfId="0" applyNumberFormat="1" applyFont="1" applyFill="1" applyBorder="1" applyAlignment="1" applyProtection="1">
      <alignment vertical="center" wrapText="1"/>
      <protection locked="0"/>
    </xf>
    <xf numFmtId="3" fontId="10" fillId="0" borderId="69" xfId="0" applyNumberFormat="1" applyFont="1" applyFill="1" applyBorder="1" applyAlignment="1" applyProtection="1">
      <alignment vertical="center"/>
      <protection locked="0"/>
    </xf>
    <xf numFmtId="164" fontId="15" fillId="0" borderId="11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49" fontId="12" fillId="0" borderId="42" xfId="0" applyNumberFormat="1" applyFont="1" applyFill="1" applyBorder="1" applyAlignment="1" applyProtection="1">
      <alignment horizontal="centerContinuous" vertical="center"/>
      <protection locked="0"/>
    </xf>
    <xf numFmtId="0" fontId="5" fillId="0" borderId="53" xfId="0" applyNumberFormat="1" applyFont="1" applyFill="1" applyBorder="1" applyAlignment="1" applyProtection="1">
      <alignment vertical="center" wrapText="1"/>
      <protection locked="0"/>
    </xf>
    <xf numFmtId="3" fontId="12" fillId="0" borderId="42" xfId="0" applyNumberFormat="1" applyFont="1" applyFill="1" applyBorder="1" applyAlignment="1" applyProtection="1">
      <alignment vertical="center" wrapText="1"/>
      <protection locked="0"/>
    </xf>
    <xf numFmtId="3" fontId="12" fillId="0" borderId="13" xfId="0" applyNumberFormat="1" applyFont="1" applyFill="1" applyBorder="1" applyAlignment="1" applyProtection="1">
      <alignment vertical="center" wrapText="1"/>
      <protection locked="0"/>
    </xf>
    <xf numFmtId="164" fontId="5" fillId="0" borderId="43" xfId="0" applyNumberFormat="1" applyFont="1" applyFill="1" applyBorder="1" applyAlignment="1" applyProtection="1">
      <alignment vertical="center" wrapText="1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64" fontId="5" fillId="0" borderId="7" xfId="0" applyNumberFormat="1" applyFont="1" applyFill="1" applyBorder="1" applyAlignment="1" applyProtection="1">
      <alignment vertical="center" wrapText="1"/>
      <protection locked="0"/>
    </xf>
    <xf numFmtId="49" fontId="10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72" xfId="0" applyNumberFormat="1" applyFont="1" applyFill="1" applyBorder="1" applyAlignment="1" applyProtection="1">
      <alignment vertical="center" wrapText="1"/>
      <protection locked="0"/>
    </xf>
    <xf numFmtId="164" fontId="6" fillId="0" borderId="67" xfId="0" applyNumberFormat="1" applyFont="1" applyFill="1" applyBorder="1" applyAlignment="1" applyProtection="1">
      <alignment vertical="center"/>
      <protection locked="0"/>
    </xf>
    <xf numFmtId="0" fontId="40" fillId="0" borderId="7" xfId="0" applyNumberFormat="1" applyFont="1" applyFill="1" applyBorder="1" applyAlignment="1" applyProtection="1">
      <alignment vertical="center" wrapText="1"/>
      <protection locked="0"/>
    </xf>
    <xf numFmtId="0" fontId="40" fillId="0" borderId="5" xfId="0" applyNumberFormat="1" applyFont="1" applyFill="1" applyBorder="1" applyAlignment="1" applyProtection="1">
      <alignment vertical="center" wrapText="1"/>
      <protection locked="0"/>
    </xf>
    <xf numFmtId="0" fontId="40" fillId="0" borderId="6" xfId="0" applyNumberFormat="1" applyFont="1" applyFill="1" applyBorder="1" applyAlignment="1" applyProtection="1">
      <alignment vertical="center" wrapText="1"/>
      <protection locked="0"/>
    </xf>
    <xf numFmtId="0" fontId="4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5" xfId="0" applyNumberFormat="1" applyFont="1" applyFill="1" applyBorder="1" applyAlignment="1" applyProtection="1">
      <alignment vertical="center" wrapText="1"/>
      <protection locked="0"/>
    </xf>
    <xf numFmtId="164" fontId="10" fillId="0" borderId="67" xfId="0" applyNumberFormat="1" applyFont="1" applyFill="1" applyBorder="1" applyAlignment="1" applyProtection="1">
      <alignment vertical="center" wrapText="1"/>
      <protection locked="0"/>
    </xf>
    <xf numFmtId="164" fontId="1" fillId="0" borderId="67" xfId="0" applyNumberFormat="1" applyFont="1" applyFill="1" applyBorder="1" applyAlignment="1" applyProtection="1">
      <alignment vertical="center" wrapText="1"/>
      <protection locked="0"/>
    </xf>
    <xf numFmtId="164" fontId="10" fillId="0" borderId="67" xfId="0" applyNumberFormat="1" applyFont="1" applyFill="1" applyBorder="1" applyAlignment="1" applyProtection="1">
      <alignment vertical="center" wrapText="1"/>
      <protection locked="0"/>
    </xf>
    <xf numFmtId="164" fontId="13" fillId="0" borderId="6" xfId="0" applyNumberFormat="1" applyFont="1" applyFill="1" applyBorder="1" applyAlignment="1" applyProtection="1">
      <alignment vertical="center" wrapText="1"/>
      <protection locked="0"/>
    </xf>
    <xf numFmtId="3" fontId="1" fillId="0" borderId="79" xfId="0" applyNumberFormat="1" applyFont="1" applyFill="1" applyBorder="1" applyAlignment="1" applyProtection="1">
      <alignment vertical="center"/>
      <protection locked="0"/>
    </xf>
    <xf numFmtId="0" fontId="6" fillId="0" borderId="8" xfId="0" applyNumberFormat="1" applyFont="1" applyFill="1" applyBorder="1" applyAlignment="1" applyProtection="1">
      <alignment vertical="center" wrapText="1"/>
      <protection locked="0"/>
    </xf>
    <xf numFmtId="49" fontId="5" fillId="0" borderId="42" xfId="0" applyNumberFormat="1" applyFont="1" applyFill="1" applyBorder="1" applyAlignment="1" applyProtection="1">
      <alignment horizontal="centerContinuous" vertical="center"/>
      <protection locked="0"/>
    </xf>
    <xf numFmtId="0" fontId="5" fillId="0" borderId="7" xfId="0" applyNumberFormat="1" applyFont="1" applyFill="1" applyBorder="1" applyAlignment="1" applyProtection="1">
      <alignment vertical="center" wrapText="1"/>
      <protection locked="0"/>
    </xf>
    <xf numFmtId="3" fontId="5" fillId="0" borderId="42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164" fontId="5" fillId="0" borderId="7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1" fillId="0" borderId="80" xfId="0" applyNumberFormat="1" applyFont="1" applyFill="1" applyBorder="1" applyAlignment="1" applyProtection="1">
      <alignment vertical="center" wrapText="1"/>
      <protection locked="0"/>
    </xf>
    <xf numFmtId="0" fontId="33" fillId="0" borderId="12" xfId="0" applyFont="1" applyBorder="1" applyAlignment="1">
      <alignment/>
    </xf>
    <xf numFmtId="49" fontId="14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Border="1" applyAlignment="1">
      <alignment/>
    </xf>
    <xf numFmtId="3" fontId="1" fillId="0" borderId="81" xfId="0" applyNumberFormat="1" applyFont="1" applyFill="1" applyBorder="1" applyAlignment="1" applyProtection="1">
      <alignment vertical="center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5" fontId="10" fillId="0" borderId="8" xfId="0" applyNumberFormat="1" applyFont="1" applyFill="1" applyBorder="1" applyAlignment="1" applyProtection="1">
      <alignment vertical="center" wrapText="1"/>
      <protection locked="0"/>
    </xf>
    <xf numFmtId="165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48" xfId="0" applyNumberFormat="1" applyFont="1" applyFill="1" applyBorder="1" applyAlignment="1" applyProtection="1">
      <alignment vertical="center" wrapText="1"/>
      <protection locked="0"/>
    </xf>
    <xf numFmtId="3" fontId="1" fillId="0" borderId="42" xfId="0" applyNumberFormat="1" applyFont="1" applyFill="1" applyBorder="1" applyAlignment="1" applyProtection="1">
      <alignment vertical="center"/>
      <protection locked="0"/>
    </xf>
    <xf numFmtId="3" fontId="22" fillId="0" borderId="4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vertical="center"/>
    </xf>
    <xf numFmtId="164" fontId="23" fillId="0" borderId="6" xfId="0" applyNumberFormat="1" applyFont="1" applyBorder="1" applyAlignment="1">
      <alignment vertical="center"/>
    </xf>
    <xf numFmtId="164" fontId="1" fillId="0" borderId="8" xfId="0" applyNumberFormat="1" applyFont="1" applyFill="1" applyBorder="1" applyAlignment="1" applyProtection="1">
      <alignment vertical="center"/>
      <protection locked="0"/>
    </xf>
    <xf numFmtId="0" fontId="14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2" xfId="0" applyNumberFormat="1" applyFont="1" applyFill="1" applyBorder="1" applyAlignment="1" applyProtection="1">
      <alignment vertical="center"/>
      <protection locked="0"/>
    </xf>
    <xf numFmtId="164" fontId="14" fillId="0" borderId="2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>
      <alignment/>
    </xf>
    <xf numFmtId="164" fontId="10" fillId="0" borderId="11" xfId="0" applyNumberFormat="1" applyFont="1" applyFill="1" applyBorder="1" applyAlignment="1" applyProtection="1">
      <alignment vertical="center"/>
      <protection locked="0"/>
    </xf>
    <xf numFmtId="164" fontId="10" fillId="0" borderId="11" xfId="0" applyNumberFormat="1" applyFont="1" applyFill="1" applyBorder="1" applyAlignment="1" applyProtection="1">
      <alignment vertical="center"/>
      <protection locked="0"/>
    </xf>
    <xf numFmtId="0" fontId="14" fillId="0" borderId="17" xfId="0" applyNumberFormat="1" applyFont="1" applyFill="1" applyBorder="1" applyAlignment="1" applyProtection="1">
      <alignment vertical="center" wrapText="1"/>
      <protection locked="0"/>
    </xf>
    <xf numFmtId="164" fontId="8" fillId="0" borderId="20" xfId="0" applyNumberFormat="1" applyFont="1" applyFill="1" applyBorder="1" applyAlignment="1" applyProtection="1">
      <alignment vertical="center" wrapText="1"/>
      <protection locked="0"/>
    </xf>
    <xf numFmtId="164" fontId="4" fillId="0" borderId="55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164" fontId="10" fillId="0" borderId="30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10" fillId="0" borderId="53" xfId="0" applyNumberFormat="1" applyFont="1" applyFill="1" applyBorder="1" applyAlignment="1" applyProtection="1">
      <alignment vertical="center" wrapText="1"/>
      <protection locked="0"/>
    </xf>
    <xf numFmtId="3" fontId="10" fillId="0" borderId="81" xfId="0" applyNumberFormat="1" applyFont="1" applyFill="1" applyBorder="1" applyAlignment="1" applyProtection="1">
      <alignment vertical="center" wrapText="1"/>
      <protection locked="0"/>
    </xf>
    <xf numFmtId="0" fontId="8" fillId="0" borderId="2" xfId="0" applyNumberFormat="1" applyFont="1" applyFill="1" applyBorder="1" applyAlignment="1" applyProtection="1">
      <alignment vertical="center" wrapText="1"/>
      <protection locked="0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8" fillId="0" borderId="9" xfId="0" applyNumberFormat="1" applyFont="1" applyFill="1" applyBorder="1" applyAlignment="1" applyProtection="1">
      <alignment vertical="center" wrapText="1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16" fillId="0" borderId="13" xfId="0" applyNumberFormat="1" applyFont="1" applyBorder="1" applyAlignment="1">
      <alignment vertical="center"/>
    </xf>
    <xf numFmtId="4" fontId="8" fillId="0" borderId="9" xfId="0" applyNumberFormat="1" applyFont="1" applyFill="1" applyBorder="1" applyAlignment="1" applyProtection="1">
      <alignment vertical="center" wrapText="1"/>
      <protection locked="0"/>
    </xf>
    <xf numFmtId="1" fontId="42" fillId="0" borderId="0" xfId="0" applyNumberFormat="1" applyFont="1" applyAlignment="1">
      <alignment vertical="center"/>
    </xf>
    <xf numFmtId="164" fontId="42" fillId="0" borderId="0" xfId="0" applyNumberFormat="1" applyFont="1" applyAlignment="1">
      <alignment wrapText="1"/>
    </xf>
    <xf numFmtId="3" fontId="4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1" fontId="42" fillId="0" borderId="0" xfId="0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 horizontal="center" vertical="center"/>
    </xf>
    <xf numFmtId="1" fontId="42" fillId="0" borderId="0" xfId="0" applyNumberFormat="1" applyFont="1" applyBorder="1" applyAlignment="1">
      <alignment wrapText="1"/>
    </xf>
    <xf numFmtId="3" fontId="43" fillId="0" borderId="0" xfId="0" applyNumberFormat="1" applyFont="1" applyBorder="1" applyAlignment="1">
      <alignment/>
    </xf>
    <xf numFmtId="164" fontId="44" fillId="0" borderId="0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 horizontal="centerContinuous" vertical="center"/>
    </xf>
    <xf numFmtId="3" fontId="47" fillId="0" borderId="0" xfId="0" applyNumberFormat="1" applyFont="1" applyBorder="1" applyAlignment="1">
      <alignment horizontal="centerContinuous" vertical="center"/>
    </xf>
    <xf numFmtId="1" fontId="5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5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47" fillId="0" borderId="0" xfId="0" applyNumberFormat="1" applyFont="1" applyFill="1" applyBorder="1" applyAlignment="1" applyProtection="1">
      <alignment horizontal="centerContinuous" vertical="center"/>
      <protection locked="0"/>
    </xf>
    <xf numFmtId="3" fontId="4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2" fillId="0" borderId="0" xfId="0" applyNumberFormat="1" applyFont="1" applyFill="1" applyBorder="1" applyAlignment="1" applyProtection="1">
      <alignment horizontal="centerContinuous" vertical="center"/>
      <protection locked="0"/>
    </xf>
    <xf numFmtId="3" fontId="43" fillId="0" borderId="0" xfId="0" applyNumberFormat="1" applyFont="1" applyAlignment="1">
      <alignment horizontal="centerContinuous"/>
    </xf>
    <xf numFmtId="1" fontId="51" fillId="0" borderId="0" xfId="0" applyNumberFormat="1" applyFont="1" applyBorder="1" applyAlignment="1">
      <alignment vertical="center"/>
    </xf>
    <xf numFmtId="164" fontId="51" fillId="0" borderId="0" xfId="0" applyNumberFormat="1" applyFont="1" applyBorder="1" applyAlignment="1">
      <alignment vertical="center"/>
    </xf>
    <xf numFmtId="1" fontId="42" fillId="0" borderId="0" xfId="0" applyNumberFormat="1" applyFont="1" applyFill="1" applyBorder="1" applyAlignment="1" applyProtection="1">
      <alignment horizontal="center" vertical="center"/>
      <protection locked="0"/>
    </xf>
    <xf numFmtId="1" fontId="42" fillId="0" borderId="0" xfId="0" applyNumberFormat="1" applyFont="1" applyFill="1" applyBorder="1" applyAlignment="1" applyProtection="1">
      <alignment wrapText="1"/>
      <protection locked="0"/>
    </xf>
    <xf numFmtId="164" fontId="46" fillId="0" borderId="0" xfId="0" applyNumberFormat="1" applyFont="1" applyFill="1" applyBorder="1" applyAlignment="1" applyProtection="1">
      <alignment horizontal="centerContinuous" vertical="center"/>
      <protection locked="0"/>
    </xf>
    <xf numFmtId="3" fontId="43" fillId="0" borderId="0" xfId="0" applyNumberFormat="1" applyFont="1" applyFill="1" applyBorder="1" applyAlignment="1" applyProtection="1">
      <alignment horizontal="left" vertical="center"/>
      <protection locked="0"/>
    </xf>
    <xf numFmtId="164" fontId="45" fillId="0" borderId="0" xfId="0" applyNumberFormat="1" applyFont="1" applyFill="1" applyBorder="1" applyAlignment="1" applyProtection="1">
      <alignment horizontal="left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/>
      <protection locked="0"/>
    </xf>
    <xf numFmtId="164" fontId="42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3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3" fontId="43" fillId="0" borderId="77" xfId="0" applyNumberFormat="1" applyFont="1" applyFill="1" applyBorder="1" applyAlignment="1" applyProtection="1">
      <alignment horizontal="centerContinuous" vertical="center"/>
      <protection locked="0"/>
    </xf>
    <xf numFmtId="3" fontId="47" fillId="0" borderId="77" xfId="0" applyNumberFormat="1" applyFont="1" applyFill="1" applyBorder="1" applyAlignment="1" applyProtection="1">
      <alignment horizontal="centerContinuous" vertical="center"/>
      <protection locked="0"/>
    </xf>
    <xf numFmtId="164" fontId="44" fillId="0" borderId="24" xfId="0" applyNumberFormat="1" applyFont="1" applyFill="1" applyBorder="1" applyAlignment="1" applyProtection="1">
      <alignment horizontal="centerContinuous" vertical="center"/>
      <protection locked="0"/>
    </xf>
    <xf numFmtId="3" fontId="53" fillId="0" borderId="74" xfId="0" applyNumberFormat="1" applyFont="1" applyFill="1" applyBorder="1" applyAlignment="1" applyProtection="1">
      <alignment horizontal="centerContinuous" vertical="center"/>
      <protection locked="0"/>
    </xf>
    <xf numFmtId="3" fontId="53" fillId="0" borderId="77" xfId="0" applyNumberFormat="1" applyFont="1" applyFill="1" applyBorder="1" applyAlignment="1" applyProtection="1">
      <alignment horizontal="centerContinuous" vertical="center"/>
      <protection locked="0"/>
    </xf>
    <xf numFmtId="164" fontId="45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7" fillId="0" borderId="77" xfId="0" applyNumberFormat="1" applyFont="1" applyBorder="1" applyAlignment="1">
      <alignment horizontal="centerContinuous" vertical="center" wrapText="1"/>
    </xf>
    <xf numFmtId="3" fontId="47" fillId="0" borderId="30" xfId="0" applyNumberFormat="1" applyFont="1" applyFill="1" applyBorder="1" applyAlignment="1" applyProtection="1">
      <alignment horizontal="centerContinuous" vertical="center"/>
      <protection locked="0"/>
    </xf>
    <xf numFmtId="164" fontId="52" fillId="0" borderId="11" xfId="0" applyNumberFormat="1" applyFont="1" applyFill="1" applyBorder="1" applyAlignment="1" applyProtection="1">
      <alignment horizontal="centerContinuous" vertical="center"/>
      <protection locked="0"/>
    </xf>
    <xf numFmtId="3" fontId="53" fillId="0" borderId="28" xfId="0" applyNumberFormat="1" applyFont="1" applyFill="1" applyBorder="1" applyAlignment="1" applyProtection="1">
      <alignment horizontal="centerContinuous" vertical="center"/>
      <protection locked="0"/>
    </xf>
    <xf numFmtId="3" fontId="47" fillId="0" borderId="74" xfId="0" applyNumberFormat="1" applyFont="1" applyFill="1" applyBorder="1" applyAlignment="1" applyProtection="1">
      <alignment horizontal="centerContinuous" vertical="center"/>
      <protection locked="0"/>
    </xf>
    <xf numFmtId="164" fontId="45" fillId="0" borderId="30" xfId="0" applyNumberFormat="1" applyFont="1" applyFill="1" applyBorder="1" applyAlignment="1" applyProtection="1">
      <alignment horizontal="centerContinuous" vertical="center"/>
      <protection locked="0"/>
    </xf>
    <xf numFmtId="3" fontId="47" fillId="0" borderId="74" xfId="0" applyNumberFormat="1" applyFont="1" applyFill="1" applyBorder="1" applyAlignment="1" applyProtection="1">
      <alignment horizontal="centerContinuous" vertical="center" wrapText="1"/>
      <protection locked="0"/>
    </xf>
    <xf numFmtId="164" fontId="45" fillId="0" borderId="11" xfId="0" applyNumberFormat="1" applyFont="1" applyFill="1" applyBorder="1" applyAlignment="1" applyProtection="1">
      <alignment horizontal="centerContinuous" vertical="center"/>
      <protection locked="0"/>
    </xf>
    <xf numFmtId="1" fontId="42" fillId="0" borderId="0" xfId="0" applyNumberFormat="1" applyFont="1" applyBorder="1" applyAlignment="1">
      <alignment vertical="center"/>
    </xf>
    <xf numFmtId="164" fontId="42" fillId="0" borderId="0" xfId="0" applyNumberFormat="1" applyFont="1" applyBorder="1" applyAlignment="1">
      <alignment vertical="center"/>
    </xf>
    <xf numFmtId="1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17" xfId="20" applyNumberFormat="1" applyFont="1" applyFill="1" applyBorder="1" applyAlignment="1" applyProtection="1">
      <alignment horizontal="center" vertical="center" wrapText="1"/>
      <protection locked="0"/>
    </xf>
    <xf numFmtId="3" fontId="4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53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5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2" fillId="0" borderId="0" xfId="0" applyNumberFormat="1" applyFont="1" applyBorder="1" applyAlignment="1">
      <alignment horizontal="center" vertical="center"/>
    </xf>
    <xf numFmtId="1" fontId="54" fillId="0" borderId="39" xfId="0" applyNumberFormat="1" applyFont="1" applyFill="1" applyBorder="1" applyAlignment="1" applyProtection="1">
      <alignment horizontal="centerContinuous" vertical="center"/>
      <protection locked="0"/>
    </xf>
    <xf numFmtId="1" fontId="54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54" fillId="0" borderId="39" xfId="0" applyNumberFormat="1" applyFont="1" applyFill="1" applyBorder="1" applyAlignment="1" applyProtection="1">
      <alignment horizontal="center" vertical="center"/>
      <protection locked="0"/>
    </xf>
    <xf numFmtId="3" fontId="54" fillId="0" borderId="27" xfId="0" applyNumberFormat="1" applyFont="1" applyFill="1" applyBorder="1" applyAlignment="1" applyProtection="1">
      <alignment horizontal="center" vertical="center"/>
      <protection locked="0"/>
    </xf>
    <xf numFmtId="3" fontId="54" fillId="0" borderId="68" xfId="0" applyNumberFormat="1" applyFont="1" applyFill="1" applyBorder="1" applyAlignment="1" applyProtection="1">
      <alignment horizontal="center" vertical="center"/>
      <protection locked="0"/>
    </xf>
    <xf numFmtId="3" fontId="54" fillId="0" borderId="49" xfId="0" applyNumberFormat="1" applyFont="1" applyFill="1" applyBorder="1" applyAlignment="1" applyProtection="1">
      <alignment horizontal="center" vertical="center"/>
      <protection locked="0"/>
    </xf>
    <xf numFmtId="3" fontId="54" fillId="0" borderId="8" xfId="0" applyNumberFormat="1" applyFont="1" applyFill="1" applyBorder="1" applyAlignment="1" applyProtection="1">
      <alignment horizontal="center" vertical="center"/>
      <protection locked="0"/>
    </xf>
    <xf numFmtId="1" fontId="54" fillId="0" borderId="0" xfId="0" applyNumberFormat="1" applyFont="1" applyBorder="1" applyAlignment="1">
      <alignment/>
    </xf>
    <xf numFmtId="49" fontId="5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53" fillId="0" borderId="38" xfId="0" applyNumberFormat="1" applyFont="1" applyFill="1" applyBorder="1" applyAlignment="1" applyProtection="1">
      <alignment horizontal="left" vertical="center" wrapText="1"/>
      <protection locked="0"/>
    </xf>
    <xf numFmtId="3" fontId="47" fillId="0" borderId="39" xfId="0" applyNumberFormat="1" applyFont="1" applyFill="1" applyBorder="1" applyAlignment="1" applyProtection="1">
      <alignment horizontal="right" vertical="center"/>
      <protection locked="0"/>
    </xf>
    <xf numFmtId="3" fontId="47" fillId="0" borderId="27" xfId="0" applyNumberFormat="1" applyFont="1" applyFill="1" applyBorder="1" applyAlignment="1" applyProtection="1">
      <alignment vertical="center"/>
      <protection locked="0"/>
    </xf>
    <xf numFmtId="164" fontId="44" fillId="0" borderId="68" xfId="0" applyNumberFormat="1" applyFont="1" applyFill="1" applyBorder="1" applyAlignment="1" applyProtection="1">
      <alignment horizontal="right" vertical="center"/>
      <protection locked="0"/>
    </xf>
    <xf numFmtId="3" fontId="47" fillId="0" borderId="27" xfId="0" applyNumberFormat="1" applyFont="1" applyFill="1" applyBorder="1" applyAlignment="1" applyProtection="1">
      <alignment horizontal="right" vertical="center"/>
      <protection locked="0"/>
    </xf>
    <xf numFmtId="164" fontId="46" fillId="0" borderId="8" xfId="0" applyNumberFormat="1" applyFont="1" applyFill="1" applyBorder="1" applyAlignment="1" applyProtection="1">
      <alignment horizontal="right" vertical="center"/>
      <protection locked="0"/>
    </xf>
    <xf numFmtId="3" fontId="47" fillId="0" borderId="49" xfId="0" applyNumberFormat="1" applyFont="1" applyFill="1" applyBorder="1" applyAlignment="1" applyProtection="1">
      <alignment vertical="center"/>
      <protection locked="0"/>
    </xf>
    <xf numFmtId="164" fontId="55" fillId="0" borderId="8" xfId="0" applyNumberFormat="1" applyFont="1" applyFill="1" applyBorder="1" applyAlignment="1" applyProtection="1">
      <alignment vertical="center"/>
      <protection locked="0"/>
    </xf>
    <xf numFmtId="3" fontId="47" fillId="0" borderId="27" xfId="0" applyNumberFormat="1" applyFont="1" applyFill="1" applyBorder="1" applyAlignment="1" applyProtection="1">
      <alignment horizontal="center" vertical="center"/>
      <protection locked="0"/>
    </xf>
    <xf numFmtId="164" fontId="45" fillId="0" borderId="8" xfId="0" applyNumberFormat="1" applyFont="1" applyFill="1" applyBorder="1" applyAlignment="1" applyProtection="1">
      <alignment horizontal="center" vertical="center"/>
      <protection locked="0"/>
    </xf>
    <xf numFmtId="1" fontId="53" fillId="0" borderId="0" xfId="0" applyNumberFormat="1" applyFont="1" applyBorder="1" applyAlignment="1">
      <alignment/>
    </xf>
    <xf numFmtId="49" fontId="53" fillId="0" borderId="31" xfId="0" applyNumberFormat="1" applyFont="1" applyFill="1" applyBorder="1" applyAlignment="1" applyProtection="1">
      <alignment horizontal="centerContinuous" vertical="center"/>
      <protection locked="0"/>
    </xf>
    <xf numFmtId="1" fontId="53" fillId="0" borderId="29" xfId="0" applyNumberFormat="1" applyFont="1" applyFill="1" applyBorder="1" applyAlignment="1" applyProtection="1">
      <alignment horizontal="left" vertical="center" wrapText="1"/>
      <protection locked="0"/>
    </xf>
    <xf numFmtId="3" fontId="47" fillId="0" borderId="31" xfId="0" applyNumberFormat="1" applyFont="1" applyFill="1" applyBorder="1" applyAlignment="1" applyProtection="1">
      <alignment horizontal="right" vertical="center"/>
      <protection locked="0"/>
    </xf>
    <xf numFmtId="3" fontId="47" fillId="0" borderId="14" xfId="0" applyNumberFormat="1" applyFont="1" applyFill="1" applyBorder="1" applyAlignment="1" applyProtection="1">
      <alignment vertical="center"/>
      <protection locked="0"/>
    </xf>
    <xf numFmtId="164" fontId="44" fillId="0" borderId="30" xfId="0" applyNumberFormat="1" applyFont="1" applyFill="1" applyBorder="1" applyAlignment="1" applyProtection="1">
      <alignment horizontal="right" vertical="center"/>
      <protection locked="0"/>
    </xf>
    <xf numFmtId="3" fontId="47" fillId="0" borderId="14" xfId="0" applyNumberFormat="1" applyFont="1" applyFill="1" applyBorder="1" applyAlignment="1" applyProtection="1">
      <alignment horizontal="right" vertical="center"/>
      <protection locked="0"/>
    </xf>
    <xf numFmtId="3" fontId="47" fillId="0" borderId="69" xfId="0" applyNumberFormat="1" applyFont="1" applyFill="1" applyBorder="1" applyAlignment="1" applyProtection="1">
      <alignment horizontal="right" vertical="center"/>
      <protection locked="0"/>
    </xf>
    <xf numFmtId="164" fontId="46" fillId="0" borderId="11" xfId="0" applyNumberFormat="1" applyFont="1" applyFill="1" applyBorder="1" applyAlignment="1" applyProtection="1">
      <alignment horizontal="right" vertical="center"/>
      <protection locked="0"/>
    </xf>
    <xf numFmtId="3" fontId="47" fillId="0" borderId="69" xfId="0" applyNumberFormat="1" applyFont="1" applyFill="1" applyBorder="1" applyAlignment="1" applyProtection="1">
      <alignment vertical="center"/>
      <protection locked="0"/>
    </xf>
    <xf numFmtId="164" fontId="52" fillId="0" borderId="11" xfId="0" applyNumberFormat="1" applyFont="1" applyFill="1" applyBorder="1" applyAlignment="1" applyProtection="1">
      <alignment vertical="center"/>
      <protection locked="0"/>
    </xf>
    <xf numFmtId="3" fontId="47" fillId="0" borderId="14" xfId="0" applyNumberFormat="1" applyFont="1" applyFill="1" applyBorder="1" applyAlignment="1" applyProtection="1">
      <alignment horizontal="center" vertical="center"/>
      <protection locked="0"/>
    </xf>
    <xf numFmtId="164" fontId="45" fillId="0" borderId="11" xfId="0" applyNumberFormat="1" applyFont="1" applyFill="1" applyBorder="1" applyAlignment="1" applyProtection="1">
      <alignment horizontal="center" vertical="center"/>
      <protection locked="0"/>
    </xf>
    <xf numFmtId="49" fontId="42" fillId="0" borderId="1" xfId="0" applyNumberFormat="1" applyFont="1" applyFill="1" applyBorder="1" applyAlignment="1" applyProtection="1">
      <alignment horizontal="centerContinuous" vertical="center"/>
      <protection locked="0"/>
    </xf>
    <xf numFmtId="1" fontId="42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43" fillId="0" borderId="1" xfId="0" applyNumberFormat="1" applyFont="1" applyFill="1" applyBorder="1" applyAlignment="1" applyProtection="1">
      <alignment horizontal="right" vertical="center"/>
      <protection locked="0"/>
    </xf>
    <xf numFmtId="3" fontId="43" fillId="0" borderId="9" xfId="0" applyNumberFormat="1" applyFont="1" applyFill="1" applyBorder="1" applyAlignment="1" applyProtection="1">
      <alignment vertical="center"/>
      <protection locked="0"/>
    </xf>
    <xf numFmtId="164" fontId="44" fillId="0" borderId="20" xfId="0" applyNumberFormat="1" applyFont="1" applyFill="1" applyBorder="1" applyAlignment="1" applyProtection="1">
      <alignment horizontal="right" vertical="center"/>
      <protection locked="0"/>
    </xf>
    <xf numFmtId="3" fontId="43" fillId="0" borderId="9" xfId="0" applyNumberFormat="1" applyFont="1" applyFill="1" applyBorder="1" applyAlignment="1" applyProtection="1">
      <alignment horizontal="right" vertical="center"/>
      <protection locked="0"/>
    </xf>
    <xf numFmtId="3" fontId="43" fillId="0" borderId="10" xfId="0" applyNumberFormat="1" applyFont="1" applyFill="1" applyBorder="1" applyAlignment="1" applyProtection="1">
      <alignment horizontal="right" vertical="center"/>
      <protection locked="0"/>
    </xf>
    <xf numFmtId="164" fontId="46" fillId="0" borderId="2" xfId="0" applyNumberFormat="1" applyFont="1" applyFill="1" applyBorder="1" applyAlignment="1" applyProtection="1">
      <alignment horizontal="right" vertical="center"/>
      <protection locked="0"/>
    </xf>
    <xf numFmtId="3" fontId="43" fillId="0" borderId="10" xfId="0" applyNumberFormat="1" applyFont="1" applyFill="1" applyBorder="1" applyAlignment="1" applyProtection="1">
      <alignment vertical="center"/>
      <protection locked="0"/>
    </xf>
    <xf numFmtId="164" fontId="46" fillId="0" borderId="2" xfId="0" applyNumberFormat="1" applyFont="1" applyFill="1" applyBorder="1" applyAlignment="1" applyProtection="1">
      <alignment vertical="center"/>
      <protection locked="0"/>
    </xf>
    <xf numFmtId="3" fontId="43" fillId="0" borderId="9" xfId="0" applyNumberFormat="1" applyFont="1" applyFill="1" applyBorder="1" applyAlignment="1" applyProtection="1">
      <alignment horizontal="center" vertical="center"/>
      <protection locked="0"/>
    </xf>
    <xf numFmtId="164" fontId="45" fillId="0" borderId="2" xfId="0" applyNumberFormat="1" applyFont="1" applyFill="1" applyBorder="1" applyAlignment="1" applyProtection="1">
      <alignment horizontal="center" vertical="center"/>
      <protection locked="0"/>
    </xf>
    <xf numFmtId="164" fontId="46" fillId="0" borderId="6" xfId="0" applyNumberFormat="1" applyFont="1" applyFill="1" applyBorder="1" applyAlignment="1" applyProtection="1">
      <alignment horizontal="right" vertical="center"/>
      <protection locked="0"/>
    </xf>
    <xf numFmtId="49" fontId="53" fillId="0" borderId="3" xfId="0" applyNumberFormat="1" applyFont="1" applyFill="1" applyBorder="1" applyAlignment="1" applyProtection="1">
      <alignment horizontal="centerContinuous" vertical="center"/>
      <protection locked="0"/>
    </xf>
    <xf numFmtId="1" fontId="53" fillId="0" borderId="51" xfId="0" applyNumberFormat="1" applyFont="1" applyFill="1" applyBorder="1" applyAlignment="1" applyProtection="1">
      <alignment horizontal="left" vertical="center" wrapText="1"/>
      <protection locked="0"/>
    </xf>
    <xf numFmtId="3" fontId="47" fillId="0" borderId="3" xfId="0" applyNumberFormat="1" applyFont="1" applyFill="1" applyBorder="1" applyAlignment="1" applyProtection="1">
      <alignment horizontal="right" vertical="center"/>
      <protection locked="0"/>
    </xf>
    <xf numFmtId="3" fontId="47" fillId="0" borderId="40" xfId="0" applyNumberFormat="1" applyFont="1" applyFill="1" applyBorder="1" applyAlignment="1" applyProtection="1">
      <alignment horizontal="right" vertical="center"/>
      <protection locked="0"/>
    </xf>
    <xf numFmtId="3" fontId="47" fillId="0" borderId="40" xfId="0" applyNumberFormat="1" applyFont="1" applyFill="1" applyBorder="1" applyAlignment="1" applyProtection="1">
      <alignment vertical="center"/>
      <protection locked="0"/>
    </xf>
    <xf numFmtId="164" fontId="44" fillId="0" borderId="46" xfId="0" applyNumberFormat="1" applyFont="1" applyFill="1" applyBorder="1" applyAlignment="1" applyProtection="1">
      <alignment horizontal="right" vertical="center"/>
      <protection locked="0"/>
    </xf>
    <xf numFmtId="3" fontId="47" fillId="0" borderId="40" xfId="0" applyNumberFormat="1" applyFont="1" applyFill="1" applyBorder="1" applyAlignment="1" applyProtection="1">
      <alignment horizontal="center" vertical="center"/>
      <protection locked="0"/>
    </xf>
    <xf numFmtId="3" fontId="47" fillId="0" borderId="54" xfId="0" applyNumberFormat="1" applyFont="1" applyFill="1" applyBorder="1" applyAlignment="1" applyProtection="1">
      <alignment horizontal="center" vertical="center"/>
      <protection locked="0"/>
    </xf>
    <xf numFmtId="164" fontId="45" fillId="0" borderId="5" xfId="0" applyNumberFormat="1" applyFont="1" applyFill="1" applyBorder="1" applyAlignment="1" applyProtection="1">
      <alignment horizontal="center" vertical="center"/>
      <protection locked="0"/>
    </xf>
    <xf numFmtId="3" fontId="47" fillId="0" borderId="54" xfId="0" applyNumberFormat="1" applyFont="1" applyFill="1" applyBorder="1" applyAlignment="1" applyProtection="1">
      <alignment vertical="center"/>
      <protection locked="0"/>
    </xf>
    <xf numFmtId="164" fontId="52" fillId="0" borderId="5" xfId="0" applyNumberFormat="1" applyFont="1" applyFill="1" applyBorder="1" applyAlignment="1" applyProtection="1">
      <alignment vertical="center"/>
      <protection locked="0"/>
    </xf>
    <xf numFmtId="164" fontId="46" fillId="0" borderId="5" xfId="0" applyNumberFormat="1" applyFont="1" applyFill="1" applyBorder="1" applyAlignment="1" applyProtection="1">
      <alignment horizontal="right" vertical="center"/>
      <protection locked="0"/>
    </xf>
    <xf numFmtId="3" fontId="43" fillId="0" borderId="1" xfId="0" applyNumberFormat="1" applyFont="1" applyFill="1" applyBorder="1" applyAlignment="1" applyProtection="1">
      <alignment vertical="center"/>
      <protection locked="0"/>
    </xf>
    <xf numFmtId="164" fontId="44" fillId="0" borderId="48" xfId="0" applyNumberFormat="1" applyFont="1" applyFill="1" applyBorder="1" applyAlignment="1" applyProtection="1">
      <alignment horizontal="right" vertical="center"/>
      <protection locked="0"/>
    </xf>
    <xf numFmtId="3" fontId="43" fillId="0" borderId="10" xfId="0" applyNumberFormat="1" applyFont="1" applyFill="1" applyBorder="1" applyAlignment="1" applyProtection="1">
      <alignment horizontal="center" vertical="center"/>
      <protection locked="0"/>
    </xf>
    <xf numFmtId="3" fontId="43" fillId="0" borderId="4" xfId="0" applyNumberFormat="1" applyFont="1" applyFill="1" applyBorder="1" applyAlignment="1" applyProtection="1">
      <alignment vertical="center"/>
      <protection locked="0"/>
    </xf>
    <xf numFmtId="3" fontId="43" fillId="0" borderId="45" xfId="0" applyNumberFormat="1" applyFont="1" applyFill="1" applyBorder="1" applyAlignment="1" applyProtection="1">
      <alignment horizontal="right" vertical="center"/>
      <protection locked="0"/>
    </xf>
    <xf numFmtId="3" fontId="47" fillId="0" borderId="3" xfId="0" applyNumberFormat="1" applyFont="1" applyFill="1" applyBorder="1" applyAlignment="1" applyProtection="1">
      <alignment vertical="center"/>
      <protection locked="0"/>
    </xf>
    <xf numFmtId="164" fontId="55" fillId="0" borderId="46" xfId="0" applyNumberFormat="1" applyFont="1" applyFill="1" applyBorder="1" applyAlignment="1" applyProtection="1">
      <alignment horizontal="right" vertical="center"/>
      <protection locked="0"/>
    </xf>
    <xf numFmtId="3" fontId="47" fillId="0" borderId="51" xfId="0" applyNumberFormat="1" applyFont="1" applyFill="1" applyBorder="1" applyAlignment="1" applyProtection="1">
      <alignment horizontal="right" vertical="center"/>
      <protection locked="0"/>
    </xf>
    <xf numFmtId="164" fontId="48" fillId="0" borderId="5" xfId="0" applyNumberFormat="1" applyFont="1" applyFill="1" applyBorder="1" applyAlignment="1" applyProtection="1">
      <alignment horizontal="center" vertical="center"/>
      <protection locked="0"/>
    </xf>
    <xf numFmtId="164" fontId="52" fillId="0" borderId="46" xfId="0" applyNumberFormat="1" applyFont="1" applyFill="1" applyBorder="1" applyAlignment="1" applyProtection="1">
      <alignment horizontal="right" vertical="center"/>
      <protection locked="0"/>
    </xf>
    <xf numFmtId="49" fontId="42" fillId="0" borderId="4" xfId="0" applyNumberFormat="1" applyFont="1" applyFill="1" applyBorder="1" applyAlignment="1" applyProtection="1">
      <alignment horizontal="centerContinuous" vertical="center"/>
      <protection locked="0"/>
    </xf>
    <xf numFmtId="1" fontId="42" fillId="0" borderId="55" xfId="0" applyNumberFormat="1" applyFont="1" applyFill="1" applyBorder="1" applyAlignment="1" applyProtection="1">
      <alignment horizontal="left" vertical="center" wrapText="1"/>
      <protection locked="0"/>
    </xf>
    <xf numFmtId="3" fontId="43" fillId="0" borderId="45" xfId="0" applyNumberFormat="1" applyFont="1" applyFill="1" applyBorder="1" applyAlignment="1" applyProtection="1">
      <alignment vertical="center"/>
      <protection locked="0"/>
    </xf>
    <xf numFmtId="164" fontId="55" fillId="0" borderId="48" xfId="0" applyNumberFormat="1" applyFont="1" applyFill="1" applyBorder="1" applyAlignment="1" applyProtection="1">
      <alignment horizontal="right" vertical="center"/>
      <protection locked="0"/>
    </xf>
    <xf numFmtId="3" fontId="43" fillId="0" borderId="55" xfId="0" applyNumberFormat="1" applyFont="1" applyFill="1" applyBorder="1" applyAlignment="1" applyProtection="1">
      <alignment horizontal="right" vertical="center"/>
      <protection locked="0"/>
    </xf>
    <xf numFmtId="3" fontId="43" fillId="0" borderId="79" xfId="0" applyNumberFormat="1" applyFont="1" applyFill="1" applyBorder="1" applyAlignment="1" applyProtection="1">
      <alignment vertical="center"/>
      <protection locked="0"/>
    </xf>
    <xf numFmtId="164" fontId="46" fillId="0" borderId="6" xfId="0" applyNumberFormat="1" applyFont="1" applyFill="1" applyBorder="1" applyAlignment="1" applyProtection="1">
      <alignment vertical="center"/>
      <protection locked="0"/>
    </xf>
    <xf numFmtId="3" fontId="43" fillId="0" borderId="45" xfId="0" applyNumberFormat="1" applyFont="1" applyFill="1" applyBorder="1" applyAlignment="1" applyProtection="1">
      <alignment horizontal="center" vertical="center"/>
      <protection locked="0"/>
    </xf>
    <xf numFmtId="164" fontId="45" fillId="0" borderId="6" xfId="0" applyNumberFormat="1" applyFont="1" applyFill="1" applyBorder="1" applyAlignment="1" applyProtection="1">
      <alignment horizontal="center" vertical="center"/>
      <protection locked="0"/>
    </xf>
    <xf numFmtId="3" fontId="43" fillId="0" borderId="4" xfId="0" applyNumberFormat="1" applyFont="1" applyFill="1" applyBorder="1" applyAlignment="1" applyProtection="1">
      <alignment horizontal="right" vertical="center"/>
      <protection locked="0"/>
    </xf>
    <xf numFmtId="164" fontId="46" fillId="0" borderId="48" xfId="0" applyNumberFormat="1" applyFont="1" applyFill="1" applyBorder="1" applyAlignment="1" applyProtection="1">
      <alignment horizontal="right" vertical="center"/>
      <protection locked="0"/>
    </xf>
    <xf numFmtId="164" fontId="44" fillId="0" borderId="5" xfId="0" applyNumberFormat="1" applyFont="1" applyFill="1" applyBorder="1" applyAlignment="1" applyProtection="1">
      <alignment horizontal="right" vertical="center"/>
      <protection locked="0"/>
    </xf>
    <xf numFmtId="164" fontId="55" fillId="0" borderId="5" xfId="0" applyNumberFormat="1" applyFont="1" applyFill="1" applyBorder="1" applyAlignment="1" applyProtection="1">
      <alignment vertical="center"/>
      <protection locked="0"/>
    </xf>
    <xf numFmtId="3" fontId="43" fillId="0" borderId="17" xfId="0" applyNumberFormat="1" applyFont="1" applyFill="1" applyBorder="1" applyAlignment="1" applyProtection="1">
      <alignment horizontal="right" vertical="center"/>
      <protection locked="0"/>
    </xf>
    <xf numFmtId="164" fontId="44" fillId="0" borderId="2" xfId="0" applyNumberFormat="1" applyFont="1" applyFill="1" applyBorder="1" applyAlignment="1" applyProtection="1">
      <alignment horizontal="right" vertical="center"/>
      <protection locked="0"/>
    </xf>
    <xf numFmtId="164" fontId="44" fillId="0" borderId="2" xfId="0" applyNumberFormat="1" applyFont="1" applyFill="1" applyBorder="1" applyAlignment="1" applyProtection="1">
      <alignment vertical="center"/>
      <protection locked="0"/>
    </xf>
    <xf numFmtId="164" fontId="46" fillId="0" borderId="20" xfId="0" applyNumberFormat="1" applyFont="1" applyFill="1" applyBorder="1" applyAlignment="1" applyProtection="1">
      <alignment horizontal="right" vertical="center"/>
      <protection locked="0"/>
    </xf>
    <xf numFmtId="164" fontId="55" fillId="0" borderId="20" xfId="0" applyNumberFormat="1" applyFont="1" applyFill="1" applyBorder="1" applyAlignment="1" applyProtection="1">
      <alignment horizontal="right" vertical="center"/>
      <protection locked="0"/>
    </xf>
    <xf numFmtId="3" fontId="43" fillId="0" borderId="47" xfId="0" applyNumberFormat="1" applyFont="1" applyFill="1" applyBorder="1" applyAlignment="1" applyProtection="1">
      <alignment vertical="center"/>
      <protection locked="0"/>
    </xf>
    <xf numFmtId="1" fontId="5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53" fillId="0" borderId="38" xfId="20" applyNumberFormat="1" applyFont="1" applyFill="1" applyBorder="1" applyAlignment="1" applyProtection="1">
      <alignment vertical="center" wrapText="1"/>
      <protection locked="0"/>
    </xf>
    <xf numFmtId="3" fontId="47" fillId="0" borderId="39" xfId="0" applyNumberFormat="1" applyFont="1" applyFill="1" applyBorder="1" applyAlignment="1" applyProtection="1">
      <alignment vertical="center"/>
      <protection locked="0"/>
    </xf>
    <xf numFmtId="164" fontId="44" fillId="0" borderId="8" xfId="0" applyNumberFormat="1" applyFont="1" applyFill="1" applyBorder="1" applyAlignment="1" applyProtection="1">
      <alignment horizontal="right" vertical="center"/>
      <protection locked="0"/>
    </xf>
    <xf numFmtId="164" fontId="52" fillId="0" borderId="8" xfId="0" applyNumberFormat="1" applyFont="1" applyFill="1" applyBorder="1" applyAlignment="1" applyProtection="1">
      <alignment vertical="center"/>
      <protection locked="0"/>
    </xf>
    <xf numFmtId="164" fontId="45" fillId="0" borderId="8" xfId="0" applyNumberFormat="1" applyFont="1" applyFill="1" applyBorder="1" applyAlignment="1" applyProtection="1">
      <alignment vertical="center"/>
      <protection locked="0"/>
    </xf>
    <xf numFmtId="164" fontId="45" fillId="0" borderId="68" xfId="0" applyNumberFormat="1" applyFont="1" applyFill="1" applyBorder="1" applyAlignment="1" applyProtection="1">
      <alignment horizontal="right" vertical="center"/>
      <protection locked="0"/>
    </xf>
    <xf numFmtId="164" fontId="53" fillId="0" borderId="0" xfId="0" applyNumberFormat="1" applyFont="1" applyBorder="1" applyAlignment="1">
      <alignment/>
    </xf>
    <xf numFmtId="1" fontId="53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53" fillId="0" borderId="51" xfId="20" applyNumberFormat="1" applyFont="1" applyFill="1" applyBorder="1" applyAlignment="1" applyProtection="1">
      <alignment horizontal="left" vertical="center" wrapText="1"/>
      <protection locked="0"/>
    </xf>
    <xf numFmtId="3" fontId="47" fillId="0" borderId="13" xfId="0" applyNumberFormat="1" applyFont="1" applyFill="1" applyBorder="1" applyAlignment="1" applyProtection="1">
      <alignment vertical="center"/>
      <protection locked="0"/>
    </xf>
    <xf numFmtId="164" fontId="44" fillId="0" borderId="43" xfId="0" applyNumberFormat="1" applyFont="1" applyFill="1" applyBorder="1" applyAlignment="1" applyProtection="1">
      <alignment horizontal="right" vertical="center"/>
      <protection locked="0"/>
    </xf>
    <xf numFmtId="164" fontId="44" fillId="0" borderId="7" xfId="0" applyNumberFormat="1" applyFont="1" applyFill="1" applyBorder="1" applyAlignment="1" applyProtection="1">
      <alignment horizontal="right" vertical="center"/>
      <protection locked="0"/>
    </xf>
    <xf numFmtId="164" fontId="45" fillId="0" borderId="5" xfId="0" applyNumberFormat="1" applyFont="1" applyFill="1" applyBorder="1" applyAlignment="1" applyProtection="1">
      <alignment vertical="center"/>
      <protection locked="0"/>
    </xf>
    <xf numFmtId="164" fontId="45" fillId="0" borderId="46" xfId="0" applyNumberFormat="1" applyFont="1" applyFill="1" applyBorder="1" applyAlignment="1" applyProtection="1">
      <alignment horizontal="right" vertical="center"/>
      <protection locked="0"/>
    </xf>
    <xf numFmtId="1" fontId="42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17" xfId="20" applyNumberFormat="1" applyFont="1" applyFill="1" applyBorder="1" applyAlignment="1" applyProtection="1">
      <alignment horizontal="left" vertical="center" wrapText="1"/>
      <protection locked="0"/>
    </xf>
    <xf numFmtId="164" fontId="45" fillId="0" borderId="2" xfId="0" applyNumberFormat="1" applyFont="1" applyFill="1" applyBorder="1" applyAlignment="1" applyProtection="1">
      <alignment vertical="center"/>
      <protection locked="0"/>
    </xf>
    <xf numFmtId="164" fontId="45" fillId="0" borderId="20" xfId="0" applyNumberFormat="1" applyFont="1" applyFill="1" applyBorder="1" applyAlignment="1" applyProtection="1">
      <alignment horizontal="right" vertical="center"/>
      <protection locked="0"/>
    </xf>
    <xf numFmtId="164" fontId="42" fillId="0" borderId="17" xfId="20" applyNumberFormat="1" applyFont="1" applyFill="1" applyBorder="1" applyAlignment="1" applyProtection="1">
      <alignment vertical="center" wrapText="1"/>
      <protection locked="0"/>
    </xf>
    <xf numFmtId="3" fontId="43" fillId="0" borderId="52" xfId="0" applyNumberFormat="1" applyFont="1" applyFill="1" applyBorder="1" applyAlignment="1" applyProtection="1">
      <alignment vertical="center"/>
      <protection locked="0"/>
    </xf>
    <xf numFmtId="164" fontId="45" fillId="0" borderId="20" xfId="0" applyNumberFormat="1" applyFont="1" applyFill="1" applyBorder="1" applyAlignment="1" applyProtection="1">
      <alignment vertical="center"/>
      <protection locked="0"/>
    </xf>
    <xf numFmtId="164" fontId="55" fillId="0" borderId="68" xfId="0" applyNumberFormat="1" applyFont="1" applyFill="1" applyBorder="1" applyAlignment="1" applyProtection="1">
      <alignment horizontal="right" vertical="center"/>
      <protection locked="0"/>
    </xf>
    <xf numFmtId="164" fontId="52" fillId="0" borderId="8" xfId="0" applyNumberFormat="1" applyFont="1" applyFill="1" applyBorder="1" applyAlignment="1" applyProtection="1">
      <alignment horizontal="right" vertical="center"/>
      <protection locked="0"/>
    </xf>
    <xf numFmtId="164" fontId="48" fillId="0" borderId="68" xfId="0" applyNumberFormat="1" applyFont="1" applyFill="1" applyBorder="1" applyAlignment="1" applyProtection="1">
      <alignment vertical="center"/>
      <protection locked="0"/>
    </xf>
    <xf numFmtId="1" fontId="53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53" fillId="0" borderId="26" xfId="20" applyNumberFormat="1" applyFont="1" applyFill="1" applyBorder="1" applyAlignment="1" applyProtection="1">
      <alignment vertical="center" wrapText="1"/>
      <protection locked="0"/>
    </xf>
    <xf numFmtId="3" fontId="47" fillId="0" borderId="1" xfId="0" applyNumberFormat="1" applyFont="1" applyFill="1" applyBorder="1" applyAlignment="1" applyProtection="1">
      <alignment vertical="center"/>
      <protection locked="0"/>
    </xf>
    <xf numFmtId="3" fontId="47" fillId="0" borderId="9" xfId="0" applyNumberFormat="1" applyFont="1" applyFill="1" applyBorder="1" applyAlignment="1" applyProtection="1">
      <alignment vertical="center"/>
      <protection locked="0"/>
    </xf>
    <xf numFmtId="3" fontId="47" fillId="0" borderId="10" xfId="0" applyNumberFormat="1" applyFont="1" applyFill="1" applyBorder="1" applyAlignment="1" applyProtection="1">
      <alignment vertical="center"/>
      <protection locked="0"/>
    </xf>
    <xf numFmtId="164" fontId="52" fillId="0" borderId="2" xfId="0" applyNumberFormat="1" applyFont="1" applyFill="1" applyBorder="1" applyAlignment="1" applyProtection="1">
      <alignment vertical="center"/>
      <protection locked="0"/>
    </xf>
    <xf numFmtId="3" fontId="47" fillId="0" borderId="17" xfId="0" applyNumberFormat="1" applyFont="1" applyFill="1" applyBorder="1" applyAlignment="1" applyProtection="1">
      <alignment vertical="center"/>
      <protection locked="0"/>
    </xf>
    <xf numFmtId="3" fontId="47" fillId="0" borderId="21" xfId="0" applyNumberFormat="1" applyFont="1" applyFill="1" applyBorder="1" applyAlignment="1" applyProtection="1">
      <alignment vertical="center"/>
      <protection locked="0"/>
    </xf>
    <xf numFmtId="164" fontId="52" fillId="0" borderId="2" xfId="0" applyNumberFormat="1" applyFont="1" applyFill="1" applyBorder="1" applyAlignment="1" applyProtection="1">
      <alignment horizontal="right" vertical="center"/>
      <protection locked="0"/>
    </xf>
    <xf numFmtId="164" fontId="48" fillId="0" borderId="20" xfId="0" applyNumberFormat="1" applyFont="1" applyFill="1" applyBorder="1" applyAlignment="1" applyProtection="1">
      <alignment vertical="center"/>
      <protection locked="0"/>
    </xf>
    <xf numFmtId="1" fontId="42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horizontal="right" vertical="center"/>
      <protection locked="0"/>
    </xf>
    <xf numFmtId="3" fontId="43" fillId="0" borderId="55" xfId="0" applyNumberFormat="1" applyFont="1" applyFill="1" applyBorder="1" applyAlignment="1" applyProtection="1">
      <alignment vertical="center"/>
      <protection locked="0"/>
    </xf>
    <xf numFmtId="164" fontId="45" fillId="0" borderId="48" xfId="0" applyNumberFormat="1" applyFont="1" applyFill="1" applyBorder="1" applyAlignment="1" applyProtection="1">
      <alignment vertical="center"/>
      <protection locked="0"/>
    </xf>
    <xf numFmtId="1" fontId="42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" xfId="20" applyNumberFormat="1" applyFont="1" applyFill="1" applyBorder="1" applyAlignment="1" applyProtection="1">
      <alignment vertical="center" wrapText="1"/>
      <protection locked="0"/>
    </xf>
    <xf numFmtId="3" fontId="43" fillId="0" borderId="12" xfId="0" applyNumberFormat="1" applyFont="1" applyFill="1" applyBorder="1" applyAlignment="1" applyProtection="1">
      <alignment vertical="center"/>
      <protection locked="0"/>
    </xf>
    <xf numFmtId="3" fontId="43" fillId="0" borderId="13" xfId="0" applyNumberFormat="1" applyFont="1" applyFill="1" applyBorder="1" applyAlignment="1" applyProtection="1">
      <alignment vertical="center"/>
      <protection locked="0"/>
    </xf>
    <xf numFmtId="3" fontId="43" fillId="0" borderId="81" xfId="0" applyNumberFormat="1" applyFont="1" applyFill="1" applyBorder="1" applyAlignment="1" applyProtection="1">
      <alignment vertical="center"/>
      <protection locked="0"/>
    </xf>
    <xf numFmtId="164" fontId="46" fillId="0" borderId="7" xfId="0" applyNumberFormat="1" applyFont="1" applyFill="1" applyBorder="1" applyAlignment="1" applyProtection="1">
      <alignment vertical="center"/>
      <protection locked="0"/>
    </xf>
    <xf numFmtId="3" fontId="43" fillId="0" borderId="53" xfId="0" applyNumberFormat="1" applyFont="1" applyFill="1" applyBorder="1" applyAlignment="1" applyProtection="1">
      <alignment vertical="center"/>
      <protection locked="0"/>
    </xf>
    <xf numFmtId="164" fontId="46" fillId="0" borderId="7" xfId="0" applyNumberFormat="1" applyFont="1" applyFill="1" applyBorder="1" applyAlignment="1" applyProtection="1">
      <alignment horizontal="right" vertical="center"/>
      <protection locked="0"/>
    </xf>
    <xf numFmtId="164" fontId="45" fillId="0" borderId="43" xfId="0" applyNumberFormat="1" applyFont="1" applyFill="1" applyBorder="1" applyAlignment="1" applyProtection="1">
      <alignment vertical="center"/>
      <protection locked="0"/>
    </xf>
    <xf numFmtId="164" fontId="53" fillId="0" borderId="5" xfId="20" applyNumberFormat="1" applyFont="1" applyFill="1" applyBorder="1" applyAlignment="1" applyProtection="1">
      <alignment vertical="center" wrapText="1"/>
      <protection locked="0"/>
    </xf>
    <xf numFmtId="164" fontId="52" fillId="0" borderId="5" xfId="0" applyNumberFormat="1" applyFont="1" applyFill="1" applyBorder="1" applyAlignment="1" applyProtection="1">
      <alignment horizontal="right" vertical="center"/>
      <protection locked="0"/>
    </xf>
    <xf numFmtId="3" fontId="47" fillId="0" borderId="51" xfId="0" applyNumberFormat="1" applyFont="1" applyFill="1" applyBorder="1" applyAlignment="1" applyProtection="1">
      <alignment vertical="center"/>
      <protection locked="0"/>
    </xf>
    <xf numFmtId="164" fontId="48" fillId="0" borderId="5" xfId="0" applyNumberFormat="1" applyFont="1" applyFill="1" applyBorder="1" applyAlignment="1" applyProtection="1">
      <alignment vertical="center"/>
      <protection locked="0"/>
    </xf>
    <xf numFmtId="164" fontId="48" fillId="0" borderId="46" xfId="0" applyNumberFormat="1" applyFont="1" applyFill="1" applyBorder="1" applyAlignment="1" applyProtection="1">
      <alignment vertical="center"/>
      <protection locked="0"/>
    </xf>
    <xf numFmtId="164" fontId="45" fillId="0" borderId="6" xfId="0" applyNumberFormat="1" applyFont="1" applyFill="1" applyBorder="1" applyAlignment="1" applyProtection="1">
      <alignment vertical="center"/>
      <protection locked="0"/>
    </xf>
    <xf numFmtId="164" fontId="42" fillId="0" borderId="53" xfId="20" applyNumberFormat="1" applyFont="1" applyFill="1" applyBorder="1" applyAlignment="1" applyProtection="1">
      <alignment vertical="center" wrapText="1"/>
      <protection locked="0"/>
    </xf>
    <xf numFmtId="3" fontId="43" fillId="0" borderId="13" xfId="0" applyNumberFormat="1" applyFont="1" applyFill="1" applyBorder="1" applyAlignment="1" applyProtection="1">
      <alignment horizontal="right" vertical="center"/>
      <protection locked="0"/>
    </xf>
    <xf numFmtId="164" fontId="45" fillId="0" borderId="7" xfId="0" applyNumberFormat="1" applyFont="1" applyFill="1" applyBorder="1" applyAlignment="1" applyProtection="1">
      <alignment vertical="center"/>
      <protection locked="0"/>
    </xf>
    <xf numFmtId="3" fontId="47" fillId="0" borderId="54" xfId="0" applyNumberFormat="1" applyFont="1" applyFill="1" applyBorder="1" applyAlignment="1" applyProtection="1">
      <alignment horizontal="right" vertical="center"/>
      <protection locked="0"/>
    </xf>
    <xf numFmtId="164" fontId="54" fillId="0" borderId="5" xfId="0" applyNumberFormat="1" applyFont="1" applyFill="1" applyBorder="1" applyAlignment="1" applyProtection="1">
      <alignment horizontal="right" vertical="center"/>
      <protection locked="0"/>
    </xf>
    <xf numFmtId="164" fontId="45" fillId="0" borderId="2" xfId="0" applyNumberFormat="1" applyFont="1" applyFill="1" applyBorder="1" applyAlignment="1" applyProtection="1">
      <alignment horizontal="right" vertical="center"/>
      <protection locked="0"/>
    </xf>
    <xf numFmtId="3" fontId="43" fillId="0" borderId="19" xfId="0" applyNumberFormat="1" applyFont="1" applyFill="1" applyBorder="1" applyAlignment="1" applyProtection="1">
      <alignment vertical="center"/>
      <protection locked="0"/>
    </xf>
    <xf numFmtId="1" fontId="56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56" fillId="0" borderId="17" xfId="20" applyNumberFormat="1" applyFont="1" applyFill="1" applyBorder="1" applyAlignment="1" applyProtection="1">
      <alignment vertical="center" wrapText="1"/>
      <protection locked="0"/>
    </xf>
    <xf numFmtId="3" fontId="57" fillId="0" borderId="1" xfId="0" applyNumberFormat="1" applyFont="1" applyFill="1" applyBorder="1" applyAlignment="1" applyProtection="1">
      <alignment vertical="center"/>
      <protection locked="0"/>
    </xf>
    <xf numFmtId="3" fontId="57" fillId="0" borderId="9" xfId="0" applyNumberFormat="1" applyFont="1" applyFill="1" applyBorder="1" applyAlignment="1" applyProtection="1">
      <alignment vertical="center"/>
      <protection locked="0"/>
    </xf>
    <xf numFmtId="3" fontId="57" fillId="0" borderId="10" xfId="0" applyNumberFormat="1" applyFont="1" applyFill="1" applyBorder="1" applyAlignment="1" applyProtection="1">
      <alignment vertical="center"/>
      <protection locked="0"/>
    </xf>
    <xf numFmtId="3" fontId="57" fillId="0" borderId="19" xfId="0" applyNumberFormat="1" applyFont="1" applyFill="1" applyBorder="1" applyAlignment="1" applyProtection="1">
      <alignment vertical="center"/>
      <protection locked="0"/>
    </xf>
    <xf numFmtId="1" fontId="56" fillId="0" borderId="0" xfId="0" applyNumberFormat="1" applyFont="1" applyBorder="1" applyAlignment="1">
      <alignment/>
    </xf>
    <xf numFmtId="164" fontId="56" fillId="0" borderId="0" xfId="0" applyNumberFormat="1" applyFont="1" applyBorder="1" applyAlignment="1">
      <alignment/>
    </xf>
    <xf numFmtId="164" fontId="56" fillId="0" borderId="0" xfId="20" applyNumberFormat="1" applyFont="1" applyFill="1" applyBorder="1" applyAlignment="1" applyProtection="1">
      <alignment vertical="center" wrapText="1"/>
      <protection locked="0"/>
    </xf>
    <xf numFmtId="1" fontId="56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56" fillId="0" borderId="53" xfId="20" applyNumberFormat="1" applyFont="1" applyFill="1" applyBorder="1" applyAlignment="1" applyProtection="1">
      <alignment vertical="center" wrapText="1"/>
      <protection locked="0"/>
    </xf>
    <xf numFmtId="3" fontId="57" fillId="0" borderId="12" xfId="0" applyNumberFormat="1" applyFont="1" applyFill="1" applyBorder="1" applyAlignment="1" applyProtection="1">
      <alignment vertical="center"/>
      <protection locked="0"/>
    </xf>
    <xf numFmtId="3" fontId="57" fillId="0" borderId="13" xfId="0" applyNumberFormat="1" applyFont="1" applyFill="1" applyBorder="1" applyAlignment="1" applyProtection="1">
      <alignment vertical="center"/>
      <protection locked="0"/>
    </xf>
    <xf numFmtId="3" fontId="57" fillId="0" borderId="81" xfId="0" applyNumberFormat="1" applyFont="1" applyFill="1" applyBorder="1" applyAlignment="1" applyProtection="1">
      <alignment vertical="center"/>
      <protection locked="0"/>
    </xf>
    <xf numFmtId="3" fontId="57" fillId="0" borderId="42" xfId="0" applyNumberFormat="1" applyFont="1" applyFill="1" applyBorder="1" applyAlignment="1" applyProtection="1">
      <alignment vertical="center"/>
      <protection locked="0"/>
    </xf>
    <xf numFmtId="164" fontId="46" fillId="0" borderId="43" xfId="0" applyNumberFormat="1" applyFont="1" applyFill="1" applyBorder="1" applyAlignment="1" applyProtection="1">
      <alignment horizontal="right" vertical="center"/>
      <protection locked="0"/>
    </xf>
    <xf numFmtId="164" fontId="45" fillId="0" borderId="5" xfId="0" applyNumberFormat="1" applyFont="1" applyFill="1" applyBorder="1" applyAlignment="1" applyProtection="1">
      <alignment horizontal="right" vertical="center"/>
      <protection locked="0"/>
    </xf>
    <xf numFmtId="164" fontId="42" fillId="0" borderId="2" xfId="20" applyNumberFormat="1" applyFont="1" applyFill="1" applyBorder="1" applyAlignment="1" applyProtection="1">
      <alignment vertical="center" wrapText="1"/>
      <protection locked="0"/>
    </xf>
    <xf numFmtId="0" fontId="56" fillId="0" borderId="17" xfId="0" applyFont="1" applyBorder="1" applyAlignment="1">
      <alignment horizontal="left" vertical="center" wrapText="1"/>
    </xf>
    <xf numFmtId="3" fontId="57" fillId="0" borderId="9" xfId="0" applyNumberFormat="1" applyFont="1" applyFill="1" applyBorder="1" applyAlignment="1" applyProtection="1">
      <alignment horizontal="right" vertical="center"/>
      <protection locked="0"/>
    </xf>
    <xf numFmtId="164" fontId="46" fillId="0" borderId="20" xfId="0" applyNumberFormat="1" applyFont="1" applyFill="1" applyBorder="1" applyAlignment="1" applyProtection="1">
      <alignment vertical="center"/>
      <protection locked="0"/>
    </xf>
    <xf numFmtId="0" fontId="56" fillId="0" borderId="0" xfId="0" applyFont="1" applyBorder="1" applyAlignment="1">
      <alignment horizontal="left" vertical="center" wrapText="1"/>
    </xf>
    <xf numFmtId="0" fontId="53" fillId="0" borderId="5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1" fontId="53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53" fillId="0" borderId="53" xfId="20" applyNumberFormat="1" applyFont="1" applyFill="1" applyBorder="1" applyAlignment="1" applyProtection="1">
      <alignment vertical="center" wrapText="1"/>
      <protection locked="0"/>
    </xf>
    <xf numFmtId="3" fontId="47" fillId="0" borderId="12" xfId="0" applyNumberFormat="1" applyFont="1" applyFill="1" applyBorder="1" applyAlignment="1" applyProtection="1">
      <alignment vertical="center"/>
      <protection locked="0"/>
    </xf>
    <xf numFmtId="164" fontId="55" fillId="0" borderId="43" xfId="0" applyNumberFormat="1" applyFont="1" applyFill="1" applyBorder="1" applyAlignment="1" applyProtection="1">
      <alignment horizontal="right" vertical="center"/>
      <protection locked="0"/>
    </xf>
    <xf numFmtId="3" fontId="47" fillId="0" borderId="81" xfId="0" applyNumberFormat="1" applyFont="1" applyFill="1" applyBorder="1" applyAlignment="1" applyProtection="1">
      <alignment vertical="center"/>
      <protection locked="0"/>
    </xf>
    <xf numFmtId="3" fontId="47" fillId="0" borderId="13" xfId="0" applyNumberFormat="1" applyFont="1" applyFill="1" applyBorder="1" applyAlignment="1" applyProtection="1">
      <alignment horizontal="right" vertical="center"/>
      <protection locked="0"/>
    </xf>
    <xf numFmtId="164" fontId="52" fillId="0" borderId="7" xfId="0" applyNumberFormat="1" applyFont="1" applyFill="1" applyBorder="1" applyAlignment="1" applyProtection="1">
      <alignment horizontal="right" vertical="center"/>
      <protection locked="0"/>
    </xf>
    <xf numFmtId="164" fontId="48" fillId="0" borderId="7" xfId="0" applyNumberFormat="1" applyFont="1" applyFill="1" applyBorder="1" applyAlignment="1" applyProtection="1">
      <alignment vertical="center"/>
      <protection locked="0"/>
    </xf>
    <xf numFmtId="164" fontId="48" fillId="0" borderId="43" xfId="0" applyNumberFormat="1" applyFont="1" applyFill="1" applyBorder="1" applyAlignment="1" applyProtection="1">
      <alignment vertical="center"/>
      <protection locked="0"/>
    </xf>
    <xf numFmtId="3" fontId="53" fillId="0" borderId="51" xfId="20" applyNumberFormat="1" applyFont="1" applyFill="1" applyBorder="1" applyAlignment="1" applyProtection="1">
      <alignment vertical="center" wrapText="1"/>
      <protection locked="0"/>
    </xf>
    <xf numFmtId="3" fontId="47" fillId="0" borderId="41" xfId="0" applyNumberFormat="1" applyFont="1" applyFill="1" applyBorder="1" applyAlignment="1" applyProtection="1">
      <alignment vertical="center"/>
      <protection locked="0"/>
    </xf>
    <xf numFmtId="164" fontId="45" fillId="0" borderId="46" xfId="0" applyNumberFormat="1" applyFont="1" applyFill="1" applyBorder="1" applyAlignment="1" applyProtection="1">
      <alignment vertical="center"/>
      <protection locked="0"/>
    </xf>
    <xf numFmtId="0" fontId="42" fillId="0" borderId="80" xfId="0" applyFont="1" applyBorder="1" applyAlignment="1">
      <alignment horizontal="left" vertical="center" wrapText="1"/>
    </xf>
    <xf numFmtId="164" fontId="53" fillId="0" borderId="17" xfId="20" applyNumberFormat="1" applyFont="1" applyFill="1" applyBorder="1" applyAlignment="1" applyProtection="1">
      <alignment vertical="center" wrapText="1"/>
      <protection locked="0"/>
    </xf>
    <xf numFmtId="1" fontId="42" fillId="0" borderId="1" xfId="0" applyNumberFormat="1" applyFont="1" applyFill="1" applyBorder="1" applyAlignment="1" applyProtection="1">
      <alignment horizontal="center" vertical="center"/>
      <protection locked="0"/>
    </xf>
    <xf numFmtId="164" fontId="46" fillId="0" borderId="68" xfId="0" applyNumberFormat="1" applyFont="1" applyFill="1" applyBorder="1" applyAlignment="1" applyProtection="1">
      <alignment horizontal="right" vertical="center"/>
      <protection locked="0"/>
    </xf>
    <xf numFmtId="164" fontId="45" fillId="0" borderId="68" xfId="0" applyNumberFormat="1" applyFont="1" applyFill="1" applyBorder="1" applyAlignment="1" applyProtection="1">
      <alignment vertical="center"/>
      <protection locked="0"/>
    </xf>
    <xf numFmtId="164" fontId="53" fillId="0" borderId="51" xfId="20" applyNumberFormat="1" applyFont="1" applyFill="1" applyBorder="1" applyAlignment="1" applyProtection="1">
      <alignment vertical="center" wrapText="1"/>
      <protection locked="0"/>
    </xf>
    <xf numFmtId="164" fontId="46" fillId="0" borderId="30" xfId="0" applyNumberFormat="1" applyFont="1" applyFill="1" applyBorder="1" applyAlignment="1" applyProtection="1">
      <alignment horizontal="right" vertical="center"/>
      <protection locked="0"/>
    </xf>
    <xf numFmtId="164" fontId="46" fillId="0" borderId="46" xfId="0" applyNumberFormat="1" applyFont="1" applyFill="1" applyBorder="1" applyAlignment="1" applyProtection="1">
      <alignment horizontal="right" vertical="center"/>
      <protection locked="0"/>
    </xf>
    <xf numFmtId="1" fontId="58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58" fillId="0" borderId="17" xfId="20" applyNumberFormat="1" applyFont="1" applyFill="1" applyBorder="1" applyAlignment="1" applyProtection="1">
      <alignment vertical="center" wrapText="1"/>
      <protection locked="0"/>
    </xf>
    <xf numFmtId="3" fontId="59" fillId="0" borderId="1" xfId="0" applyNumberFormat="1" applyFont="1" applyFill="1" applyBorder="1" applyAlignment="1" applyProtection="1">
      <alignment vertical="center"/>
      <protection locked="0"/>
    </xf>
    <xf numFmtId="3" fontId="59" fillId="0" borderId="9" xfId="0" applyNumberFormat="1" applyFont="1" applyFill="1" applyBorder="1" applyAlignment="1" applyProtection="1">
      <alignment vertical="center"/>
      <protection locked="0"/>
    </xf>
    <xf numFmtId="3" fontId="59" fillId="0" borderId="10" xfId="0" applyNumberFormat="1" applyFont="1" applyFill="1" applyBorder="1" applyAlignment="1" applyProtection="1">
      <alignment vertical="center"/>
      <protection locked="0"/>
    </xf>
    <xf numFmtId="164" fontId="52" fillId="0" borderId="20" xfId="0" applyNumberFormat="1" applyFont="1" applyFill="1" applyBorder="1" applyAlignment="1" applyProtection="1">
      <alignment vertical="center"/>
      <protection locked="0"/>
    </xf>
    <xf numFmtId="1" fontId="58" fillId="0" borderId="0" xfId="0" applyNumberFormat="1" applyFont="1" applyBorder="1" applyAlignment="1">
      <alignment/>
    </xf>
    <xf numFmtId="164" fontId="58" fillId="0" borderId="0" xfId="0" applyNumberFormat="1" applyFont="1" applyBorder="1" applyAlignment="1">
      <alignment/>
    </xf>
    <xf numFmtId="164" fontId="54" fillId="0" borderId="20" xfId="0" applyNumberFormat="1" applyFont="1" applyFill="1" applyBorder="1" applyAlignment="1" applyProtection="1">
      <alignment horizontal="right" vertical="center"/>
      <protection locked="0"/>
    </xf>
    <xf numFmtId="3" fontId="47" fillId="0" borderId="42" xfId="0" applyNumberFormat="1" applyFont="1" applyFill="1" applyBorder="1" applyAlignment="1" applyProtection="1">
      <alignment vertical="center"/>
      <protection locked="0"/>
    </xf>
    <xf numFmtId="164" fontId="52" fillId="0" borderId="7" xfId="0" applyNumberFormat="1" applyFont="1" applyFill="1" applyBorder="1" applyAlignment="1" applyProtection="1">
      <alignment vertical="center"/>
      <protection locked="0"/>
    </xf>
    <xf numFmtId="1" fontId="53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53" fillId="0" borderId="29" xfId="20" applyNumberFormat="1" applyFont="1" applyFill="1" applyBorder="1" applyAlignment="1" applyProtection="1">
      <alignment vertical="center" wrapText="1"/>
      <protection locked="0"/>
    </xf>
    <xf numFmtId="3" fontId="47" fillId="0" borderId="31" xfId="0" applyNumberFormat="1" applyFont="1" applyFill="1" applyBorder="1" applyAlignment="1" applyProtection="1">
      <alignment vertical="center"/>
      <protection locked="0"/>
    </xf>
    <xf numFmtId="3" fontId="47" fillId="0" borderId="28" xfId="0" applyNumberFormat="1" applyFont="1" applyFill="1" applyBorder="1" applyAlignment="1" applyProtection="1">
      <alignment vertical="center"/>
      <protection locked="0"/>
    </xf>
    <xf numFmtId="164" fontId="52" fillId="0" borderId="11" xfId="0" applyNumberFormat="1" applyFont="1" applyFill="1" applyBorder="1" applyAlignment="1" applyProtection="1">
      <alignment horizontal="right" vertical="center"/>
      <protection locked="0"/>
    </xf>
    <xf numFmtId="1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1" xfId="20" applyNumberFormat="1" applyFont="1" applyFill="1" applyBorder="1" applyAlignment="1" applyProtection="1">
      <alignment vertical="center" wrapText="1"/>
      <protection locked="0"/>
    </xf>
    <xf numFmtId="3" fontId="43" fillId="0" borderId="3" xfId="0" applyNumberFormat="1" applyFont="1" applyFill="1" applyBorder="1" applyAlignment="1" applyProtection="1">
      <alignment vertical="center"/>
      <protection locked="0"/>
    </xf>
    <xf numFmtId="3" fontId="43" fillId="0" borderId="40" xfId="0" applyNumberFormat="1" applyFont="1" applyFill="1" applyBorder="1" applyAlignment="1" applyProtection="1">
      <alignment vertical="center"/>
      <protection locked="0"/>
    </xf>
    <xf numFmtId="3" fontId="43" fillId="0" borderId="54" xfId="0" applyNumberFormat="1" applyFont="1" applyFill="1" applyBorder="1" applyAlignment="1" applyProtection="1">
      <alignment vertical="center"/>
      <protection locked="0"/>
    </xf>
    <xf numFmtId="164" fontId="46" fillId="0" borderId="5" xfId="0" applyNumberFormat="1" applyFont="1" applyFill="1" applyBorder="1" applyAlignment="1" applyProtection="1">
      <alignment vertical="center"/>
      <protection locked="0"/>
    </xf>
    <xf numFmtId="3" fontId="43" fillId="0" borderId="17" xfId="0" applyNumberFormat="1" applyFont="1" applyFill="1" applyBorder="1" applyAlignment="1" applyProtection="1">
      <alignment vertical="center"/>
      <protection locked="0"/>
    </xf>
    <xf numFmtId="3" fontId="43" fillId="0" borderId="2" xfId="0" applyNumberFormat="1" applyFont="1" applyFill="1" applyBorder="1" applyAlignment="1" applyProtection="1">
      <alignment vertical="center"/>
      <protection locked="0"/>
    </xf>
    <xf numFmtId="3" fontId="43" fillId="0" borderId="0" xfId="0" applyNumberFormat="1" applyFont="1" applyFill="1" applyBorder="1" applyAlignment="1" applyProtection="1">
      <alignment vertical="center"/>
      <protection locked="0"/>
    </xf>
    <xf numFmtId="3" fontId="47" fillId="0" borderId="50" xfId="0" applyNumberFormat="1" applyFont="1" applyFill="1" applyBorder="1" applyAlignment="1" applyProtection="1">
      <alignment vertical="center"/>
      <protection locked="0"/>
    </xf>
    <xf numFmtId="164" fontId="55" fillId="0" borderId="8" xfId="0" applyNumberFormat="1" applyFont="1" applyFill="1" applyBorder="1" applyAlignment="1" applyProtection="1">
      <alignment horizontal="right" vertical="center"/>
      <protection locked="0"/>
    </xf>
    <xf numFmtId="3" fontId="47" fillId="0" borderId="37" xfId="0" applyNumberFormat="1" applyFont="1" applyFill="1" applyBorder="1" applyAlignment="1" applyProtection="1">
      <alignment vertical="center"/>
      <protection locked="0"/>
    </xf>
    <xf numFmtId="164" fontId="55" fillId="0" borderId="7" xfId="0" applyNumberFormat="1" applyFont="1" applyFill="1" applyBorder="1" applyAlignment="1" applyProtection="1">
      <alignment horizontal="right" vertical="center"/>
      <protection locked="0"/>
    </xf>
    <xf numFmtId="3" fontId="43" fillId="0" borderId="80" xfId="0" applyNumberFormat="1" applyFont="1" applyFill="1" applyBorder="1" applyAlignment="1" applyProtection="1">
      <alignment vertical="center"/>
      <protection locked="0"/>
    </xf>
    <xf numFmtId="3" fontId="43" fillId="0" borderId="13" xfId="0" applyNumberFormat="1" applyFont="1" applyBorder="1" applyAlignment="1">
      <alignment/>
    </xf>
    <xf numFmtId="3" fontId="43" fillId="0" borderId="81" xfId="0" applyNumberFormat="1" applyFont="1" applyBorder="1" applyAlignment="1">
      <alignment/>
    </xf>
    <xf numFmtId="164" fontId="45" fillId="0" borderId="7" xfId="0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164" fontId="45" fillId="0" borderId="43" xfId="0" applyNumberFormat="1" applyFont="1" applyBorder="1" applyAlignment="1">
      <alignment/>
    </xf>
    <xf numFmtId="164" fontId="53" fillId="0" borderId="51" xfId="0" applyNumberFormat="1" applyFont="1" applyBorder="1" applyAlignment="1">
      <alignment vertical="center" wrapText="1"/>
    </xf>
    <xf numFmtId="3" fontId="56" fillId="0" borderId="1" xfId="0" applyNumberFormat="1" applyFont="1" applyFill="1" applyBorder="1" applyAlignment="1" applyProtection="1">
      <alignment vertical="center"/>
      <protection locked="0"/>
    </xf>
    <xf numFmtId="3" fontId="56" fillId="0" borderId="9" xfId="0" applyNumberFormat="1" applyFont="1" applyFill="1" applyBorder="1" applyAlignment="1" applyProtection="1">
      <alignment vertical="center"/>
      <protection locked="0"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3" fontId="42" fillId="0" borderId="9" xfId="0" applyNumberFormat="1" applyFont="1" applyFill="1" applyBorder="1" applyAlignment="1" applyProtection="1">
      <alignment vertical="center"/>
      <protection locked="0"/>
    </xf>
    <xf numFmtId="3" fontId="42" fillId="0" borderId="1" xfId="0" applyNumberFormat="1" applyFont="1" applyFill="1" applyBorder="1" applyAlignment="1" applyProtection="1">
      <alignment vertical="center"/>
      <protection locked="0"/>
    </xf>
    <xf numFmtId="3" fontId="42" fillId="0" borderId="10" xfId="0" applyNumberFormat="1" applyFont="1" applyFill="1" applyBorder="1" applyAlignment="1" applyProtection="1">
      <alignment vertical="center"/>
      <protection locked="0"/>
    </xf>
    <xf numFmtId="164" fontId="46" fillId="0" borderId="43" xfId="0" applyNumberFormat="1" applyFont="1" applyFill="1" applyBorder="1" applyAlignment="1" applyProtection="1">
      <alignment vertical="center"/>
      <protection locked="0"/>
    </xf>
    <xf numFmtId="1" fontId="53" fillId="0" borderId="3" xfId="0" applyNumberFormat="1" applyFont="1" applyBorder="1" applyAlignment="1">
      <alignment horizontal="centerContinuous" vertical="center"/>
    </xf>
    <xf numFmtId="1" fontId="53" fillId="0" borderId="0" xfId="0" applyNumberFormat="1" applyFont="1" applyBorder="1" applyAlignment="1">
      <alignment vertical="center"/>
    </xf>
    <xf numFmtId="164" fontId="53" fillId="0" borderId="0" xfId="0" applyNumberFormat="1" applyFont="1" applyBorder="1" applyAlignment="1">
      <alignment vertical="center"/>
    </xf>
    <xf numFmtId="1" fontId="42" fillId="0" borderId="1" xfId="0" applyNumberFormat="1" applyFont="1" applyBorder="1" applyAlignment="1">
      <alignment horizontal="centerContinuous" vertical="center"/>
    </xf>
    <xf numFmtId="1" fontId="42" fillId="0" borderId="12" xfId="0" applyNumberFormat="1" applyFont="1" applyBorder="1" applyAlignment="1">
      <alignment horizontal="centerContinuous" vertical="center"/>
    </xf>
    <xf numFmtId="3" fontId="43" fillId="0" borderId="82" xfId="0" applyNumberFormat="1" applyFont="1" applyFill="1" applyBorder="1" applyAlignment="1" applyProtection="1">
      <alignment vertical="center"/>
      <protection locked="0"/>
    </xf>
    <xf numFmtId="1" fontId="53" fillId="0" borderId="1" xfId="0" applyNumberFormat="1" applyFont="1" applyFill="1" applyBorder="1" applyAlignment="1" applyProtection="1">
      <alignment horizontal="center" vertical="center"/>
      <protection locked="0"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164" fontId="48" fillId="0" borderId="2" xfId="0" applyNumberFormat="1" applyFont="1" applyFill="1" applyBorder="1" applyAlignment="1" applyProtection="1">
      <alignment vertical="center"/>
      <protection locked="0"/>
    </xf>
    <xf numFmtId="164" fontId="48" fillId="0" borderId="2" xfId="0" applyNumberFormat="1" applyFont="1" applyFill="1" applyBorder="1" applyAlignment="1" applyProtection="1">
      <alignment horizontal="right" vertical="center"/>
      <protection locked="0"/>
    </xf>
    <xf numFmtId="3" fontId="58" fillId="0" borderId="1" xfId="0" applyNumberFormat="1" applyFont="1" applyFill="1" applyBorder="1" applyAlignment="1" applyProtection="1">
      <alignment vertical="center"/>
      <protection locked="0"/>
    </xf>
    <xf numFmtId="3" fontId="58" fillId="0" borderId="10" xfId="0" applyNumberFormat="1" applyFont="1" applyFill="1" applyBorder="1" applyAlignment="1" applyProtection="1">
      <alignment vertical="center"/>
      <protection locked="0"/>
    </xf>
    <xf numFmtId="3" fontId="58" fillId="0" borderId="9" xfId="0" applyNumberFormat="1" applyFont="1" applyFill="1" applyBorder="1" applyAlignment="1" applyProtection="1">
      <alignment vertical="center"/>
      <protection locked="0"/>
    </xf>
    <xf numFmtId="164" fontId="48" fillId="0" borderId="8" xfId="0" applyNumberFormat="1" applyFont="1" applyFill="1" applyBorder="1" applyAlignment="1" applyProtection="1">
      <alignment vertical="center"/>
      <protection locked="0"/>
    </xf>
    <xf numFmtId="164" fontId="55" fillId="0" borderId="30" xfId="0" applyNumberFormat="1" applyFont="1" applyFill="1" applyBorder="1" applyAlignment="1" applyProtection="1">
      <alignment horizontal="right" vertical="center"/>
      <protection locked="0"/>
    </xf>
    <xf numFmtId="164" fontId="45" fillId="0" borderId="11" xfId="0" applyNumberFormat="1" applyFont="1" applyFill="1" applyBorder="1" applyAlignment="1" applyProtection="1">
      <alignment vertical="center"/>
      <protection locked="0"/>
    </xf>
    <xf numFmtId="164" fontId="48" fillId="0" borderId="11" xfId="0" applyNumberFormat="1" applyFont="1" applyFill="1" applyBorder="1" applyAlignment="1" applyProtection="1">
      <alignment vertical="center"/>
      <protection locked="0"/>
    </xf>
    <xf numFmtId="164" fontId="48" fillId="0" borderId="30" xfId="0" applyNumberFormat="1" applyFont="1" applyFill="1" applyBorder="1" applyAlignment="1" applyProtection="1">
      <alignment vertical="center"/>
      <protection locked="0"/>
    </xf>
    <xf numFmtId="3" fontId="43" fillId="0" borderId="9" xfId="0" applyNumberFormat="1" applyFont="1" applyBorder="1" applyAlignment="1">
      <alignment vertical="center"/>
    </xf>
    <xf numFmtId="164" fontId="42" fillId="0" borderId="7" xfId="20" applyNumberFormat="1" applyFont="1" applyFill="1" applyBorder="1" applyAlignment="1" applyProtection="1">
      <alignment horizontal="left" vertical="center" wrapText="1"/>
      <protection locked="0"/>
    </xf>
    <xf numFmtId="3" fontId="43" fillId="0" borderId="82" xfId="0" applyNumberFormat="1" applyFont="1" applyBorder="1" applyAlignment="1">
      <alignment/>
    </xf>
    <xf numFmtId="3" fontId="43" fillId="0" borderId="12" xfId="0" applyNumberFormat="1" applyFont="1" applyFill="1" applyBorder="1" applyAlignment="1" applyProtection="1">
      <alignment horizontal="right" vertical="center"/>
      <protection locked="0"/>
    </xf>
    <xf numFmtId="3" fontId="43" fillId="0" borderId="81" xfId="0" applyNumberFormat="1" applyFont="1" applyFill="1" applyBorder="1" applyAlignment="1" applyProtection="1">
      <alignment horizontal="right" vertical="center"/>
      <protection locked="0"/>
    </xf>
    <xf numFmtId="164" fontId="45" fillId="0" borderId="7" xfId="0" applyNumberFormat="1" applyFont="1" applyFill="1" applyBorder="1" applyAlignment="1" applyProtection="1">
      <alignment horizontal="right" vertical="center"/>
      <protection locked="0"/>
    </xf>
    <xf numFmtId="164" fontId="45" fillId="0" borderId="43" xfId="0" applyNumberFormat="1" applyFont="1" applyFill="1" applyBorder="1" applyAlignment="1" applyProtection="1">
      <alignment horizontal="right" vertical="center"/>
      <protection locked="0"/>
    </xf>
    <xf numFmtId="164" fontId="42" fillId="0" borderId="2" xfId="20" applyNumberFormat="1" applyFont="1" applyFill="1" applyBorder="1" applyAlignment="1" applyProtection="1">
      <alignment horizontal="left" vertical="center" wrapText="1"/>
      <protection locked="0"/>
    </xf>
    <xf numFmtId="164" fontId="42" fillId="0" borderId="53" xfId="20" applyNumberFormat="1" applyFont="1" applyFill="1" applyBorder="1" applyAlignment="1" applyProtection="1">
      <alignment horizontal="left" vertical="center" wrapText="1"/>
      <protection locked="0"/>
    </xf>
    <xf numFmtId="164" fontId="55" fillId="0" borderId="5" xfId="0" applyNumberFormat="1" applyFont="1" applyFill="1" applyBorder="1" applyAlignment="1" applyProtection="1">
      <alignment horizontal="right" vertical="center"/>
      <protection locked="0"/>
    </xf>
    <xf numFmtId="164" fontId="48" fillId="0" borderId="5" xfId="0" applyNumberFormat="1" applyFont="1" applyFill="1" applyBorder="1" applyAlignment="1" applyProtection="1">
      <alignment horizontal="right" vertical="center"/>
      <protection locked="0"/>
    </xf>
    <xf numFmtId="164" fontId="48" fillId="0" borderId="46" xfId="0" applyNumberFormat="1" applyFont="1" applyFill="1" applyBorder="1" applyAlignment="1" applyProtection="1">
      <alignment horizontal="right" vertical="center"/>
      <protection locked="0"/>
    </xf>
    <xf numFmtId="164" fontId="60" fillId="0" borderId="46" xfId="0" applyNumberFormat="1" applyFont="1" applyFill="1" applyBorder="1" applyAlignment="1" applyProtection="1">
      <alignment horizontal="right" vertical="center"/>
      <protection locked="0"/>
    </xf>
    <xf numFmtId="1" fontId="59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59" fillId="0" borderId="17" xfId="20" applyNumberFormat="1" applyFont="1" applyFill="1" applyBorder="1" applyAlignment="1" applyProtection="1">
      <alignment vertical="center" wrapText="1"/>
      <protection locked="0"/>
    </xf>
    <xf numFmtId="3" fontId="59" fillId="0" borderId="9" xfId="0" applyNumberFormat="1" applyFont="1" applyFill="1" applyBorder="1" applyAlignment="1" applyProtection="1">
      <alignment horizontal="right" vertical="center"/>
      <protection locked="0"/>
    </xf>
    <xf numFmtId="3" fontId="59" fillId="0" borderId="10" xfId="0" applyNumberFormat="1" applyFont="1" applyFill="1" applyBorder="1" applyAlignment="1" applyProtection="1">
      <alignment horizontal="right" vertical="center"/>
      <protection locked="0"/>
    </xf>
    <xf numFmtId="3" fontId="59" fillId="0" borderId="1" xfId="0" applyNumberFormat="1" applyFont="1" applyFill="1" applyBorder="1" applyAlignment="1" applyProtection="1">
      <alignment horizontal="right" vertical="center"/>
      <protection locked="0"/>
    </xf>
    <xf numFmtId="164" fontId="42" fillId="0" borderId="9" xfId="20" applyNumberFormat="1" applyFont="1" applyFill="1" applyBorder="1" applyAlignment="1" applyProtection="1">
      <alignment vertical="center" wrapText="1"/>
      <protection locked="0"/>
    </xf>
    <xf numFmtId="164" fontId="53" fillId="0" borderId="38" xfId="20" applyNumberFormat="1" applyFont="1" applyFill="1" applyBorder="1" applyAlignment="1" applyProtection="1">
      <alignment horizontal="left" vertical="center" wrapText="1"/>
      <protection locked="0"/>
    </xf>
    <xf numFmtId="3" fontId="47" fillId="0" borderId="49" xfId="0" applyNumberFormat="1" applyFont="1" applyFill="1" applyBorder="1" applyAlignment="1" applyProtection="1">
      <alignment horizontal="right" vertical="center"/>
      <protection locked="0"/>
    </xf>
    <xf numFmtId="164" fontId="48" fillId="0" borderId="8" xfId="0" applyNumberFormat="1" applyFont="1" applyFill="1" applyBorder="1" applyAlignment="1" applyProtection="1">
      <alignment horizontal="right" vertical="center"/>
      <protection locked="0"/>
    </xf>
    <xf numFmtId="164" fontId="48" fillId="0" borderId="68" xfId="0" applyNumberFormat="1" applyFont="1" applyFill="1" applyBorder="1" applyAlignment="1" applyProtection="1">
      <alignment horizontal="right" vertical="center"/>
      <protection locked="0"/>
    </xf>
    <xf numFmtId="1" fontId="53" fillId="0" borderId="12" xfId="0" applyNumberFormat="1" applyFont="1" applyBorder="1" applyAlignment="1">
      <alignment horizontal="centerContinuous" vertical="center"/>
    </xf>
    <xf numFmtId="1" fontId="42" fillId="0" borderId="4" xfId="0" applyNumberFormat="1" applyFont="1" applyBorder="1" applyAlignment="1">
      <alignment horizontal="centerContinuous" vertical="center"/>
    </xf>
    <xf numFmtId="3" fontId="42" fillId="0" borderId="9" xfId="0" applyNumberFormat="1" applyFont="1" applyFill="1" applyBorder="1" applyAlignment="1" applyProtection="1">
      <alignment horizontal="right" vertical="center"/>
      <protection locked="0"/>
    </xf>
    <xf numFmtId="164" fontId="42" fillId="0" borderId="6" xfId="20" applyNumberFormat="1" applyFont="1" applyFill="1" applyBorder="1" applyAlignment="1" applyProtection="1">
      <alignment vertical="center" wrapText="1"/>
      <protection locked="0"/>
    </xf>
    <xf numFmtId="1" fontId="42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44" fillId="0" borderId="72" xfId="0" applyNumberFormat="1" applyFont="1" applyFill="1" applyBorder="1" applyAlignment="1" applyProtection="1">
      <alignment horizontal="right" vertical="center"/>
      <protection locked="0"/>
    </xf>
    <xf numFmtId="164" fontId="54" fillId="0" borderId="8" xfId="0" applyNumberFormat="1" applyFont="1" applyFill="1" applyBorder="1" applyAlignment="1" applyProtection="1">
      <alignment vertical="center"/>
      <protection locked="0"/>
    </xf>
    <xf numFmtId="164" fontId="54" fillId="0" borderId="11" xfId="0" applyNumberFormat="1" applyFont="1" applyFill="1" applyBorder="1" applyAlignment="1" applyProtection="1">
      <alignment vertical="center"/>
      <protection locked="0"/>
    </xf>
    <xf numFmtId="164" fontId="45" fillId="0" borderId="30" xfId="0" applyNumberFormat="1" applyFont="1" applyFill="1" applyBorder="1" applyAlignment="1" applyProtection="1">
      <alignment vertical="center"/>
      <protection locked="0"/>
    </xf>
    <xf numFmtId="164" fontId="54" fillId="0" borderId="2" xfId="0" applyNumberFormat="1" applyFont="1" applyFill="1" applyBorder="1" applyAlignment="1" applyProtection="1">
      <alignment vertical="center"/>
      <protection locked="0"/>
    </xf>
    <xf numFmtId="164" fontId="59" fillId="0" borderId="5" xfId="0" applyNumberFormat="1" applyFont="1" applyFill="1" applyBorder="1" applyAlignment="1" applyProtection="1">
      <alignment vertical="center"/>
      <protection locked="0"/>
    </xf>
    <xf numFmtId="164" fontId="47" fillId="0" borderId="5" xfId="0" applyNumberFormat="1" applyFont="1" applyFill="1" applyBorder="1" applyAlignment="1" applyProtection="1">
      <alignment vertical="center"/>
      <protection locked="0"/>
    </xf>
    <xf numFmtId="164" fontId="47" fillId="0" borderId="46" xfId="0" applyNumberFormat="1" applyFont="1" applyFill="1" applyBorder="1" applyAlignment="1" applyProtection="1">
      <alignment vertical="center"/>
      <protection locked="0"/>
    </xf>
    <xf numFmtId="1" fontId="43" fillId="0" borderId="0" xfId="0" applyNumberFormat="1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54" fillId="0" borderId="7" xfId="0" applyNumberFormat="1" applyFont="1" applyFill="1" applyBorder="1" applyAlignment="1" applyProtection="1">
      <alignment vertical="center"/>
      <protection locked="0"/>
    </xf>
    <xf numFmtId="164" fontId="54" fillId="0" borderId="5" xfId="0" applyNumberFormat="1" applyFont="1" applyFill="1" applyBorder="1" applyAlignment="1" applyProtection="1">
      <alignment vertical="center"/>
      <protection locked="0"/>
    </xf>
    <xf numFmtId="0" fontId="42" fillId="0" borderId="1" xfId="0" applyNumberFormat="1" applyFont="1" applyFill="1" applyBorder="1" applyAlignment="1" applyProtection="1">
      <alignment horizontal="centerContinuous" vertical="center"/>
      <protection locked="0"/>
    </xf>
    <xf numFmtId="0" fontId="42" fillId="0" borderId="12" xfId="0" applyNumberFormat="1" applyFont="1" applyFill="1" applyBorder="1" applyAlignment="1" applyProtection="1">
      <alignment horizontal="centerContinuous" vertical="center"/>
      <protection locked="0"/>
    </xf>
    <xf numFmtId="1" fontId="53" fillId="0" borderId="3" xfId="0" applyNumberFormat="1" applyFont="1" applyFill="1" applyBorder="1" applyAlignment="1" applyProtection="1">
      <alignment horizontal="center" vertical="center"/>
      <protection locked="0"/>
    </xf>
    <xf numFmtId="164" fontId="53" fillId="0" borderId="40" xfId="20" applyNumberFormat="1" applyFont="1" applyFill="1" applyBorder="1" applyAlignment="1" applyProtection="1">
      <alignment vertical="center" wrapText="1"/>
      <protection locked="0"/>
    </xf>
    <xf numFmtId="164" fontId="44" fillId="0" borderId="50" xfId="0" applyNumberFormat="1" applyFont="1" applyFill="1" applyBorder="1" applyAlignment="1" applyProtection="1">
      <alignment horizontal="right" vertical="center"/>
      <protection locked="0"/>
    </xf>
    <xf numFmtId="164" fontId="54" fillId="0" borderId="6" xfId="0" applyNumberFormat="1" applyFont="1" applyFill="1" applyBorder="1" applyAlignment="1" applyProtection="1">
      <alignment vertical="center"/>
      <protection locked="0"/>
    </xf>
    <xf numFmtId="164" fontId="60" fillId="0" borderId="5" xfId="0" applyNumberFormat="1" applyFont="1" applyFill="1" applyBorder="1" applyAlignment="1" applyProtection="1">
      <alignment vertical="center"/>
      <protection locked="0"/>
    </xf>
    <xf numFmtId="3" fontId="47" fillId="0" borderId="0" xfId="0" applyNumberFormat="1" applyFont="1" applyFill="1" applyBorder="1" applyAlignment="1" applyProtection="1">
      <alignment vertical="center"/>
      <protection locked="0"/>
    </xf>
    <xf numFmtId="164" fontId="55" fillId="0" borderId="2" xfId="0" applyNumberFormat="1" applyFont="1" applyFill="1" applyBorder="1" applyAlignment="1" applyProtection="1">
      <alignment vertical="center"/>
      <protection locked="0"/>
    </xf>
    <xf numFmtId="164" fontId="54" fillId="0" borderId="0" xfId="0" applyNumberFormat="1" applyFont="1" applyFill="1" applyBorder="1" applyAlignment="1" applyProtection="1">
      <alignment horizontal="right" vertical="center"/>
      <protection locked="0"/>
    </xf>
    <xf numFmtId="164" fontId="54" fillId="0" borderId="2" xfId="0" applyNumberFormat="1" applyFont="1" applyFill="1" applyBorder="1" applyAlignment="1" applyProtection="1">
      <alignment horizontal="right" vertical="center"/>
      <protection locked="0"/>
    </xf>
    <xf numFmtId="164" fontId="44" fillId="0" borderId="0" xfId="0" applyNumberFormat="1" applyFont="1" applyFill="1" applyBorder="1" applyAlignment="1" applyProtection="1">
      <alignment horizontal="right" vertical="center"/>
      <protection locked="0"/>
    </xf>
    <xf numFmtId="1" fontId="53" fillId="0" borderId="19" xfId="0" applyNumberFormat="1" applyFont="1" applyFill="1" applyBorder="1" applyAlignment="1" applyProtection="1">
      <alignment horizontal="centerContinuous" vertical="center"/>
      <protection locked="0"/>
    </xf>
    <xf numFmtId="1" fontId="53" fillId="0" borderId="2" xfId="0" applyNumberFormat="1" applyFont="1" applyFill="1" applyBorder="1" applyAlignment="1" applyProtection="1">
      <alignment vertical="center" wrapText="1"/>
      <protection locked="0"/>
    </xf>
    <xf numFmtId="164" fontId="53" fillId="0" borderId="2" xfId="20" applyNumberFormat="1" applyFont="1" applyFill="1" applyBorder="1" applyAlignment="1" applyProtection="1">
      <alignment vertical="center" wrapText="1"/>
      <protection locked="0"/>
    </xf>
    <xf numFmtId="164" fontId="55" fillId="0" borderId="2" xfId="0" applyNumberFormat="1" applyFont="1" applyFill="1" applyBorder="1" applyAlignment="1" applyProtection="1">
      <alignment horizontal="right" vertical="center"/>
      <protection locked="0"/>
    </xf>
    <xf numFmtId="164" fontId="52" fillId="0" borderId="20" xfId="0" applyNumberFormat="1" applyFont="1" applyFill="1" applyBorder="1" applyAlignment="1" applyProtection="1">
      <alignment horizontal="right" vertical="center"/>
      <protection locked="0"/>
    </xf>
    <xf numFmtId="164" fontId="55" fillId="0" borderId="0" xfId="0" applyNumberFormat="1" applyFont="1" applyFill="1" applyBorder="1" applyAlignment="1" applyProtection="1">
      <alignment horizontal="right" vertical="center"/>
      <protection locked="0"/>
    </xf>
    <xf numFmtId="164" fontId="44" fillId="0" borderId="83" xfId="0" applyNumberFormat="1" applyFont="1" applyFill="1" applyBorder="1" applyAlignment="1" applyProtection="1">
      <alignment horizontal="right" vertical="center"/>
      <protection locked="0"/>
    </xf>
    <xf numFmtId="164" fontId="44" fillId="0" borderId="74" xfId="0" applyNumberFormat="1" applyFont="1" applyFill="1" applyBorder="1" applyAlignment="1" applyProtection="1">
      <alignment horizontal="right" vertical="center"/>
      <protection locked="0"/>
    </xf>
    <xf numFmtId="164" fontId="44" fillId="0" borderId="80" xfId="0" applyNumberFormat="1" applyFont="1" applyFill="1" applyBorder="1" applyAlignment="1" applyProtection="1">
      <alignment horizontal="right" vertical="center"/>
      <protection locked="0"/>
    </xf>
    <xf numFmtId="164" fontId="46" fillId="0" borderId="8" xfId="0" applyNumberFormat="1" applyFont="1" applyFill="1" applyBorder="1" applyAlignment="1" applyProtection="1">
      <alignment vertical="center"/>
      <protection locked="0"/>
    </xf>
    <xf numFmtId="164" fontId="44" fillId="0" borderId="11" xfId="0" applyNumberFormat="1" applyFont="1" applyFill="1" applyBorder="1" applyAlignment="1" applyProtection="1">
      <alignment horizontal="right" vertical="center"/>
      <protection locked="0"/>
    </xf>
    <xf numFmtId="164" fontId="42" fillId="0" borderId="45" xfId="20" applyNumberFormat="1" applyFont="1" applyFill="1" applyBorder="1" applyAlignment="1" applyProtection="1">
      <alignment vertical="center" wrapText="1"/>
      <protection locked="0"/>
    </xf>
    <xf numFmtId="164" fontId="44" fillId="0" borderId="17" xfId="0" applyNumberFormat="1" applyFont="1" applyFill="1" applyBorder="1" applyAlignment="1" applyProtection="1">
      <alignment horizontal="right" vertical="center"/>
      <protection locked="0"/>
    </xf>
    <xf numFmtId="164" fontId="42" fillId="0" borderId="13" xfId="20" applyNumberFormat="1" applyFont="1" applyFill="1" applyBorder="1" applyAlignment="1" applyProtection="1">
      <alignment vertical="center" wrapText="1"/>
      <protection locked="0"/>
    </xf>
    <xf numFmtId="164" fontId="44" fillId="0" borderId="82" xfId="0" applyNumberFormat="1" applyFont="1" applyFill="1" applyBorder="1" applyAlignment="1" applyProtection="1">
      <alignment horizontal="right" vertical="center"/>
      <protection locked="0"/>
    </xf>
    <xf numFmtId="1" fontId="42" fillId="0" borderId="4" xfId="0" applyNumberFormat="1" applyFont="1" applyFill="1" applyBorder="1" applyAlignment="1" applyProtection="1">
      <alignment horizontal="center" vertical="center"/>
      <protection locked="0"/>
    </xf>
    <xf numFmtId="164" fontId="54" fillId="0" borderId="46" xfId="0" applyNumberFormat="1" applyFont="1" applyFill="1" applyBorder="1" applyAlignment="1" applyProtection="1">
      <alignment vertical="center"/>
      <protection locked="0"/>
    </xf>
    <xf numFmtId="3" fontId="47" fillId="0" borderId="79" xfId="0" applyNumberFormat="1" applyFont="1" applyFill="1" applyBorder="1" applyAlignment="1" applyProtection="1">
      <alignment vertical="center"/>
      <protection locked="0"/>
    </xf>
    <xf numFmtId="3" fontId="47" fillId="0" borderId="45" xfId="0" applyNumberFormat="1" applyFont="1" applyFill="1" applyBorder="1" applyAlignment="1" applyProtection="1">
      <alignment vertical="center"/>
      <protection locked="0"/>
    </xf>
    <xf numFmtId="164" fontId="52" fillId="0" borderId="6" xfId="0" applyNumberFormat="1" applyFont="1" applyFill="1" applyBorder="1" applyAlignment="1" applyProtection="1">
      <alignment vertical="center"/>
      <protection locked="0"/>
    </xf>
    <xf numFmtId="3" fontId="47" fillId="0" borderId="4" xfId="0" applyNumberFormat="1" applyFont="1" applyFill="1" applyBorder="1" applyAlignment="1" applyProtection="1">
      <alignment vertical="center"/>
      <protection locked="0"/>
    </xf>
    <xf numFmtId="164" fontId="54" fillId="0" borderId="48" xfId="0" applyNumberFormat="1" applyFont="1" applyFill="1" applyBorder="1" applyAlignment="1" applyProtection="1">
      <alignment vertical="center"/>
      <protection locked="0"/>
    </xf>
    <xf numFmtId="164" fontId="54" fillId="0" borderId="20" xfId="0" applyNumberFormat="1" applyFont="1" applyFill="1" applyBorder="1" applyAlignment="1" applyProtection="1">
      <alignment vertical="center"/>
      <protection locked="0"/>
    </xf>
    <xf numFmtId="164" fontId="54" fillId="0" borderId="43" xfId="0" applyNumberFormat="1" applyFont="1" applyFill="1" applyBorder="1" applyAlignment="1" applyProtection="1">
      <alignment vertical="center"/>
      <protection locked="0"/>
    </xf>
    <xf numFmtId="3" fontId="43" fillId="0" borderId="0" xfId="0" applyNumberFormat="1" applyFont="1" applyFill="1" applyBorder="1" applyAlignment="1" applyProtection="1">
      <alignment horizontal="right" vertical="center"/>
      <protection locked="0"/>
    </xf>
    <xf numFmtId="164" fontId="42" fillId="0" borderId="67" xfId="20" applyNumberFormat="1" applyFont="1" applyFill="1" applyBorder="1" applyAlignment="1" applyProtection="1">
      <alignment vertical="center" wrapText="1"/>
      <protection locked="0"/>
    </xf>
    <xf numFmtId="1" fontId="47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47" fillId="0" borderId="38" xfId="20" applyNumberFormat="1" applyFont="1" applyFill="1" applyBorder="1" applyAlignment="1" applyProtection="1">
      <alignment vertical="center" wrapText="1"/>
      <protection locked="0"/>
    </xf>
    <xf numFmtId="3" fontId="47" fillId="0" borderId="0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53" fillId="0" borderId="14" xfId="2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/>
      <protection locked="0"/>
    </xf>
    <xf numFmtId="164" fontId="45" fillId="0" borderId="30" xfId="0" applyNumberFormat="1" applyFont="1" applyFill="1" applyBorder="1" applyAlignment="1" applyProtection="1">
      <alignment horizontal="right" vertic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64" fontId="53" fillId="0" borderId="13" xfId="20" applyNumberFormat="1" applyFont="1" applyFill="1" applyBorder="1" applyAlignment="1" applyProtection="1">
      <alignment vertical="center" wrapText="1"/>
      <protection locked="0"/>
    </xf>
    <xf numFmtId="164" fontId="55" fillId="0" borderId="82" xfId="0" applyNumberFormat="1" applyFont="1" applyFill="1" applyBorder="1" applyAlignment="1" applyProtection="1">
      <alignment horizontal="right" vertical="center"/>
      <protection locked="0"/>
    </xf>
    <xf numFmtId="164" fontId="44" fillId="0" borderId="43" xfId="0" applyNumberFormat="1" applyFont="1" applyFill="1" applyBorder="1" applyAlignment="1" applyProtection="1">
      <alignment vertical="center"/>
      <protection locked="0"/>
    </xf>
    <xf numFmtId="164" fontId="44" fillId="0" borderId="53" xfId="0" applyNumberFormat="1" applyFont="1" applyFill="1" applyBorder="1" applyAlignment="1" applyProtection="1">
      <alignment horizontal="right" vertical="center"/>
      <protection locked="0"/>
    </xf>
    <xf numFmtId="164" fontId="55" fillId="0" borderId="51" xfId="0" applyNumberFormat="1" applyFont="1" applyFill="1" applyBorder="1" applyAlignment="1" applyProtection="1">
      <alignment horizontal="right" vertical="center"/>
      <protection locked="0"/>
    </xf>
    <xf numFmtId="164" fontId="44" fillId="0" borderId="7" xfId="0" applyNumberFormat="1" applyFont="1" applyFill="1" applyBorder="1" applyAlignment="1" applyProtection="1">
      <alignment vertical="center"/>
      <protection locked="0"/>
    </xf>
    <xf numFmtId="164" fontId="44" fillId="0" borderId="51" xfId="0" applyNumberFormat="1" applyFont="1" applyFill="1" applyBorder="1" applyAlignment="1" applyProtection="1">
      <alignment horizontal="right" vertical="center"/>
      <protection locked="0"/>
    </xf>
    <xf numFmtId="164" fontId="44" fillId="0" borderId="55" xfId="0" applyNumberFormat="1" applyFont="1" applyFill="1" applyBorder="1" applyAlignment="1" applyProtection="1">
      <alignment horizontal="right" vertical="center"/>
      <protection locked="0"/>
    </xf>
    <xf numFmtId="164" fontId="42" fillId="0" borderId="40" xfId="20" applyNumberFormat="1" applyFont="1" applyFill="1" applyBorder="1" applyAlignment="1" applyProtection="1">
      <alignment vertical="center" wrapText="1"/>
      <protection locked="0"/>
    </xf>
    <xf numFmtId="164" fontId="59" fillId="0" borderId="9" xfId="20" applyNumberFormat="1" applyFont="1" applyFill="1" applyBorder="1" applyAlignment="1" applyProtection="1">
      <alignment vertical="center" wrapText="1"/>
      <protection locked="0"/>
    </xf>
    <xf numFmtId="164" fontId="59" fillId="0" borderId="17" xfId="0" applyNumberFormat="1" applyFont="1" applyFill="1" applyBorder="1" applyAlignment="1" applyProtection="1">
      <alignment horizontal="right" vertical="center"/>
      <protection locked="0"/>
    </xf>
    <xf numFmtId="164" fontId="59" fillId="0" borderId="20" xfId="0" applyNumberFormat="1" applyFont="1" applyFill="1" applyBorder="1" applyAlignment="1" applyProtection="1">
      <alignment horizontal="right" vertical="center"/>
      <protection locked="0"/>
    </xf>
    <xf numFmtId="164" fontId="59" fillId="0" borderId="2" xfId="0" applyNumberFormat="1" applyFont="1" applyFill="1" applyBorder="1" applyAlignment="1" applyProtection="1">
      <alignment horizontal="right" vertical="center"/>
      <protection locked="0"/>
    </xf>
    <xf numFmtId="164" fontId="59" fillId="0" borderId="20" xfId="0" applyNumberFormat="1" applyFont="1" applyFill="1" applyBorder="1" applyAlignment="1" applyProtection="1">
      <alignment vertical="center"/>
      <protection locked="0"/>
    </xf>
    <xf numFmtId="1" fontId="59" fillId="0" borderId="0" xfId="0" applyNumberFormat="1" applyFont="1" applyBorder="1" applyAlignment="1">
      <alignment/>
    </xf>
    <xf numFmtId="164" fontId="59" fillId="0" borderId="0" xfId="0" applyNumberFormat="1" applyFont="1" applyBorder="1" applyAlignment="1">
      <alignment/>
    </xf>
    <xf numFmtId="164" fontId="56" fillId="0" borderId="2" xfId="0" applyNumberFormat="1" applyFont="1" applyFill="1" applyBorder="1" applyAlignment="1" applyProtection="1">
      <alignment horizontal="right" vertical="center"/>
      <protection locked="0"/>
    </xf>
    <xf numFmtId="164" fontId="46" fillId="0" borderId="46" xfId="0" applyNumberFormat="1" applyFont="1" applyFill="1" applyBorder="1" applyAlignment="1" applyProtection="1">
      <alignment vertical="center"/>
      <protection locked="0"/>
    </xf>
    <xf numFmtId="164" fontId="59" fillId="0" borderId="2" xfId="0" applyNumberFormat="1" applyFont="1" applyFill="1" applyBorder="1" applyAlignment="1" applyProtection="1">
      <alignment vertical="center"/>
      <protection locked="0"/>
    </xf>
    <xf numFmtId="164" fontId="44" fillId="0" borderId="5" xfId="0" applyNumberFormat="1" applyFont="1" applyFill="1" applyBorder="1" applyAlignment="1" applyProtection="1">
      <alignment vertical="center"/>
      <protection locked="0"/>
    </xf>
    <xf numFmtId="3" fontId="47" fillId="0" borderId="41" xfId="0" applyNumberFormat="1" applyFont="1" applyFill="1" applyBorder="1" applyAlignment="1" applyProtection="1">
      <alignment horizontal="right" vertical="center"/>
      <protection locked="0"/>
    </xf>
    <xf numFmtId="164" fontId="53" fillId="0" borderId="9" xfId="20" applyNumberFormat="1" applyFont="1" applyFill="1" applyBorder="1" applyAlignment="1" applyProtection="1">
      <alignment vertical="center" wrapText="1"/>
      <protection locked="0"/>
    </xf>
    <xf numFmtId="164" fontId="60" fillId="0" borderId="0" xfId="0" applyNumberFormat="1" applyFont="1" applyFill="1" applyBorder="1" applyAlignment="1" applyProtection="1">
      <alignment horizontal="right" vertical="center"/>
      <protection locked="0"/>
    </xf>
    <xf numFmtId="3" fontId="47" fillId="0" borderId="19" xfId="0" applyNumberFormat="1" applyFont="1" applyFill="1" applyBorder="1" applyAlignment="1" applyProtection="1">
      <alignment vertical="center"/>
      <protection locked="0"/>
    </xf>
    <xf numFmtId="164" fontId="48" fillId="0" borderId="20" xfId="0" applyNumberFormat="1" applyFont="1" applyFill="1" applyBorder="1" applyAlignment="1" applyProtection="1">
      <alignment horizontal="right" vertical="center"/>
      <protection locked="0"/>
    </xf>
    <xf numFmtId="164" fontId="53" fillId="0" borderId="27" xfId="20" applyNumberFormat="1" applyFont="1" applyFill="1" applyBorder="1" applyAlignment="1" applyProtection="1">
      <alignment vertical="center" wrapText="1"/>
      <protection locked="0"/>
    </xf>
    <xf numFmtId="164" fontId="55" fillId="0" borderId="83" xfId="0" applyNumberFormat="1" applyFont="1" applyFill="1" applyBorder="1" applyAlignment="1" applyProtection="1">
      <alignment horizontal="right" vertical="center"/>
      <protection locked="0"/>
    </xf>
    <xf numFmtId="164" fontId="52" fillId="0" borderId="68" xfId="0" applyNumberFormat="1" applyFont="1" applyFill="1" applyBorder="1" applyAlignment="1" applyProtection="1">
      <alignment horizontal="right" vertical="center"/>
      <protection locked="0"/>
    </xf>
    <xf numFmtId="164" fontId="60" fillId="0" borderId="46" xfId="0" applyNumberFormat="1" applyFont="1" applyFill="1" applyBorder="1" applyAlignment="1" applyProtection="1">
      <alignment vertical="center"/>
      <protection locked="0"/>
    </xf>
    <xf numFmtId="164" fontId="55" fillId="0" borderId="46" xfId="0" applyNumberFormat="1" applyFont="1" applyFill="1" applyBorder="1" applyAlignment="1" applyProtection="1">
      <alignment vertical="center"/>
      <protection locked="0"/>
    </xf>
    <xf numFmtId="164" fontId="59" fillId="0" borderId="2" xfId="20" applyNumberFormat="1" applyFont="1" applyFill="1" applyBorder="1" applyAlignment="1" applyProtection="1">
      <alignment vertical="center" wrapText="1"/>
      <protection locked="0"/>
    </xf>
    <xf numFmtId="164" fontId="55" fillId="0" borderId="20" xfId="0" applyNumberFormat="1" applyFont="1" applyFill="1" applyBorder="1" applyAlignment="1" applyProtection="1">
      <alignment vertical="center"/>
      <protection locked="0"/>
    </xf>
    <xf numFmtId="3" fontId="59" fillId="0" borderId="0" xfId="0" applyNumberFormat="1" applyFont="1" applyFill="1" applyBorder="1" applyAlignment="1" applyProtection="1">
      <alignment vertical="center"/>
      <protection locked="0"/>
    </xf>
    <xf numFmtId="3" fontId="59" fillId="0" borderId="19" xfId="0" applyNumberFormat="1" applyFont="1" applyFill="1" applyBorder="1" applyAlignment="1" applyProtection="1">
      <alignment vertical="center"/>
      <protection locked="0"/>
    </xf>
    <xf numFmtId="164" fontId="43" fillId="0" borderId="17" xfId="20" applyNumberFormat="1" applyFont="1" applyFill="1" applyBorder="1" applyAlignment="1" applyProtection="1">
      <alignment vertical="center" wrapText="1"/>
      <protection locked="0"/>
    </xf>
    <xf numFmtId="1" fontId="53" fillId="0" borderId="39" xfId="0" applyNumberFormat="1" applyFont="1" applyFill="1" applyBorder="1" applyAlignment="1" applyProtection="1">
      <alignment horizontal="center" vertical="center"/>
      <protection locked="0"/>
    </xf>
    <xf numFmtId="164" fontId="54" fillId="0" borderId="68" xfId="0" applyNumberFormat="1" applyFont="1" applyFill="1" applyBorder="1" applyAlignment="1" applyProtection="1">
      <alignment vertical="center"/>
      <protection locked="0"/>
    </xf>
    <xf numFmtId="3" fontId="43" fillId="0" borderId="50" xfId="0" applyNumberFormat="1" applyFont="1" applyFill="1" applyBorder="1" applyAlignment="1" applyProtection="1">
      <alignment vertical="center"/>
      <protection locked="0"/>
    </xf>
    <xf numFmtId="3" fontId="47" fillId="0" borderId="82" xfId="0" applyNumberFormat="1" applyFont="1" applyFill="1" applyBorder="1" applyAlignment="1" applyProtection="1">
      <alignment vertical="center"/>
      <protection locked="0"/>
    </xf>
    <xf numFmtId="164" fontId="44" fillId="0" borderId="6" xfId="0" applyNumberFormat="1" applyFont="1" applyFill="1" applyBorder="1" applyAlignment="1" applyProtection="1">
      <alignment vertical="center"/>
      <protection locked="0"/>
    </xf>
    <xf numFmtId="0" fontId="53" fillId="0" borderId="1" xfId="0" applyNumberFormat="1" applyFont="1" applyFill="1" applyBorder="1" applyAlignment="1" applyProtection="1">
      <alignment horizontal="centerContinuous" vertical="center"/>
      <protection locked="0"/>
    </xf>
    <xf numFmtId="0" fontId="53" fillId="0" borderId="17" xfId="0" applyFont="1" applyBorder="1" applyAlignment="1">
      <alignment horizontal="left" vertical="center" wrapText="1"/>
    </xf>
    <xf numFmtId="164" fontId="60" fillId="0" borderId="20" xfId="0" applyNumberFormat="1" applyFont="1" applyFill="1" applyBorder="1" applyAlignment="1" applyProtection="1">
      <alignment horizontal="right" vertical="center"/>
      <protection locked="0"/>
    </xf>
    <xf numFmtId="3" fontId="47" fillId="0" borderId="9" xfId="0" applyNumberFormat="1" applyFont="1" applyBorder="1" applyAlignment="1">
      <alignment horizontal="right" vertical="center"/>
    </xf>
    <xf numFmtId="164" fontId="60" fillId="0" borderId="2" xfId="0" applyNumberFormat="1" applyFont="1" applyFill="1" applyBorder="1" applyAlignment="1" applyProtection="1">
      <alignment horizontal="right" vertical="center"/>
      <protection locked="0"/>
    </xf>
    <xf numFmtId="3" fontId="43" fillId="0" borderId="9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left" vertical="center" wrapText="1"/>
    </xf>
    <xf numFmtId="0" fontId="53" fillId="0" borderId="51" xfId="0" applyFont="1" applyBorder="1" applyAlignment="1">
      <alignment horizontal="left" vertical="center" wrapText="1"/>
    </xf>
    <xf numFmtId="164" fontId="42" fillId="0" borderId="55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1" xfId="0" applyNumberFormat="1" applyFont="1" applyFill="1" applyBorder="1" applyAlignment="1" applyProtection="1">
      <alignment horizontal="right" vertical="center"/>
      <protection locked="0"/>
    </xf>
    <xf numFmtId="3" fontId="42" fillId="0" borderId="10" xfId="0" applyNumberFormat="1" applyFont="1" applyFill="1" applyBorder="1" applyAlignment="1" applyProtection="1">
      <alignment horizontal="right" vertical="center"/>
      <protection locked="0"/>
    </xf>
    <xf numFmtId="3" fontId="43" fillId="0" borderId="10" xfId="0" applyNumberFormat="1" applyFont="1" applyBorder="1" applyAlignment="1">
      <alignment horizontal="right" vertical="center"/>
    </xf>
    <xf numFmtId="3" fontId="47" fillId="0" borderId="74" xfId="0" applyNumberFormat="1" applyFont="1" applyFill="1" applyBorder="1" applyAlignment="1" applyProtection="1">
      <alignment vertical="center"/>
      <protection locked="0"/>
    </xf>
    <xf numFmtId="1" fontId="58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58" fillId="0" borderId="51" xfId="20" applyNumberFormat="1" applyFont="1" applyFill="1" applyBorder="1" applyAlignment="1" applyProtection="1">
      <alignment vertical="center" wrapText="1"/>
      <protection locked="0"/>
    </xf>
    <xf numFmtId="3" fontId="59" fillId="0" borderId="3" xfId="0" applyNumberFormat="1" applyFont="1" applyFill="1" applyBorder="1" applyAlignment="1" applyProtection="1">
      <alignment vertical="center"/>
      <protection locked="0"/>
    </xf>
    <xf numFmtId="3" fontId="59" fillId="0" borderId="40" xfId="0" applyNumberFormat="1" applyFont="1" applyFill="1" applyBorder="1" applyAlignment="1" applyProtection="1">
      <alignment vertical="center"/>
      <protection locked="0"/>
    </xf>
    <xf numFmtId="3" fontId="59" fillId="0" borderId="54" xfId="0" applyNumberFormat="1" applyFont="1" applyFill="1" applyBorder="1" applyAlignment="1" applyProtection="1">
      <alignment vertical="center"/>
      <protection locked="0"/>
    </xf>
    <xf numFmtId="3" fontId="42" fillId="0" borderId="12" xfId="0" applyNumberFormat="1" applyFont="1" applyFill="1" applyBorder="1" applyAlignment="1" applyProtection="1">
      <alignment vertical="center"/>
      <protection locked="0"/>
    </xf>
    <xf numFmtId="3" fontId="42" fillId="0" borderId="13" xfId="0" applyNumberFormat="1" applyFont="1" applyFill="1" applyBorder="1" applyAlignment="1" applyProtection="1">
      <alignment vertical="center"/>
      <protection locked="0"/>
    </xf>
    <xf numFmtId="164" fontId="54" fillId="0" borderId="7" xfId="0" applyNumberFormat="1" applyFont="1" applyFill="1" applyBorder="1" applyAlignment="1" applyProtection="1">
      <alignment horizontal="right" vertical="center"/>
      <protection locked="0"/>
    </xf>
    <xf numFmtId="164" fontId="56" fillId="0" borderId="2" xfId="20" applyNumberFormat="1" applyFont="1" applyFill="1" applyBorder="1" applyAlignment="1" applyProtection="1">
      <alignment vertical="center" wrapText="1"/>
      <protection locked="0"/>
    </xf>
    <xf numFmtId="3" fontId="47" fillId="0" borderId="38" xfId="0" applyNumberFormat="1" applyFont="1" applyFill="1" applyBorder="1" applyAlignment="1" applyProtection="1">
      <alignment vertical="center"/>
      <protection locked="0"/>
    </xf>
    <xf numFmtId="1" fontId="47" fillId="0" borderId="0" xfId="0" applyNumberFormat="1" applyFont="1" applyBorder="1" applyAlignment="1">
      <alignment/>
    </xf>
    <xf numFmtId="1" fontId="47" fillId="0" borderId="28" xfId="0" applyNumberFormat="1" applyFont="1" applyFill="1" applyBorder="1" applyAlignment="1" applyProtection="1">
      <alignment horizontal="centerContinuous" vertical="center"/>
      <protection locked="0"/>
    </xf>
    <xf numFmtId="1" fontId="47" fillId="0" borderId="74" xfId="0" applyNumberFormat="1" applyFont="1" applyFill="1" applyBorder="1" applyAlignment="1" applyProtection="1">
      <alignment horizontal="left" vertical="center" wrapText="1"/>
      <protection locked="0"/>
    </xf>
    <xf numFmtId="164" fontId="55" fillId="0" borderId="11" xfId="0" applyNumberFormat="1" applyFont="1" applyFill="1" applyBorder="1" applyAlignment="1" applyProtection="1">
      <alignment horizontal="right" vertical="center"/>
      <protection locked="0"/>
    </xf>
    <xf numFmtId="164" fontId="52" fillId="0" borderId="30" xfId="0" applyNumberFormat="1" applyFont="1" applyFill="1" applyBorder="1" applyAlignment="1" applyProtection="1">
      <alignment horizontal="right" vertical="center"/>
      <protection locked="0"/>
    </xf>
    <xf numFmtId="1" fontId="59" fillId="0" borderId="19" xfId="0" applyNumberFormat="1" applyFont="1" applyFill="1" applyBorder="1" applyAlignment="1" applyProtection="1">
      <alignment horizontal="centerContinuous" vertical="center"/>
      <protection locked="0"/>
    </xf>
    <xf numFmtId="1" fontId="59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2" fillId="0" borderId="0" xfId="0" applyNumberFormat="1" applyFont="1" applyFill="1" applyBorder="1" applyAlignment="1" applyProtection="1">
      <alignment horizontal="right" vertical="center"/>
      <protection locked="0"/>
    </xf>
    <xf numFmtId="1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1" fontId="56" fillId="0" borderId="19" xfId="0" applyNumberFormat="1" applyFont="1" applyFill="1" applyBorder="1" applyAlignment="1" applyProtection="1">
      <alignment horizontal="centerContinuous" vertical="center"/>
      <protection locked="0"/>
    </xf>
    <xf numFmtId="1" fontId="56" fillId="0" borderId="0" xfId="0" applyNumberFormat="1" applyFont="1" applyFill="1" applyBorder="1" applyAlignment="1" applyProtection="1">
      <alignment horizontal="left" vertical="center" wrapText="1"/>
      <protection locked="0"/>
    </xf>
    <xf numFmtId="3" fontId="56" fillId="0" borderId="19" xfId="0" applyNumberFormat="1" applyFont="1" applyFill="1" applyBorder="1" applyAlignment="1" applyProtection="1">
      <alignment vertical="center"/>
      <protection locked="0"/>
    </xf>
    <xf numFmtId="164" fontId="46" fillId="0" borderId="0" xfId="0" applyNumberFormat="1" applyFont="1" applyFill="1" applyBorder="1" applyAlignment="1" applyProtection="1">
      <alignment horizontal="right" vertical="center"/>
      <protection locked="0"/>
    </xf>
    <xf numFmtId="0" fontId="56" fillId="0" borderId="20" xfId="0" applyFont="1" applyBorder="1" applyAlignment="1">
      <alignment vertical="center" wrapText="1"/>
    </xf>
    <xf numFmtId="1" fontId="59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59" fillId="0" borderId="0" xfId="0" applyNumberFormat="1" applyFont="1" applyFill="1" applyBorder="1" applyAlignment="1" applyProtection="1">
      <alignment horizontal="right" vertical="center"/>
      <protection locked="0"/>
    </xf>
    <xf numFmtId="1" fontId="59" fillId="0" borderId="66" xfId="0" applyNumberFormat="1" applyFont="1" applyFill="1" applyBorder="1" applyAlignment="1" applyProtection="1">
      <alignment horizontal="centerContinuous" vertical="center"/>
      <protection locked="0"/>
    </xf>
    <xf numFmtId="0" fontId="59" fillId="0" borderId="72" xfId="0" applyFont="1" applyBorder="1" applyAlignment="1">
      <alignment vertical="center" wrapText="1"/>
    </xf>
    <xf numFmtId="3" fontId="59" fillId="0" borderId="52" xfId="0" applyNumberFormat="1" applyFont="1" applyFill="1" applyBorder="1" applyAlignment="1" applyProtection="1">
      <alignment vertical="center"/>
      <protection locked="0"/>
    </xf>
    <xf numFmtId="3" fontId="59" fillId="0" borderId="47" xfId="0" applyNumberFormat="1" applyFont="1" applyFill="1" applyBorder="1" applyAlignment="1" applyProtection="1">
      <alignment vertical="center"/>
      <protection locked="0"/>
    </xf>
    <xf numFmtId="164" fontId="46" fillId="0" borderId="78" xfId="0" applyNumberFormat="1" applyFont="1" applyFill="1" applyBorder="1" applyAlignment="1" applyProtection="1">
      <alignment horizontal="right" vertical="center"/>
      <protection locked="0"/>
    </xf>
    <xf numFmtId="3" fontId="59" fillId="0" borderId="78" xfId="0" applyNumberFormat="1" applyFont="1" applyFill="1" applyBorder="1" applyAlignment="1" applyProtection="1">
      <alignment vertical="center"/>
      <protection locked="0"/>
    </xf>
    <xf numFmtId="164" fontId="46" fillId="0" borderId="67" xfId="0" applyNumberFormat="1" applyFont="1" applyFill="1" applyBorder="1" applyAlignment="1" applyProtection="1">
      <alignment horizontal="right" vertical="center"/>
      <protection locked="0"/>
    </xf>
    <xf numFmtId="3" fontId="58" fillId="0" borderId="47" xfId="0" applyNumberFormat="1" applyFont="1" applyFill="1" applyBorder="1" applyAlignment="1" applyProtection="1">
      <alignment vertical="center"/>
      <protection locked="0"/>
    </xf>
    <xf numFmtId="164" fontId="52" fillId="0" borderId="72" xfId="0" applyNumberFormat="1" applyFont="1" applyFill="1" applyBorder="1" applyAlignment="1" applyProtection="1">
      <alignment horizontal="right" vertical="center"/>
      <protection locked="0"/>
    </xf>
    <xf numFmtId="164" fontId="55" fillId="0" borderId="67" xfId="0" applyNumberFormat="1" applyFont="1" applyFill="1" applyBorder="1" applyAlignment="1" applyProtection="1">
      <alignment horizontal="right" vertical="center"/>
      <protection locked="0"/>
    </xf>
    <xf numFmtId="1" fontId="59" fillId="0" borderId="0" xfId="0" applyNumberFormat="1" applyFont="1" applyFill="1" applyBorder="1" applyAlignment="1" applyProtection="1">
      <alignment horizontal="centerContinuous" vertical="center"/>
      <protection locked="0"/>
    </xf>
    <xf numFmtId="4" fontId="59" fillId="0" borderId="0" xfId="0" applyNumberFormat="1" applyFont="1" applyFill="1" applyBorder="1" applyAlignment="1" applyProtection="1">
      <alignment vertical="center"/>
      <protection locked="0"/>
    </xf>
    <xf numFmtId="3" fontId="58" fillId="0" borderId="0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5"/>
  <sheetViews>
    <sheetView zoomScale="85" zoomScaleNormal="85" workbookViewId="0" topLeftCell="A1">
      <selection activeCell="J9" sqref="J9"/>
    </sheetView>
  </sheetViews>
  <sheetFormatPr defaultColWidth="9.00390625" defaultRowHeight="12.75"/>
  <cols>
    <col min="1" max="1" width="4.75390625" style="230" customWidth="1"/>
    <col min="2" max="2" width="21.625" style="230" customWidth="1"/>
    <col min="3" max="3" width="9.875" style="230" customWidth="1"/>
    <col min="4" max="5" width="11.375" style="230" customWidth="1"/>
    <col min="6" max="6" width="4.875" style="230" customWidth="1"/>
    <col min="7" max="7" width="9.25390625" style="230" customWidth="1"/>
    <col min="8" max="8" width="9.625" style="230" customWidth="1"/>
    <col min="9" max="9" width="4.875" style="230" customWidth="1"/>
    <col min="10" max="10" width="10.875" style="230" customWidth="1"/>
    <col min="11" max="11" width="8.75390625" style="230" customWidth="1"/>
    <col min="12" max="12" width="4.375" style="292" customWidth="1"/>
    <col min="13" max="14" width="8.75390625" style="230" customWidth="1"/>
    <col min="15" max="15" width="5.25390625" style="230" customWidth="1"/>
    <col min="16" max="16" width="7.625" style="230" customWidth="1"/>
    <col min="17" max="17" width="8.125" style="230" customWidth="1"/>
    <col min="18" max="18" width="4.875" style="292" customWidth="1"/>
    <col min="19" max="19" width="0" style="230" hidden="1" customWidth="1"/>
    <col min="20" max="16384" width="9.125" style="230" customWidth="1"/>
  </cols>
  <sheetData>
    <row r="1" spans="1:18" ht="12.75">
      <c r="A1" s="37"/>
      <c r="B1" s="38"/>
      <c r="C1" s="38"/>
      <c r="D1" s="38"/>
      <c r="E1" s="38"/>
      <c r="F1" s="38"/>
      <c r="G1" s="38"/>
      <c r="H1" s="38"/>
      <c r="I1" s="38"/>
      <c r="J1" s="39"/>
      <c r="K1" s="39"/>
      <c r="L1" s="40"/>
      <c r="M1" s="39"/>
      <c r="N1" s="39"/>
      <c r="O1" s="41"/>
      <c r="P1" s="42"/>
      <c r="Q1" s="43"/>
      <c r="R1" s="44"/>
    </row>
    <row r="2" spans="1:18" ht="16.5" thickBot="1">
      <c r="A2" s="45" t="s">
        <v>509</v>
      </c>
      <c r="B2" s="46"/>
      <c r="C2" s="47"/>
      <c r="D2" s="47"/>
      <c r="E2" s="47"/>
      <c r="F2" s="48"/>
      <c r="G2" s="49"/>
      <c r="H2" s="50"/>
      <c r="I2" s="51"/>
      <c r="J2" s="52"/>
      <c r="K2" s="53"/>
      <c r="L2" s="54"/>
      <c r="M2" s="55"/>
      <c r="N2" s="56"/>
      <c r="O2" s="57"/>
      <c r="P2" s="58"/>
      <c r="Q2" s="59"/>
      <c r="R2" s="60"/>
    </row>
    <row r="3" spans="1:18" ht="15" thickTop="1">
      <c r="A3" s="503" t="s">
        <v>919</v>
      </c>
      <c r="B3" s="506" t="s">
        <v>180</v>
      </c>
      <c r="C3" s="509" t="s">
        <v>914</v>
      </c>
      <c r="D3" s="510"/>
      <c r="E3" s="510"/>
      <c r="F3" s="511"/>
      <c r="G3" s="515" t="s">
        <v>920</v>
      </c>
      <c r="H3" s="516"/>
      <c r="I3" s="516"/>
      <c r="J3" s="516"/>
      <c r="K3" s="516"/>
      <c r="L3" s="517"/>
      <c r="M3" s="494" t="s">
        <v>921</v>
      </c>
      <c r="N3" s="495"/>
      <c r="O3" s="495"/>
      <c r="P3" s="495"/>
      <c r="Q3" s="495"/>
      <c r="R3" s="496"/>
    </row>
    <row r="4" spans="1:18" ht="27.75" customHeight="1" thickBot="1">
      <c r="A4" s="504"/>
      <c r="B4" s="507"/>
      <c r="C4" s="512"/>
      <c r="D4" s="513"/>
      <c r="E4" s="513"/>
      <c r="F4" s="514"/>
      <c r="G4" s="497" t="s">
        <v>922</v>
      </c>
      <c r="H4" s="498"/>
      <c r="I4" s="499"/>
      <c r="J4" s="497" t="s">
        <v>756</v>
      </c>
      <c r="K4" s="500"/>
      <c r="L4" s="501"/>
      <c r="M4" s="497" t="s">
        <v>922</v>
      </c>
      <c r="N4" s="498"/>
      <c r="O4" s="499"/>
      <c r="P4" s="497" t="s">
        <v>756</v>
      </c>
      <c r="Q4" s="500"/>
      <c r="R4" s="502"/>
    </row>
    <row r="5" spans="1:18" ht="30.75" thickBot="1" thickTop="1">
      <c r="A5" s="505"/>
      <c r="B5" s="508"/>
      <c r="C5" s="61" t="s">
        <v>923</v>
      </c>
      <c r="D5" s="62" t="s">
        <v>349</v>
      </c>
      <c r="E5" s="62" t="s">
        <v>183</v>
      </c>
      <c r="F5" s="63" t="s">
        <v>924</v>
      </c>
      <c r="G5" s="62" t="s">
        <v>349</v>
      </c>
      <c r="H5" s="64" t="s">
        <v>183</v>
      </c>
      <c r="I5" s="65" t="s">
        <v>924</v>
      </c>
      <c r="J5" s="62" t="s">
        <v>349</v>
      </c>
      <c r="K5" s="64" t="s">
        <v>183</v>
      </c>
      <c r="L5" s="65" t="s">
        <v>924</v>
      </c>
      <c r="M5" s="62" t="s">
        <v>349</v>
      </c>
      <c r="N5" s="64" t="s">
        <v>183</v>
      </c>
      <c r="O5" s="65" t="s">
        <v>924</v>
      </c>
      <c r="P5" s="62" t="s">
        <v>349</v>
      </c>
      <c r="Q5" s="64" t="s">
        <v>183</v>
      </c>
      <c r="R5" s="65" t="s">
        <v>924</v>
      </c>
    </row>
    <row r="6" spans="1:18" ht="11.25" customHeight="1" thickBot="1" thickTop="1">
      <c r="A6" s="66">
        <v>1</v>
      </c>
      <c r="B6" s="67">
        <v>2</v>
      </c>
      <c r="C6" s="66">
        <v>3</v>
      </c>
      <c r="D6" s="68">
        <v>4</v>
      </c>
      <c r="E6" s="68">
        <v>5</v>
      </c>
      <c r="F6" s="69">
        <v>6</v>
      </c>
      <c r="G6" s="70">
        <v>7</v>
      </c>
      <c r="H6" s="68">
        <v>8</v>
      </c>
      <c r="I6" s="71">
        <v>9</v>
      </c>
      <c r="J6" s="70">
        <v>10</v>
      </c>
      <c r="K6" s="68">
        <v>11</v>
      </c>
      <c r="L6" s="72">
        <v>12</v>
      </c>
      <c r="M6" s="70">
        <v>13</v>
      </c>
      <c r="N6" s="68">
        <v>14</v>
      </c>
      <c r="O6" s="71">
        <v>15</v>
      </c>
      <c r="P6" s="70">
        <v>16</v>
      </c>
      <c r="Q6" s="68">
        <v>17</v>
      </c>
      <c r="R6" s="72">
        <v>18</v>
      </c>
    </row>
    <row r="7" spans="1:18" s="82" customFormat="1" ht="27" customHeight="1" thickBot="1" thickTop="1">
      <c r="A7" s="73" t="s">
        <v>188</v>
      </c>
      <c r="B7" s="74" t="s">
        <v>925</v>
      </c>
      <c r="C7" s="75"/>
      <c r="D7" s="430">
        <f>G7+J7+M7+P7</f>
        <v>25138.18</v>
      </c>
      <c r="E7" s="77">
        <f>E8</f>
        <v>25138</v>
      </c>
      <c r="F7" s="78">
        <f>E7/D7*100</f>
        <v>99.99928395770895</v>
      </c>
      <c r="G7" s="79"/>
      <c r="H7" s="80"/>
      <c r="I7" s="81"/>
      <c r="J7" s="431">
        <f>J8</f>
        <v>25138.18</v>
      </c>
      <c r="K7" s="77">
        <f>K8</f>
        <v>25138</v>
      </c>
      <c r="L7" s="518">
        <f>K7/J7*100</f>
        <v>99.99928395770895</v>
      </c>
      <c r="M7" s="79"/>
      <c r="N7" s="80"/>
      <c r="O7" s="81"/>
      <c r="P7" s="79"/>
      <c r="Q7" s="80"/>
      <c r="R7" s="81"/>
    </row>
    <row r="8" spans="1:18" s="82" customFormat="1" ht="15" customHeight="1" thickTop="1">
      <c r="A8" s="83" t="s">
        <v>232</v>
      </c>
      <c r="B8" s="84" t="s">
        <v>233</v>
      </c>
      <c r="C8" s="85"/>
      <c r="D8" s="432">
        <f>D9</f>
        <v>25138.18</v>
      </c>
      <c r="E8" s="86">
        <f>E9</f>
        <v>25138</v>
      </c>
      <c r="F8" s="87">
        <f>E8/D8*100</f>
        <v>99.99928395770895</v>
      </c>
      <c r="G8" s="88"/>
      <c r="H8" s="89"/>
      <c r="I8" s="90"/>
      <c r="J8" s="433">
        <f>J9</f>
        <v>25138.18</v>
      </c>
      <c r="K8" s="86">
        <f>K9</f>
        <v>25138</v>
      </c>
      <c r="L8" s="91">
        <f>K8/J8*100</f>
        <v>99.99928395770895</v>
      </c>
      <c r="M8" s="88"/>
      <c r="N8" s="89"/>
      <c r="O8" s="90"/>
      <c r="P8" s="88"/>
      <c r="Q8" s="89"/>
      <c r="R8" s="434"/>
    </row>
    <row r="9" spans="1:18" ht="60" customHeight="1" thickBot="1">
      <c r="A9" s="334" t="s">
        <v>926</v>
      </c>
      <c r="B9" s="153" t="s">
        <v>927</v>
      </c>
      <c r="C9" s="92"/>
      <c r="D9" s="435">
        <f>G9+J9+M9+P9</f>
        <v>25138.18</v>
      </c>
      <c r="E9" s="93">
        <f>H9+K9+N9+Q9</f>
        <v>25138</v>
      </c>
      <c r="F9" s="94"/>
      <c r="G9" s="95"/>
      <c r="H9" s="96"/>
      <c r="I9" s="97"/>
      <c r="J9" s="436">
        <f>2135.54+11637.29+11365.35</f>
        <v>25138.18</v>
      </c>
      <c r="K9" s="98">
        <v>25138</v>
      </c>
      <c r="L9" s="99"/>
      <c r="M9" s="95"/>
      <c r="N9" s="96"/>
      <c r="O9" s="97"/>
      <c r="P9" s="95"/>
      <c r="Q9" s="96"/>
      <c r="R9" s="97"/>
    </row>
    <row r="10" spans="1:18" s="232" customFormat="1" ht="24.75" customHeight="1" thickBot="1" thickTop="1">
      <c r="A10" s="100" t="s">
        <v>928</v>
      </c>
      <c r="B10" s="101" t="s">
        <v>929</v>
      </c>
      <c r="C10" s="102">
        <f>C13+C20+C27</f>
        <v>9318030</v>
      </c>
      <c r="D10" s="76">
        <f>G10+J10+M10+P10</f>
        <v>18030</v>
      </c>
      <c r="E10" s="103">
        <f>E11+E13+E20+E27+E25+E23</f>
        <v>81858</v>
      </c>
      <c r="F10" s="397">
        <f>E10/D10*100</f>
        <v>454.0099833610649</v>
      </c>
      <c r="G10" s="103">
        <f>G13+G20+G25+G27</f>
        <v>14030</v>
      </c>
      <c r="H10" s="103">
        <f>H11+H13+H20+H25+H27+H23</f>
        <v>69411</v>
      </c>
      <c r="I10" s="211">
        <f>H10/G10*100</f>
        <v>494.7327156094084</v>
      </c>
      <c r="J10" s="105"/>
      <c r="K10" s="103"/>
      <c r="L10" s="519"/>
      <c r="M10" s="103">
        <f>M13+M20+M25+M27</f>
        <v>4000</v>
      </c>
      <c r="N10" s="103">
        <f>N13+N20+N25+N27</f>
        <v>12447</v>
      </c>
      <c r="O10" s="519">
        <f>N10/M10*100</f>
        <v>311.17499999999995</v>
      </c>
      <c r="P10" s="105"/>
      <c r="Q10" s="103"/>
      <c r="R10" s="519"/>
    </row>
    <row r="11" spans="1:18" ht="24.75" customHeight="1" thickTop="1">
      <c r="A11" s="220" t="s">
        <v>350</v>
      </c>
      <c r="B11" s="265" t="s">
        <v>351</v>
      </c>
      <c r="C11" s="520"/>
      <c r="D11" s="223"/>
      <c r="E11" s="36">
        <f>E12</f>
        <v>6364</v>
      </c>
      <c r="F11" s="521"/>
      <c r="G11" s="522"/>
      <c r="H11" s="36">
        <f>H12</f>
        <v>6364</v>
      </c>
      <c r="I11" s="109"/>
      <c r="J11" s="222"/>
      <c r="K11" s="36"/>
      <c r="L11" s="523"/>
      <c r="M11" s="522"/>
      <c r="N11" s="36"/>
      <c r="O11" s="26"/>
      <c r="P11" s="222"/>
      <c r="Q11" s="36"/>
      <c r="R11" s="26"/>
    </row>
    <row r="12" spans="1:18" ht="50.25" customHeight="1">
      <c r="A12" s="127" t="s">
        <v>352</v>
      </c>
      <c r="B12" s="229" t="s">
        <v>353</v>
      </c>
      <c r="C12" s="524"/>
      <c r="D12" s="93"/>
      <c r="E12" s="21">
        <f>H12</f>
        <v>6364</v>
      </c>
      <c r="F12" s="115"/>
      <c r="G12" s="23"/>
      <c r="H12" s="21">
        <v>6364</v>
      </c>
      <c r="I12" s="129"/>
      <c r="J12" s="22"/>
      <c r="K12" s="21"/>
      <c r="L12" s="27"/>
      <c r="M12" s="23"/>
      <c r="N12" s="21"/>
      <c r="O12" s="7"/>
      <c r="P12" s="22"/>
      <c r="Q12" s="21"/>
      <c r="R12" s="7"/>
    </row>
    <row r="13" spans="1:18" ht="23.25" customHeight="1">
      <c r="A13" s="135" t="s">
        <v>930</v>
      </c>
      <c r="B13" s="136" t="s">
        <v>241</v>
      </c>
      <c r="C13" s="137">
        <f>SUM(C14:C17)</f>
        <v>9304000</v>
      </c>
      <c r="D13" s="107">
        <f>SUM(D14:D19)</f>
        <v>4000</v>
      </c>
      <c r="E13" s="107">
        <f>SUM(E14:E19)</f>
        <v>12447</v>
      </c>
      <c r="F13" s="108">
        <f>E13/D13*100</f>
        <v>311.17499999999995</v>
      </c>
      <c r="G13" s="138"/>
      <c r="H13" s="139"/>
      <c r="I13" s="108"/>
      <c r="J13" s="138"/>
      <c r="K13" s="139"/>
      <c r="L13" s="31"/>
      <c r="M13" s="125">
        <f>SUM(M14:M19)</f>
        <v>4000</v>
      </c>
      <c r="N13" s="107">
        <f>SUM(N14:N19)</f>
        <v>12447</v>
      </c>
      <c r="O13" s="12">
        <f>N13/M13*100</f>
        <v>311.17499999999995</v>
      </c>
      <c r="P13" s="138"/>
      <c r="Q13" s="139"/>
      <c r="R13" s="12"/>
    </row>
    <row r="14" spans="1:18" ht="33" customHeight="1">
      <c r="A14" s="127" t="s">
        <v>931</v>
      </c>
      <c r="B14" s="153" t="s">
        <v>932</v>
      </c>
      <c r="C14" s="128">
        <v>3000</v>
      </c>
      <c r="D14" s="93">
        <f>G14+J14+M14</f>
        <v>3000</v>
      </c>
      <c r="E14" s="93">
        <f>H14+K14+N14+Q14</f>
        <v>12265</v>
      </c>
      <c r="F14" s="115">
        <f>E14/D14*100</f>
        <v>408.8333333333333</v>
      </c>
      <c r="G14" s="22"/>
      <c r="H14" s="21"/>
      <c r="I14" s="129"/>
      <c r="J14" s="22"/>
      <c r="K14" s="21"/>
      <c r="L14" s="27"/>
      <c r="M14" s="22">
        <v>3000</v>
      </c>
      <c r="N14" s="21">
        <v>12265</v>
      </c>
      <c r="O14" s="7">
        <f>N14/M14*100</f>
        <v>408.8333333333333</v>
      </c>
      <c r="P14" s="22"/>
      <c r="Q14" s="21"/>
      <c r="R14" s="7"/>
    </row>
    <row r="15" spans="1:18" ht="18" customHeight="1">
      <c r="A15" s="127" t="s">
        <v>939</v>
      </c>
      <c r="B15" s="153" t="s">
        <v>959</v>
      </c>
      <c r="C15" s="128">
        <v>1000</v>
      </c>
      <c r="D15" s="93">
        <f>G15+J15+M15</f>
        <v>1000</v>
      </c>
      <c r="E15" s="93">
        <f>H15+K15+N15+Q15</f>
        <v>182</v>
      </c>
      <c r="F15" s="115">
        <f>E15/D15*100</f>
        <v>18.2</v>
      </c>
      <c r="G15" s="22"/>
      <c r="H15" s="21"/>
      <c r="I15" s="129"/>
      <c r="J15" s="22"/>
      <c r="K15" s="21"/>
      <c r="L15" s="27"/>
      <c r="M15" s="22">
        <v>1000</v>
      </c>
      <c r="N15" s="21">
        <v>182</v>
      </c>
      <c r="O15" s="7">
        <f>N15/M15*100</f>
        <v>18.2</v>
      </c>
      <c r="P15" s="22"/>
      <c r="Q15" s="21"/>
      <c r="R15" s="7"/>
    </row>
    <row r="16" spans="1:18" s="209" customFormat="1" ht="48.75" customHeight="1">
      <c r="A16" s="127" t="s">
        <v>935</v>
      </c>
      <c r="B16" s="229" t="s">
        <v>1056</v>
      </c>
      <c r="C16" s="128">
        <v>5000000</v>
      </c>
      <c r="D16" s="93"/>
      <c r="E16" s="93"/>
      <c r="F16" s="115"/>
      <c r="G16" s="22"/>
      <c r="H16" s="21"/>
      <c r="I16" s="129"/>
      <c r="J16" s="22"/>
      <c r="K16" s="21"/>
      <c r="L16" s="27"/>
      <c r="M16" s="22"/>
      <c r="N16" s="21"/>
      <c r="O16" s="7"/>
      <c r="P16" s="22"/>
      <c r="Q16" s="21"/>
      <c r="R16" s="7"/>
    </row>
    <row r="17" spans="1:18" s="209" customFormat="1" ht="48" customHeight="1">
      <c r="A17" s="127" t="s">
        <v>1057</v>
      </c>
      <c r="B17" s="229" t="s">
        <v>0</v>
      </c>
      <c r="C17" s="128">
        <f>SUM(C18:C19)</f>
        <v>4300000</v>
      </c>
      <c r="D17" s="93"/>
      <c r="E17" s="93"/>
      <c r="F17" s="115"/>
      <c r="G17" s="22"/>
      <c r="H17" s="21"/>
      <c r="I17" s="129"/>
      <c r="J17" s="22"/>
      <c r="K17" s="21"/>
      <c r="L17" s="27"/>
      <c r="M17" s="22"/>
      <c r="N17" s="21"/>
      <c r="O17" s="7"/>
      <c r="P17" s="22"/>
      <c r="Q17" s="21"/>
      <c r="R17" s="7"/>
    </row>
    <row r="18" spans="1:18" s="340" customFormat="1" ht="12.75" customHeight="1">
      <c r="A18" s="335"/>
      <c r="B18" s="336" t="s">
        <v>1</v>
      </c>
      <c r="C18" s="337">
        <v>2350000</v>
      </c>
      <c r="D18" s="271"/>
      <c r="E18" s="271"/>
      <c r="F18" s="338"/>
      <c r="G18" s="18"/>
      <c r="H18" s="19"/>
      <c r="I18" s="339"/>
      <c r="J18" s="18"/>
      <c r="K18" s="19"/>
      <c r="L18" s="17"/>
      <c r="M18" s="18"/>
      <c r="N18" s="19"/>
      <c r="O18" s="2"/>
      <c r="P18" s="18"/>
      <c r="Q18" s="19"/>
      <c r="R18" s="2"/>
    </row>
    <row r="19" spans="1:18" s="340" customFormat="1" ht="12" customHeight="1">
      <c r="A19" s="525"/>
      <c r="B19" s="526" t="s">
        <v>252</v>
      </c>
      <c r="C19" s="527">
        <v>1950000</v>
      </c>
      <c r="D19" s="528"/>
      <c r="E19" s="528"/>
      <c r="F19" s="529"/>
      <c r="G19" s="530"/>
      <c r="H19" s="531"/>
      <c r="I19" s="532"/>
      <c r="J19" s="530"/>
      <c r="K19" s="531"/>
      <c r="L19" s="32"/>
      <c r="M19" s="530"/>
      <c r="N19" s="531"/>
      <c r="O19" s="15"/>
      <c r="P19" s="530"/>
      <c r="Q19" s="531"/>
      <c r="R19" s="15"/>
    </row>
    <row r="20" spans="1:18" ht="17.25" customHeight="1">
      <c r="A20" s="135" t="s">
        <v>936</v>
      </c>
      <c r="B20" s="136" t="s">
        <v>937</v>
      </c>
      <c r="C20" s="137">
        <f>SUM(C21:C22)</f>
        <v>14000</v>
      </c>
      <c r="D20" s="107">
        <f>SUM(D21:D22)</f>
        <v>14000</v>
      </c>
      <c r="E20" s="107">
        <f>SUM(E21:E22)</f>
        <v>38055</v>
      </c>
      <c r="F20" s="180">
        <f aca="true" t="shared" si="0" ref="F20:F75">E20/D20*100</f>
        <v>271.82142857142856</v>
      </c>
      <c r="G20" s="138">
        <f>SUM(G21:G22)</f>
        <v>14000</v>
      </c>
      <c r="H20" s="139">
        <f>SUM(H21:H22)</f>
        <v>38055</v>
      </c>
      <c r="I20" s="108">
        <f aca="true" t="shared" si="1" ref="I20:I31">H20/G20*100</f>
        <v>271.82142857142856</v>
      </c>
      <c r="J20" s="138"/>
      <c r="K20" s="139"/>
      <c r="L20" s="31"/>
      <c r="M20" s="138"/>
      <c r="N20" s="139"/>
      <c r="O20" s="12"/>
      <c r="P20" s="138"/>
      <c r="Q20" s="139"/>
      <c r="R20" s="12"/>
    </row>
    <row r="21" spans="1:18" s="209" customFormat="1" ht="38.25" customHeight="1">
      <c r="A21" s="141" t="s">
        <v>931</v>
      </c>
      <c r="B21" s="190" t="s">
        <v>938</v>
      </c>
      <c r="C21" s="142">
        <v>10000</v>
      </c>
      <c r="D21" s="143">
        <f>G21+J21</f>
        <v>10000</v>
      </c>
      <c r="E21" s="143">
        <f>H21+K21</f>
        <v>36275</v>
      </c>
      <c r="F21" s="144">
        <f t="shared" si="0"/>
        <v>362.75</v>
      </c>
      <c r="G21" s="145">
        <v>10000</v>
      </c>
      <c r="H21" s="146">
        <v>36275</v>
      </c>
      <c r="I21" s="144">
        <f t="shared" si="1"/>
        <v>362.75</v>
      </c>
      <c r="J21" s="145"/>
      <c r="K21" s="146"/>
      <c r="L21" s="30"/>
      <c r="M21" s="145"/>
      <c r="N21" s="146"/>
      <c r="O21" s="9"/>
      <c r="P21" s="145"/>
      <c r="Q21" s="146"/>
      <c r="R21" s="9"/>
    </row>
    <row r="22" spans="1:18" s="209" customFormat="1" ht="21.75" customHeight="1">
      <c r="A22" s="127" t="s">
        <v>939</v>
      </c>
      <c r="B22" s="153" t="s">
        <v>934</v>
      </c>
      <c r="C22" s="128">
        <v>4000</v>
      </c>
      <c r="D22" s="93">
        <f>G22+J22</f>
        <v>4000</v>
      </c>
      <c r="E22" s="93">
        <f>H22+K22</f>
        <v>1780</v>
      </c>
      <c r="F22" s="129">
        <f t="shared" si="0"/>
        <v>44.5</v>
      </c>
      <c r="G22" s="22">
        <v>4000</v>
      </c>
      <c r="H22" s="21">
        <v>1780</v>
      </c>
      <c r="I22" s="129">
        <f t="shared" si="1"/>
        <v>44.5</v>
      </c>
      <c r="J22" s="33"/>
      <c r="K22" s="147"/>
      <c r="L22" s="27"/>
      <c r="M22" s="33"/>
      <c r="N22" s="147"/>
      <c r="O22" s="148"/>
      <c r="P22" s="33"/>
      <c r="Q22" s="147"/>
      <c r="R22" s="148"/>
    </row>
    <row r="23" spans="1:18" ht="18" customHeight="1">
      <c r="A23" s="201" t="s">
        <v>354</v>
      </c>
      <c r="B23" s="202" t="s">
        <v>274</v>
      </c>
      <c r="C23" s="203"/>
      <c r="D23" s="173"/>
      <c r="E23" s="173">
        <f>E24</f>
        <v>8144</v>
      </c>
      <c r="F23" s="210"/>
      <c r="G23" s="206"/>
      <c r="H23" s="205">
        <f>H24</f>
        <v>8144</v>
      </c>
      <c r="I23" s="210"/>
      <c r="J23" s="206"/>
      <c r="K23" s="205"/>
      <c r="L23" s="207"/>
      <c r="M23" s="206"/>
      <c r="N23" s="205"/>
      <c r="O23" s="398"/>
      <c r="P23" s="206"/>
      <c r="Q23" s="205"/>
      <c r="R23" s="398"/>
    </row>
    <row r="24" spans="1:18" ht="48" customHeight="1">
      <c r="A24" s="127" t="s">
        <v>931</v>
      </c>
      <c r="B24" s="213" t="s">
        <v>938</v>
      </c>
      <c r="C24" s="128"/>
      <c r="D24" s="93"/>
      <c r="E24" s="93">
        <f>H24</f>
        <v>8144</v>
      </c>
      <c r="F24" s="129"/>
      <c r="G24" s="22"/>
      <c r="H24" s="21">
        <v>8144</v>
      </c>
      <c r="I24" s="129"/>
      <c r="J24" s="33"/>
      <c r="K24" s="147"/>
      <c r="L24" s="27"/>
      <c r="M24" s="33"/>
      <c r="N24" s="147"/>
      <c r="O24" s="148"/>
      <c r="P24" s="33"/>
      <c r="Q24" s="147"/>
      <c r="R24" s="148"/>
    </row>
    <row r="25" spans="1:18" ht="28.5" customHeight="1">
      <c r="A25" s="135" t="s">
        <v>940</v>
      </c>
      <c r="B25" s="136" t="s">
        <v>941</v>
      </c>
      <c r="C25" s="137"/>
      <c r="D25" s="107"/>
      <c r="E25" s="107">
        <f>E26</f>
        <v>16295</v>
      </c>
      <c r="F25" s="151"/>
      <c r="G25" s="138"/>
      <c r="H25" s="139">
        <f>H26</f>
        <v>16295</v>
      </c>
      <c r="I25" s="108"/>
      <c r="J25" s="138"/>
      <c r="K25" s="139"/>
      <c r="L25" s="31"/>
      <c r="M25" s="138"/>
      <c r="N25" s="139"/>
      <c r="O25" s="12"/>
      <c r="P25" s="138"/>
      <c r="Q25" s="139"/>
      <c r="R25" s="12"/>
    </row>
    <row r="26" spans="1:18" ht="31.5" customHeight="1">
      <c r="A26" s="131" t="s">
        <v>931</v>
      </c>
      <c r="B26" s="152" t="s">
        <v>938</v>
      </c>
      <c r="C26" s="128"/>
      <c r="D26" s="93"/>
      <c r="E26" s="93">
        <f>H26+K26</f>
        <v>16295</v>
      </c>
      <c r="F26" s="129"/>
      <c r="G26" s="22"/>
      <c r="H26" s="21">
        <v>16295</v>
      </c>
      <c r="I26" s="129"/>
      <c r="J26" s="33"/>
      <c r="K26" s="147"/>
      <c r="L26" s="27"/>
      <c r="M26" s="33"/>
      <c r="N26" s="147"/>
      <c r="O26" s="148"/>
      <c r="P26" s="33"/>
      <c r="Q26" s="147"/>
      <c r="R26" s="148"/>
    </row>
    <row r="27" spans="1:18" ht="16.5" customHeight="1">
      <c r="A27" s="135" t="s">
        <v>942</v>
      </c>
      <c r="B27" s="136" t="s">
        <v>233</v>
      </c>
      <c r="C27" s="137">
        <f>C28</f>
        <v>30</v>
      </c>
      <c r="D27" s="107">
        <f>D28</f>
        <v>30</v>
      </c>
      <c r="E27" s="107">
        <f>E28</f>
        <v>553</v>
      </c>
      <c r="F27" s="108">
        <f t="shared" si="0"/>
        <v>1843.3333333333333</v>
      </c>
      <c r="G27" s="138">
        <f>G28</f>
        <v>30</v>
      </c>
      <c r="H27" s="139">
        <f>H28</f>
        <v>553</v>
      </c>
      <c r="I27" s="108">
        <f t="shared" si="1"/>
        <v>1843.3333333333333</v>
      </c>
      <c r="J27" s="138"/>
      <c r="K27" s="139"/>
      <c r="L27" s="31"/>
      <c r="M27" s="138"/>
      <c r="N27" s="139"/>
      <c r="O27" s="12"/>
      <c r="P27" s="138"/>
      <c r="Q27" s="139"/>
      <c r="R27" s="12"/>
    </row>
    <row r="28" spans="1:18" ht="14.25" customHeight="1" thickBot="1">
      <c r="A28" s="127" t="s">
        <v>939</v>
      </c>
      <c r="B28" s="153" t="s">
        <v>934</v>
      </c>
      <c r="C28" s="128">
        <v>30</v>
      </c>
      <c r="D28" s="93">
        <f>G28+J28+M28+P28</f>
        <v>30</v>
      </c>
      <c r="E28" s="93">
        <f>H28+K28+N28+Q28</f>
        <v>553</v>
      </c>
      <c r="F28" s="129"/>
      <c r="G28" s="22">
        <v>30</v>
      </c>
      <c r="H28" s="21">
        <v>553</v>
      </c>
      <c r="I28" s="144"/>
      <c r="J28" s="33"/>
      <c r="K28" s="147"/>
      <c r="L28" s="27"/>
      <c r="M28" s="33"/>
      <c r="N28" s="147"/>
      <c r="O28" s="148"/>
      <c r="P28" s="33"/>
      <c r="Q28" s="147"/>
      <c r="R28" s="148"/>
    </row>
    <row r="29" spans="1:18" s="232" customFormat="1" ht="29.25" customHeight="1" thickBot="1" thickTop="1">
      <c r="A29" s="100" t="s">
        <v>944</v>
      </c>
      <c r="B29" s="166" t="s">
        <v>565</v>
      </c>
      <c r="C29" s="102">
        <f>C30</f>
        <v>27608500</v>
      </c>
      <c r="D29" s="76">
        <f>G29+J29+M29+P29</f>
        <v>30354000</v>
      </c>
      <c r="E29" s="103">
        <f>E30</f>
        <v>22728507</v>
      </c>
      <c r="F29" s="397">
        <f t="shared" si="0"/>
        <v>74.87812808855506</v>
      </c>
      <c r="G29" s="105">
        <f>G30</f>
        <v>29365000</v>
      </c>
      <c r="H29" s="103">
        <f>H30</f>
        <v>21681347</v>
      </c>
      <c r="I29" s="211">
        <f t="shared" si="1"/>
        <v>73.83397582155628</v>
      </c>
      <c r="J29" s="105"/>
      <c r="K29" s="103"/>
      <c r="L29" s="519"/>
      <c r="M29" s="105">
        <f>M30</f>
        <v>950000</v>
      </c>
      <c r="N29" s="103">
        <f>N30</f>
        <v>1008207</v>
      </c>
      <c r="O29" s="211">
        <f>N29/M29*100</f>
        <v>106.12705263157895</v>
      </c>
      <c r="P29" s="105">
        <f>P30</f>
        <v>39000</v>
      </c>
      <c r="Q29" s="103">
        <f>Q30</f>
        <v>38953</v>
      </c>
      <c r="R29" s="211">
        <f>Q29/P29*100</f>
        <v>99.87948717948719</v>
      </c>
    </row>
    <row r="30" spans="1:18" ht="25.5" customHeight="1" thickTop="1">
      <c r="A30" s="119" t="s">
        <v>945</v>
      </c>
      <c r="B30" s="120" t="s">
        <v>569</v>
      </c>
      <c r="C30" s="121">
        <f>C31+C33+C34+C35+C36+C37+C41+C40</f>
        <v>27608500</v>
      </c>
      <c r="D30" s="106">
        <f>G30+J30+M30+P30</f>
        <v>30354000</v>
      </c>
      <c r="E30" s="106">
        <f>H30+K30+N30+Q30</f>
        <v>22728507</v>
      </c>
      <c r="F30" s="124">
        <f t="shared" si="0"/>
        <v>74.87812808855506</v>
      </c>
      <c r="G30" s="167">
        <f>SUM(G31:G37)</f>
        <v>29365000</v>
      </c>
      <c r="H30" s="36">
        <f>SUM(H31:H37)</f>
        <v>21681347</v>
      </c>
      <c r="I30" s="124">
        <f t="shared" si="1"/>
        <v>73.83397582155628</v>
      </c>
      <c r="J30" s="122"/>
      <c r="K30" s="123"/>
      <c r="L30" s="126"/>
      <c r="M30" s="122">
        <f>SUM(M31:M41)</f>
        <v>950000</v>
      </c>
      <c r="N30" s="123">
        <f>SUM(N31:N41)</f>
        <v>1008207</v>
      </c>
      <c r="O30" s="124">
        <f>N30/M30*100</f>
        <v>106.12705263157895</v>
      </c>
      <c r="P30" s="168">
        <f>P40</f>
        <v>39000</v>
      </c>
      <c r="Q30" s="106">
        <f>Q40</f>
        <v>38953</v>
      </c>
      <c r="R30" s="124">
        <f>Q30/P30*100</f>
        <v>99.87948717948719</v>
      </c>
    </row>
    <row r="31" spans="1:18" ht="36.75" customHeight="1">
      <c r="A31" s="141" t="s">
        <v>946</v>
      </c>
      <c r="B31" s="190" t="s">
        <v>947</v>
      </c>
      <c r="C31" s="142">
        <v>5500000</v>
      </c>
      <c r="D31" s="143">
        <f>G31+J31+M31+P31</f>
        <v>5500000</v>
      </c>
      <c r="E31" s="143">
        <f>H31+K31+N31+Q31</f>
        <v>5978848</v>
      </c>
      <c r="F31" s="144">
        <f t="shared" si="0"/>
        <v>108.70632727272726</v>
      </c>
      <c r="G31" s="145">
        <v>5500000</v>
      </c>
      <c r="H31" s="146">
        <v>5978848</v>
      </c>
      <c r="I31" s="144">
        <f t="shared" si="1"/>
        <v>108.70632727272726</v>
      </c>
      <c r="J31" s="145"/>
      <c r="K31" s="146"/>
      <c r="L31" s="30"/>
      <c r="M31" s="145"/>
      <c r="N31" s="146"/>
      <c r="O31" s="144"/>
      <c r="P31" s="145"/>
      <c r="Q31" s="146"/>
      <c r="R31" s="144"/>
    </row>
    <row r="32" spans="1:18" s="209" customFormat="1" ht="38.25" customHeight="1">
      <c r="A32" s="127" t="s">
        <v>931</v>
      </c>
      <c r="B32" s="153" t="s">
        <v>938</v>
      </c>
      <c r="C32" s="128"/>
      <c r="D32" s="93"/>
      <c r="E32" s="93">
        <f>H32+K32+N32+Q32</f>
        <v>16038</v>
      </c>
      <c r="F32" s="129"/>
      <c r="G32" s="22"/>
      <c r="H32" s="21">
        <v>16038</v>
      </c>
      <c r="I32" s="129"/>
      <c r="J32" s="22"/>
      <c r="K32" s="21"/>
      <c r="L32" s="27"/>
      <c r="M32" s="22"/>
      <c r="N32" s="21"/>
      <c r="O32" s="129"/>
      <c r="P32" s="22"/>
      <c r="Q32" s="21"/>
      <c r="R32" s="129"/>
    </row>
    <row r="33" spans="1:18" ht="57.75" customHeight="1">
      <c r="A33" s="131" t="s">
        <v>948</v>
      </c>
      <c r="B33" s="186" t="s">
        <v>2</v>
      </c>
      <c r="C33" s="132">
        <v>245000</v>
      </c>
      <c r="D33" s="133">
        <f>G33+J33</f>
        <v>245000</v>
      </c>
      <c r="E33" s="133">
        <f aca="true" t="shared" si="2" ref="E33:E41">H33+K33+N33+Q33</f>
        <v>482935</v>
      </c>
      <c r="F33" s="118">
        <f t="shared" si="0"/>
        <v>197.11632653061224</v>
      </c>
      <c r="G33" s="34">
        <v>245000</v>
      </c>
      <c r="H33" s="35">
        <v>482935</v>
      </c>
      <c r="I33" s="118">
        <f aca="true" t="shared" si="3" ref="I33:I39">H33/G33*100</f>
        <v>197.11632653061224</v>
      </c>
      <c r="J33" s="34"/>
      <c r="K33" s="35"/>
      <c r="L33" s="29"/>
      <c r="M33" s="34"/>
      <c r="N33" s="35"/>
      <c r="O33" s="118"/>
      <c r="P33" s="34"/>
      <c r="Q33" s="35"/>
      <c r="R33" s="118"/>
    </row>
    <row r="34" spans="1:18" ht="63.75" customHeight="1">
      <c r="A34" s="127" t="s">
        <v>949</v>
      </c>
      <c r="B34" s="153" t="s">
        <v>950</v>
      </c>
      <c r="C34" s="128">
        <v>850000</v>
      </c>
      <c r="D34" s="93">
        <f>G34+J34+M34+P34</f>
        <v>850000</v>
      </c>
      <c r="E34" s="93">
        <f t="shared" si="2"/>
        <v>959960</v>
      </c>
      <c r="F34" s="129">
        <f t="shared" si="0"/>
        <v>112.93647058823531</v>
      </c>
      <c r="G34" s="22">
        <v>850000</v>
      </c>
      <c r="H34" s="21">
        <v>959960</v>
      </c>
      <c r="I34" s="129">
        <f t="shared" si="3"/>
        <v>112.93647058823531</v>
      </c>
      <c r="J34" s="22"/>
      <c r="K34" s="21"/>
      <c r="L34" s="27"/>
      <c r="M34" s="22"/>
      <c r="N34" s="21"/>
      <c r="O34" s="129"/>
      <c r="P34" s="22"/>
      <c r="Q34" s="21"/>
      <c r="R34" s="129"/>
    </row>
    <row r="35" spans="1:18" s="209" customFormat="1" ht="62.25" customHeight="1">
      <c r="A35" s="127" t="s">
        <v>951</v>
      </c>
      <c r="B35" s="153" t="s">
        <v>952</v>
      </c>
      <c r="C35" s="128">
        <v>900000</v>
      </c>
      <c r="D35" s="93">
        <f>G35+J35</f>
        <v>900000</v>
      </c>
      <c r="E35" s="93">
        <f t="shared" si="2"/>
        <v>725332</v>
      </c>
      <c r="F35" s="129">
        <f t="shared" si="0"/>
        <v>80.59244444444444</v>
      </c>
      <c r="G35" s="22">
        <v>900000</v>
      </c>
      <c r="H35" s="21">
        <v>725332</v>
      </c>
      <c r="I35" s="129">
        <f t="shared" si="3"/>
        <v>80.59244444444444</v>
      </c>
      <c r="J35" s="22"/>
      <c r="K35" s="21"/>
      <c r="L35" s="27"/>
      <c r="M35" s="22"/>
      <c r="N35" s="21"/>
      <c r="O35" s="129"/>
      <c r="P35" s="22"/>
      <c r="Q35" s="21"/>
      <c r="R35" s="129"/>
    </row>
    <row r="36" spans="1:18" s="209" customFormat="1" ht="51.75" customHeight="1">
      <c r="A36" s="127" t="s">
        <v>953</v>
      </c>
      <c r="B36" s="153" t="s">
        <v>954</v>
      </c>
      <c r="C36" s="128">
        <v>19100000</v>
      </c>
      <c r="D36" s="93">
        <f>G36+J36+M36+P36</f>
        <v>21037900</v>
      </c>
      <c r="E36" s="93">
        <f t="shared" si="2"/>
        <v>12765883</v>
      </c>
      <c r="F36" s="129">
        <f t="shared" si="0"/>
        <v>60.680405363653215</v>
      </c>
      <c r="G36" s="22">
        <f>19100000-712100+2650000</f>
        <v>21037900</v>
      </c>
      <c r="H36" s="21">
        <v>12765883</v>
      </c>
      <c r="I36" s="129">
        <f t="shared" si="3"/>
        <v>60.680405363653215</v>
      </c>
      <c r="J36" s="22"/>
      <c r="K36" s="21"/>
      <c r="L36" s="27"/>
      <c r="M36" s="22"/>
      <c r="N36" s="21"/>
      <c r="O36" s="171"/>
      <c r="P36" s="22"/>
      <c r="Q36" s="21"/>
      <c r="R36" s="129"/>
    </row>
    <row r="37" spans="1:18" s="209" customFormat="1" ht="12" customHeight="1">
      <c r="A37" s="127" t="s">
        <v>939</v>
      </c>
      <c r="B37" s="153" t="s">
        <v>355</v>
      </c>
      <c r="C37" s="128">
        <v>120000</v>
      </c>
      <c r="D37" s="93">
        <f>G37+J37</f>
        <v>832100</v>
      </c>
      <c r="E37" s="93">
        <f t="shared" si="2"/>
        <v>752351</v>
      </c>
      <c r="F37" s="129">
        <f t="shared" si="0"/>
        <v>90.4159355846653</v>
      </c>
      <c r="G37" s="22">
        <f>SUM(G38:G39)</f>
        <v>832100</v>
      </c>
      <c r="H37" s="21">
        <v>752351</v>
      </c>
      <c r="I37" s="129">
        <f t="shared" si="3"/>
        <v>90.4159355846653</v>
      </c>
      <c r="J37" s="22"/>
      <c r="K37" s="21"/>
      <c r="L37" s="27"/>
      <c r="M37" s="22"/>
      <c r="N37" s="21"/>
      <c r="O37" s="129"/>
      <c r="P37" s="22"/>
      <c r="Q37" s="21"/>
      <c r="R37" s="129"/>
    </row>
    <row r="38" spans="1:18" s="340" customFormat="1" ht="24" customHeight="1">
      <c r="A38" s="335"/>
      <c r="B38" s="449" t="s">
        <v>356</v>
      </c>
      <c r="C38" s="337">
        <v>120000</v>
      </c>
      <c r="D38" s="271">
        <f>G38</f>
        <v>120000</v>
      </c>
      <c r="E38" s="271">
        <f t="shared" si="2"/>
        <v>168682</v>
      </c>
      <c r="F38" s="339">
        <f t="shared" si="0"/>
        <v>140.56833333333333</v>
      </c>
      <c r="G38" s="18">
        <v>120000</v>
      </c>
      <c r="H38" s="19">
        <f>H37-H39</f>
        <v>168682</v>
      </c>
      <c r="I38" s="339">
        <f t="shared" si="3"/>
        <v>140.56833333333333</v>
      </c>
      <c r="J38" s="18"/>
      <c r="K38" s="19"/>
      <c r="L38" s="17"/>
      <c r="M38" s="18"/>
      <c r="N38" s="19"/>
      <c r="O38" s="339"/>
      <c r="P38" s="18"/>
      <c r="Q38" s="19"/>
      <c r="R38" s="339"/>
    </row>
    <row r="39" spans="1:18" s="340" customFormat="1" ht="36.75" customHeight="1">
      <c r="A39" s="335"/>
      <c r="B39" s="449" t="s">
        <v>357</v>
      </c>
      <c r="C39" s="337"/>
      <c r="D39" s="271">
        <f>G39</f>
        <v>712100</v>
      </c>
      <c r="E39" s="271">
        <f t="shared" si="2"/>
        <v>583669</v>
      </c>
      <c r="F39" s="339">
        <f t="shared" si="0"/>
        <v>81.9644712821233</v>
      </c>
      <c r="G39" s="18">
        <v>712100</v>
      </c>
      <c r="H39" s="19">
        <v>583669</v>
      </c>
      <c r="I39" s="339">
        <f t="shared" si="3"/>
        <v>81.9644712821233</v>
      </c>
      <c r="J39" s="18"/>
      <c r="K39" s="19"/>
      <c r="L39" s="17"/>
      <c r="M39" s="18"/>
      <c r="N39" s="19"/>
      <c r="O39" s="339"/>
      <c r="P39" s="18"/>
      <c r="Q39" s="19"/>
      <c r="R39" s="339"/>
    </row>
    <row r="40" spans="1:18" s="209" customFormat="1" ht="71.25" customHeight="1">
      <c r="A40" s="127" t="s">
        <v>955</v>
      </c>
      <c r="B40" s="341" t="s">
        <v>956</v>
      </c>
      <c r="C40" s="128">
        <v>43500</v>
      </c>
      <c r="D40" s="93">
        <f>G40+J40+M40+P40</f>
        <v>39000</v>
      </c>
      <c r="E40" s="93">
        <f t="shared" si="2"/>
        <v>38953</v>
      </c>
      <c r="F40" s="129">
        <f t="shared" si="0"/>
        <v>99.87948717948719</v>
      </c>
      <c r="G40" s="22"/>
      <c r="H40" s="21"/>
      <c r="I40" s="129"/>
      <c r="J40" s="22"/>
      <c r="K40" s="21"/>
      <c r="L40" s="27"/>
      <c r="M40" s="22"/>
      <c r="N40" s="21"/>
      <c r="O40" s="129"/>
      <c r="P40" s="22">
        <f>43500-4500</f>
        <v>39000</v>
      </c>
      <c r="Q40" s="21">
        <v>38953</v>
      </c>
      <c r="R40" s="129">
        <f>Q40/P40*100</f>
        <v>99.87948717948719</v>
      </c>
    </row>
    <row r="41" spans="1:18" ht="78" customHeight="1">
      <c r="A41" s="131" t="s">
        <v>957</v>
      </c>
      <c r="B41" s="346" t="s">
        <v>958</v>
      </c>
      <c r="C41" s="132">
        <v>850000</v>
      </c>
      <c r="D41" s="133">
        <f>G41+J41+M41+P41</f>
        <v>950000</v>
      </c>
      <c r="E41" s="133">
        <f t="shared" si="2"/>
        <v>1008207</v>
      </c>
      <c r="F41" s="118">
        <f t="shared" si="0"/>
        <v>106.12705263157895</v>
      </c>
      <c r="G41" s="34"/>
      <c r="H41" s="35"/>
      <c r="I41" s="118"/>
      <c r="J41" s="34"/>
      <c r="K41" s="35"/>
      <c r="L41" s="29"/>
      <c r="M41" s="34">
        <f>850000+100000</f>
        <v>950000</v>
      </c>
      <c r="N41" s="35">
        <v>1008207</v>
      </c>
      <c r="O41" s="118">
        <f>N41/M41*100</f>
        <v>106.12705263157895</v>
      </c>
      <c r="P41" s="34"/>
      <c r="Q41" s="35"/>
      <c r="R41" s="118"/>
    </row>
    <row r="42" spans="1:18" ht="29.25" customHeight="1" thickBot="1">
      <c r="A42" s="533" t="s">
        <v>960</v>
      </c>
      <c r="B42" s="452" t="s">
        <v>586</v>
      </c>
      <c r="C42" s="453">
        <f>C45+C47+C49+C52+C54</f>
        <v>1843700</v>
      </c>
      <c r="D42" s="177">
        <f>G42+J42+M42+P42</f>
        <v>1944266</v>
      </c>
      <c r="E42" s="177">
        <f>H42+K42+N42+Q42</f>
        <v>2046984</v>
      </c>
      <c r="F42" s="534">
        <f t="shared" si="0"/>
        <v>105.28312483991388</v>
      </c>
      <c r="G42" s="177">
        <f>G45+G47+G49+G52+G54</f>
        <v>1500000</v>
      </c>
      <c r="H42" s="177">
        <f>H43+H45+H47+H49+H52+H54</f>
        <v>1602732</v>
      </c>
      <c r="I42" s="454">
        <f>H42/G42*100</f>
        <v>106.84880000000001</v>
      </c>
      <c r="J42" s="456">
        <f>J52</f>
        <v>16600</v>
      </c>
      <c r="K42" s="457">
        <f>K52</f>
        <v>16595</v>
      </c>
      <c r="L42" s="535">
        <f>K42/J42*100</f>
        <v>99.96987951807229</v>
      </c>
      <c r="M42" s="455"/>
      <c r="N42" s="177"/>
      <c r="O42" s="454"/>
      <c r="P42" s="455">
        <f>P45+P47+P49</f>
        <v>427666</v>
      </c>
      <c r="Q42" s="177">
        <f>Q45+Q47+Q49</f>
        <v>427657</v>
      </c>
      <c r="R42" s="454">
        <f aca="true" t="shared" si="4" ref="R42:R49">Q42/P42*100</f>
        <v>99.9978955540071</v>
      </c>
    </row>
    <row r="43" spans="1:18" s="209" customFormat="1" ht="25.5" customHeight="1" thickTop="1">
      <c r="A43" s="220" t="s">
        <v>358</v>
      </c>
      <c r="B43" s="221" t="s">
        <v>587</v>
      </c>
      <c r="C43" s="178"/>
      <c r="D43" s="223"/>
      <c r="E43" s="223">
        <f>E44</f>
        <v>80813</v>
      </c>
      <c r="F43" s="521"/>
      <c r="G43" s="400"/>
      <c r="H43" s="223">
        <f>H44</f>
        <v>80813</v>
      </c>
      <c r="I43" s="109"/>
      <c r="J43" s="222"/>
      <c r="K43" s="36"/>
      <c r="L43" s="26"/>
      <c r="M43" s="178"/>
      <c r="N43" s="223"/>
      <c r="O43" s="109"/>
      <c r="P43" s="178"/>
      <c r="Q43" s="223"/>
      <c r="R43" s="109"/>
    </row>
    <row r="44" spans="1:18" s="209" customFormat="1" ht="36.75" customHeight="1">
      <c r="A44" s="127" t="s">
        <v>931</v>
      </c>
      <c r="B44" s="153" t="s">
        <v>938</v>
      </c>
      <c r="C44" s="188"/>
      <c r="D44" s="133"/>
      <c r="E44" s="93">
        <f>H44</f>
        <v>80813</v>
      </c>
      <c r="F44" s="115"/>
      <c r="G44" s="402"/>
      <c r="H44" s="93">
        <v>80813</v>
      </c>
      <c r="I44" s="129"/>
      <c r="J44" s="22"/>
      <c r="K44" s="21"/>
      <c r="L44" s="7"/>
      <c r="M44" s="187"/>
      <c r="N44" s="93"/>
      <c r="O44" s="129"/>
      <c r="P44" s="187"/>
      <c r="Q44" s="93"/>
      <c r="R44" s="129"/>
    </row>
    <row r="45" spans="1:18" ht="27" customHeight="1">
      <c r="A45" s="135" t="s">
        <v>961</v>
      </c>
      <c r="B45" s="136" t="s">
        <v>962</v>
      </c>
      <c r="C45" s="125">
        <f>SUM(C46:C46)</f>
        <v>80000</v>
      </c>
      <c r="D45" s="226">
        <f>D46</f>
        <v>74000</v>
      </c>
      <c r="E45" s="107">
        <f>E46</f>
        <v>74000</v>
      </c>
      <c r="F45" s="180">
        <f t="shared" si="0"/>
        <v>100</v>
      </c>
      <c r="G45" s="138"/>
      <c r="H45" s="139"/>
      <c r="I45" s="151"/>
      <c r="J45" s="138"/>
      <c r="K45" s="139"/>
      <c r="L45" s="31"/>
      <c r="M45" s="138"/>
      <c r="N45" s="139"/>
      <c r="O45" s="108"/>
      <c r="P45" s="125">
        <f>SUM(P46:P46)</f>
        <v>74000</v>
      </c>
      <c r="Q45" s="107">
        <f>SUM(Q46:Q46)</f>
        <v>74000</v>
      </c>
      <c r="R45" s="108">
        <f t="shared" si="4"/>
        <v>100</v>
      </c>
    </row>
    <row r="46" spans="1:18" s="209" customFormat="1" ht="75" customHeight="1">
      <c r="A46" s="141" t="s">
        <v>955</v>
      </c>
      <c r="B46" s="342" t="s">
        <v>956</v>
      </c>
      <c r="C46" s="142">
        <v>80000</v>
      </c>
      <c r="D46" s="143">
        <f>G46+J46+M46+P46</f>
        <v>74000</v>
      </c>
      <c r="E46" s="143">
        <f>H46+K46+N46+Q46</f>
        <v>74000</v>
      </c>
      <c r="F46" s="184"/>
      <c r="G46" s="145"/>
      <c r="H46" s="146"/>
      <c r="I46" s="144"/>
      <c r="J46" s="145"/>
      <c r="K46" s="146"/>
      <c r="L46" s="30"/>
      <c r="M46" s="145"/>
      <c r="N46" s="146"/>
      <c r="O46" s="144"/>
      <c r="P46" s="145">
        <f>80000-6000</f>
        <v>74000</v>
      </c>
      <c r="Q46" s="146">
        <v>74000</v>
      </c>
      <c r="R46" s="144"/>
    </row>
    <row r="47" spans="1:18" ht="24.75" customHeight="1">
      <c r="A47" s="135" t="s">
        <v>963</v>
      </c>
      <c r="B47" s="136" t="s">
        <v>590</v>
      </c>
      <c r="C47" s="137">
        <f>SUM(C48)</f>
        <v>20000</v>
      </c>
      <c r="D47" s="107">
        <f>D48</f>
        <v>20000</v>
      </c>
      <c r="E47" s="107">
        <f>E48</f>
        <v>20000</v>
      </c>
      <c r="F47" s="180">
        <f>E47/D47*100</f>
        <v>100</v>
      </c>
      <c r="G47" s="138"/>
      <c r="H47" s="139"/>
      <c r="I47" s="151"/>
      <c r="J47" s="138"/>
      <c r="K47" s="139"/>
      <c r="L47" s="31"/>
      <c r="M47" s="138"/>
      <c r="N47" s="139"/>
      <c r="O47" s="108"/>
      <c r="P47" s="138">
        <f>P48</f>
        <v>20000</v>
      </c>
      <c r="Q47" s="139">
        <f>Q48</f>
        <v>20000</v>
      </c>
      <c r="R47" s="108">
        <f t="shared" si="4"/>
        <v>100</v>
      </c>
    </row>
    <row r="48" spans="1:18" ht="72.75" customHeight="1">
      <c r="A48" s="141" t="s">
        <v>955</v>
      </c>
      <c r="B48" s="342" t="s">
        <v>956</v>
      </c>
      <c r="C48" s="142">
        <v>20000</v>
      </c>
      <c r="D48" s="143">
        <f>G48+J48+M48+P48</f>
        <v>20000</v>
      </c>
      <c r="E48" s="143">
        <f>H48+K48+N48+Q48</f>
        <v>20000</v>
      </c>
      <c r="F48" s="184"/>
      <c r="G48" s="145"/>
      <c r="H48" s="146"/>
      <c r="I48" s="144"/>
      <c r="J48" s="163"/>
      <c r="K48" s="164"/>
      <c r="L48" s="30"/>
      <c r="M48" s="163"/>
      <c r="N48" s="164"/>
      <c r="O48" s="144"/>
      <c r="P48" s="163">
        <v>20000</v>
      </c>
      <c r="Q48" s="164">
        <v>20000</v>
      </c>
      <c r="R48" s="144"/>
    </row>
    <row r="49" spans="1:18" ht="13.5" customHeight="1">
      <c r="A49" s="135" t="s">
        <v>964</v>
      </c>
      <c r="B49" s="136" t="s">
        <v>965</v>
      </c>
      <c r="C49" s="137">
        <f>SUM(C50:C51)</f>
        <v>338100</v>
      </c>
      <c r="D49" s="137">
        <f>SUM(D50:D51)</f>
        <v>333666</v>
      </c>
      <c r="E49" s="107">
        <f>E50</f>
        <v>333657</v>
      </c>
      <c r="F49" s="180">
        <f t="shared" si="0"/>
        <v>99.99730269191348</v>
      </c>
      <c r="G49" s="138"/>
      <c r="H49" s="139"/>
      <c r="I49" s="151"/>
      <c r="J49" s="138"/>
      <c r="K49" s="139"/>
      <c r="L49" s="28"/>
      <c r="M49" s="138"/>
      <c r="N49" s="139"/>
      <c r="O49" s="151"/>
      <c r="P49" s="125">
        <f>SUM(P50:P51)</f>
        <v>333666</v>
      </c>
      <c r="Q49" s="107">
        <f>SUM(Q50:Q51)</f>
        <v>333657</v>
      </c>
      <c r="R49" s="108">
        <f t="shared" si="4"/>
        <v>99.99730269191348</v>
      </c>
    </row>
    <row r="50" spans="1:18" ht="73.5" customHeight="1">
      <c r="A50" s="112" t="s">
        <v>955</v>
      </c>
      <c r="B50" s="363" t="s">
        <v>956</v>
      </c>
      <c r="C50" s="170">
        <v>330100</v>
      </c>
      <c r="D50" s="114">
        <f>G50+J50+M50+P50</f>
        <v>333666</v>
      </c>
      <c r="E50" s="114">
        <f>H50+K50+N50+Q50</f>
        <v>333657</v>
      </c>
      <c r="F50" s="176"/>
      <c r="G50" s="116"/>
      <c r="H50" s="117"/>
      <c r="I50" s="151"/>
      <c r="J50" s="181"/>
      <c r="K50" s="182"/>
      <c r="L50" s="28"/>
      <c r="M50" s="181"/>
      <c r="N50" s="182"/>
      <c r="O50" s="151"/>
      <c r="P50" s="181">
        <f>330100-100+3666</f>
        <v>333666</v>
      </c>
      <c r="Q50" s="182">
        <v>333657</v>
      </c>
      <c r="R50" s="151"/>
    </row>
    <row r="51" spans="1:18" s="209" customFormat="1" ht="67.5" customHeight="1">
      <c r="A51" s="131" t="s">
        <v>968</v>
      </c>
      <c r="B51" s="536" t="s">
        <v>969</v>
      </c>
      <c r="C51" s="132">
        <v>8000</v>
      </c>
      <c r="D51" s="133"/>
      <c r="E51" s="133"/>
      <c r="F51" s="134"/>
      <c r="G51" s="34"/>
      <c r="H51" s="35"/>
      <c r="I51" s="118"/>
      <c r="J51" s="34"/>
      <c r="K51" s="35"/>
      <c r="L51" s="183"/>
      <c r="M51" s="34"/>
      <c r="N51" s="35"/>
      <c r="O51" s="118"/>
      <c r="P51" s="34"/>
      <c r="Q51" s="35"/>
      <c r="R51" s="118"/>
    </row>
    <row r="52" spans="1:18" ht="13.5" customHeight="1">
      <c r="A52" s="135" t="s">
        <v>970</v>
      </c>
      <c r="B52" s="172" t="s">
        <v>594</v>
      </c>
      <c r="C52" s="137">
        <f>SUM(C53:C53)</f>
        <v>16600</v>
      </c>
      <c r="D52" s="107">
        <f>J52</f>
        <v>16600</v>
      </c>
      <c r="E52" s="107">
        <f>K52</f>
        <v>16595</v>
      </c>
      <c r="F52" s="180">
        <f t="shared" si="0"/>
        <v>99.96987951807229</v>
      </c>
      <c r="G52" s="343"/>
      <c r="H52" s="344"/>
      <c r="I52" s="345"/>
      <c r="J52" s="138">
        <f>SUM(J53:J53)</f>
        <v>16600</v>
      </c>
      <c r="K52" s="139">
        <f>SUM(K53:K53)</f>
        <v>16595</v>
      </c>
      <c r="L52" s="108">
        <f>K52/J52*100</f>
        <v>99.96987951807229</v>
      </c>
      <c r="M52" s="138"/>
      <c r="N52" s="139"/>
      <c r="O52" s="108"/>
      <c r="P52" s="138"/>
      <c r="Q52" s="139"/>
      <c r="R52" s="108"/>
    </row>
    <row r="53" spans="1:18" ht="63" customHeight="1">
      <c r="A53" s="112" t="s">
        <v>971</v>
      </c>
      <c r="B53" s="537" t="s">
        <v>972</v>
      </c>
      <c r="C53" s="170">
        <v>16600</v>
      </c>
      <c r="D53" s="114">
        <f>J53</f>
        <v>16600</v>
      </c>
      <c r="E53" s="114">
        <f>K53</f>
        <v>16595</v>
      </c>
      <c r="F53" s="176"/>
      <c r="G53" s="343"/>
      <c r="H53" s="344"/>
      <c r="I53" s="345"/>
      <c r="J53" s="116">
        <v>16600</v>
      </c>
      <c r="K53" s="117">
        <v>16595</v>
      </c>
      <c r="L53" s="151"/>
      <c r="M53" s="116"/>
      <c r="N53" s="117"/>
      <c r="O53" s="151"/>
      <c r="P53" s="116"/>
      <c r="Q53" s="117"/>
      <c r="R53" s="151"/>
    </row>
    <row r="54" spans="1:18" s="189" customFormat="1" ht="14.25" customHeight="1">
      <c r="A54" s="135" t="s">
        <v>3</v>
      </c>
      <c r="B54" s="136" t="s">
        <v>233</v>
      </c>
      <c r="C54" s="137">
        <f>C55</f>
        <v>1389000</v>
      </c>
      <c r="D54" s="173">
        <f>G54+J54+M54+P54</f>
        <v>1500000</v>
      </c>
      <c r="E54" s="173">
        <f>H54+K54+N54+Q54</f>
        <v>1521919</v>
      </c>
      <c r="F54" s="266">
        <f t="shared" si="0"/>
        <v>101.46126666666666</v>
      </c>
      <c r="G54" s="206">
        <f>G55</f>
        <v>1500000</v>
      </c>
      <c r="H54" s="205">
        <f>H55</f>
        <v>1521919</v>
      </c>
      <c r="I54" s="210">
        <f>H54/G54*100</f>
        <v>101.46126666666666</v>
      </c>
      <c r="J54" s="138"/>
      <c r="K54" s="139"/>
      <c r="L54" s="31"/>
      <c r="M54" s="138"/>
      <c r="N54" s="139"/>
      <c r="O54" s="108"/>
      <c r="P54" s="138"/>
      <c r="Q54" s="139"/>
      <c r="R54" s="108"/>
    </row>
    <row r="55" spans="1:18" ht="24" customHeight="1" thickBot="1">
      <c r="A55" s="127" t="s">
        <v>47</v>
      </c>
      <c r="B55" s="153" t="s">
        <v>4</v>
      </c>
      <c r="C55" s="128">
        <v>1389000</v>
      </c>
      <c r="D55" s="93">
        <f>G55+J55+M55+P55</f>
        <v>1500000</v>
      </c>
      <c r="E55" s="93">
        <f>H55+K55+N55+Q55</f>
        <v>1521919</v>
      </c>
      <c r="F55" s="115"/>
      <c r="G55" s="22">
        <f>1389000+111000</f>
        <v>1500000</v>
      </c>
      <c r="H55" s="21">
        <v>1521919</v>
      </c>
      <c r="I55" s="129"/>
      <c r="J55" s="22"/>
      <c r="K55" s="21"/>
      <c r="L55" s="27"/>
      <c r="M55" s="22"/>
      <c r="N55" s="21"/>
      <c r="O55" s="129"/>
      <c r="P55" s="22"/>
      <c r="Q55" s="21"/>
      <c r="R55" s="129"/>
    </row>
    <row r="56" spans="1:18" s="232" customFormat="1" ht="30" customHeight="1" thickBot="1" thickTop="1">
      <c r="A56" s="100" t="s">
        <v>973</v>
      </c>
      <c r="B56" s="166" t="s">
        <v>974</v>
      </c>
      <c r="C56" s="185">
        <f>C57+C61+C63+C68+C74</f>
        <v>1375600</v>
      </c>
      <c r="D56" s="76">
        <f>D57+D61+D63+D68+D74+D71</f>
        <v>1402275</v>
      </c>
      <c r="E56" s="76">
        <f>E57+E61+E63+E68+E74+E71</f>
        <v>1584091</v>
      </c>
      <c r="F56" s="211">
        <f t="shared" si="0"/>
        <v>112.96578773778324</v>
      </c>
      <c r="G56" s="185">
        <f>G57+G61+G63+G68+G74+G71</f>
        <v>362743</v>
      </c>
      <c r="H56" s="76">
        <f>H57+H61+H63+H68+H74+H71</f>
        <v>543299</v>
      </c>
      <c r="I56" s="211">
        <f>H56/G56*100</f>
        <v>149.77518518620622</v>
      </c>
      <c r="J56" s="185">
        <f>J57+J61+J63+J68+J74</f>
        <v>757900</v>
      </c>
      <c r="K56" s="76">
        <f>K57+K61+K63+K68+K74</f>
        <v>757900</v>
      </c>
      <c r="L56" s="211">
        <f>K56/J56*100</f>
        <v>100</v>
      </c>
      <c r="M56" s="185">
        <f>M57+M61+M68</f>
        <v>2000</v>
      </c>
      <c r="N56" s="76">
        <f>N57+N61+N68</f>
        <v>3260</v>
      </c>
      <c r="O56" s="211">
        <f>N56/M56*100</f>
        <v>163</v>
      </c>
      <c r="P56" s="185">
        <f>P57+P68</f>
        <v>279632</v>
      </c>
      <c r="Q56" s="76">
        <f>Q57+Q68</f>
        <v>279632</v>
      </c>
      <c r="R56" s="211">
        <f>Q56/P56*100</f>
        <v>100</v>
      </c>
    </row>
    <row r="57" spans="1:18" ht="18" customHeight="1" thickTop="1">
      <c r="A57" s="119" t="s">
        <v>975</v>
      </c>
      <c r="B57" s="120" t="s">
        <v>976</v>
      </c>
      <c r="C57" s="168">
        <f>SUM(C58:C60)</f>
        <v>1007100</v>
      </c>
      <c r="D57" s="106">
        <f>SUM(D58:D60)</f>
        <v>1007100</v>
      </c>
      <c r="E57" s="106">
        <f>SUM(E58:E60)</f>
        <v>1009212</v>
      </c>
      <c r="F57" s="179">
        <f t="shared" si="0"/>
        <v>100.20971105153411</v>
      </c>
      <c r="G57" s="122">
        <f>SUM(G58:G60)</f>
        <v>8000</v>
      </c>
      <c r="H57" s="123">
        <f>SUM(H58:H60)</f>
        <v>10112</v>
      </c>
      <c r="I57" s="124">
        <f>H57/G57*100</f>
        <v>126.4</v>
      </c>
      <c r="J57" s="122">
        <f>J58</f>
        <v>757900</v>
      </c>
      <c r="K57" s="123">
        <f>K58</f>
        <v>757900</v>
      </c>
      <c r="L57" s="124">
        <f>K57/J57*100</f>
        <v>100</v>
      </c>
      <c r="M57" s="122"/>
      <c r="N57" s="123"/>
      <c r="O57" s="124"/>
      <c r="P57" s="122">
        <f>P59</f>
        <v>241200</v>
      </c>
      <c r="Q57" s="123">
        <f>SUM(Q58:Q59)</f>
        <v>241200</v>
      </c>
      <c r="R57" s="124">
        <f>Q57/P57*100</f>
        <v>100</v>
      </c>
    </row>
    <row r="58" spans="1:18" ht="57.75" customHeight="1">
      <c r="A58" s="141" t="s">
        <v>926</v>
      </c>
      <c r="B58" s="538" t="s">
        <v>927</v>
      </c>
      <c r="C58" s="142">
        <v>757900</v>
      </c>
      <c r="D58" s="143">
        <f aca="true" t="shared" si="5" ref="D58:E60">G58+J58+M58+P58</f>
        <v>757900</v>
      </c>
      <c r="E58" s="143">
        <f t="shared" si="5"/>
        <v>757900</v>
      </c>
      <c r="F58" s="144">
        <f t="shared" si="0"/>
        <v>100</v>
      </c>
      <c r="G58" s="145"/>
      <c r="H58" s="146"/>
      <c r="I58" s="144"/>
      <c r="J58" s="145">
        <v>757900</v>
      </c>
      <c r="K58" s="146">
        <v>757900</v>
      </c>
      <c r="L58" s="144"/>
      <c r="M58" s="145"/>
      <c r="N58" s="146"/>
      <c r="O58" s="144"/>
      <c r="P58" s="145"/>
      <c r="Q58" s="146"/>
      <c r="R58" s="144"/>
    </row>
    <row r="59" spans="1:18" s="209" customFormat="1" ht="69" customHeight="1">
      <c r="A59" s="127" t="s">
        <v>955</v>
      </c>
      <c r="B59" s="539" t="s">
        <v>956</v>
      </c>
      <c r="C59" s="128">
        <v>241200</v>
      </c>
      <c r="D59" s="93">
        <f t="shared" si="5"/>
        <v>241200</v>
      </c>
      <c r="E59" s="93">
        <f t="shared" si="5"/>
        <v>241200</v>
      </c>
      <c r="F59" s="129">
        <f t="shared" si="0"/>
        <v>100</v>
      </c>
      <c r="G59" s="22"/>
      <c r="H59" s="21"/>
      <c r="I59" s="129"/>
      <c r="J59" s="22"/>
      <c r="K59" s="21"/>
      <c r="L59" s="171"/>
      <c r="M59" s="22"/>
      <c r="N59" s="21"/>
      <c r="O59" s="129"/>
      <c r="P59" s="22">
        <v>241200</v>
      </c>
      <c r="Q59" s="21">
        <v>241200</v>
      </c>
      <c r="R59" s="129"/>
    </row>
    <row r="60" spans="1:18" s="209" customFormat="1" ht="66" customHeight="1">
      <c r="A60" s="131" t="s">
        <v>957</v>
      </c>
      <c r="B60" s="540" t="s">
        <v>359</v>
      </c>
      <c r="C60" s="132">
        <v>8000</v>
      </c>
      <c r="D60" s="133">
        <f t="shared" si="5"/>
        <v>8000</v>
      </c>
      <c r="E60" s="133">
        <f t="shared" si="5"/>
        <v>10112</v>
      </c>
      <c r="F60" s="118">
        <f t="shared" si="0"/>
        <v>126.4</v>
      </c>
      <c r="G60" s="34">
        <v>8000</v>
      </c>
      <c r="H60" s="35">
        <v>10112</v>
      </c>
      <c r="I60" s="118"/>
      <c r="J60" s="34"/>
      <c r="K60" s="35"/>
      <c r="L60" s="183"/>
      <c r="M60" s="34"/>
      <c r="N60" s="35"/>
      <c r="O60" s="118"/>
      <c r="P60" s="34"/>
      <c r="Q60" s="35"/>
      <c r="R60" s="118"/>
    </row>
    <row r="61" spans="1:18" ht="15" customHeight="1">
      <c r="A61" s="119" t="s">
        <v>977</v>
      </c>
      <c r="B61" s="120" t="s">
        <v>598</v>
      </c>
      <c r="C61" s="121">
        <f>SUM(C62:C62)</f>
        <v>2000</v>
      </c>
      <c r="D61" s="106">
        <f>SUM(D62:D62)</f>
        <v>2000</v>
      </c>
      <c r="E61" s="106">
        <f>SUM(E62:E62)</f>
        <v>3260</v>
      </c>
      <c r="F61" s="179">
        <f t="shared" si="0"/>
        <v>163</v>
      </c>
      <c r="G61" s="122"/>
      <c r="H61" s="123"/>
      <c r="I61" s="151"/>
      <c r="J61" s="122"/>
      <c r="K61" s="123"/>
      <c r="L61" s="126"/>
      <c r="M61" s="122">
        <f>M62</f>
        <v>2000</v>
      </c>
      <c r="N61" s="123">
        <f>SUM(N62:N62)</f>
        <v>3260</v>
      </c>
      <c r="O61" s="124">
        <f>N61/M61*100</f>
        <v>163</v>
      </c>
      <c r="P61" s="122"/>
      <c r="Q61" s="123"/>
      <c r="R61" s="124"/>
    </row>
    <row r="62" spans="1:18" ht="25.5" customHeight="1">
      <c r="A62" s="131" t="s">
        <v>948</v>
      </c>
      <c r="B62" s="186" t="s">
        <v>5</v>
      </c>
      <c r="C62" s="132">
        <v>2000</v>
      </c>
      <c r="D62" s="133">
        <f>G62+J62+M62+P62</f>
        <v>2000</v>
      </c>
      <c r="E62" s="133">
        <f>H62+K62+N62+Q62</f>
        <v>3260</v>
      </c>
      <c r="F62" s="134"/>
      <c r="G62" s="34"/>
      <c r="H62" s="35"/>
      <c r="I62" s="118"/>
      <c r="J62" s="149"/>
      <c r="K62" s="150"/>
      <c r="L62" s="29"/>
      <c r="M62" s="149">
        <v>2000</v>
      </c>
      <c r="N62" s="150">
        <v>3260</v>
      </c>
      <c r="O62" s="118"/>
      <c r="P62" s="149"/>
      <c r="Q62" s="150"/>
      <c r="R62" s="118"/>
    </row>
    <row r="63" spans="1:18" ht="16.5" customHeight="1">
      <c r="A63" s="135" t="s">
        <v>980</v>
      </c>
      <c r="B63" s="136" t="s">
        <v>981</v>
      </c>
      <c r="C63" s="137">
        <f>SUM(C65:C67)</f>
        <v>77000</v>
      </c>
      <c r="D63" s="107">
        <f>SUM(D65:D67)</f>
        <v>77000</v>
      </c>
      <c r="E63" s="107">
        <f>SUM(E64:E67)</f>
        <v>68690</v>
      </c>
      <c r="F63" s="180">
        <f t="shared" si="0"/>
        <v>89.20779220779221</v>
      </c>
      <c r="G63" s="139">
        <f>SUM(G64:G67)</f>
        <v>77000</v>
      </c>
      <c r="H63" s="139">
        <f>SUM(H64:H67)</f>
        <v>68690</v>
      </c>
      <c r="I63" s="108">
        <f>H63/G63*100</f>
        <v>89.20779220779221</v>
      </c>
      <c r="J63" s="138"/>
      <c r="K63" s="139"/>
      <c r="L63" s="31"/>
      <c r="M63" s="138"/>
      <c r="N63" s="139"/>
      <c r="O63" s="108"/>
      <c r="P63" s="138"/>
      <c r="Q63" s="139"/>
      <c r="R63" s="108"/>
    </row>
    <row r="64" spans="1:18" s="209" customFormat="1" ht="35.25" customHeight="1">
      <c r="A64" s="141" t="s">
        <v>931</v>
      </c>
      <c r="B64" s="190" t="s">
        <v>938</v>
      </c>
      <c r="C64" s="142"/>
      <c r="D64" s="143"/>
      <c r="E64" s="143">
        <f aca="true" t="shared" si="6" ref="D64:E66">H64+K64+N64+Q64</f>
        <v>17925</v>
      </c>
      <c r="F64" s="144"/>
      <c r="G64" s="145"/>
      <c r="H64" s="146">
        <v>17925</v>
      </c>
      <c r="I64" s="144"/>
      <c r="J64" s="145"/>
      <c r="K64" s="146"/>
      <c r="L64" s="30"/>
      <c r="M64" s="145"/>
      <c r="N64" s="146"/>
      <c r="O64" s="144"/>
      <c r="P64" s="145"/>
      <c r="Q64" s="146"/>
      <c r="R64" s="144"/>
    </row>
    <row r="65" spans="1:18" s="209" customFormat="1" ht="24.75" customHeight="1">
      <c r="A65" s="127" t="s">
        <v>948</v>
      </c>
      <c r="B65" s="153" t="s">
        <v>757</v>
      </c>
      <c r="C65" s="128"/>
      <c r="D65" s="93"/>
      <c r="E65" s="93">
        <f t="shared" si="6"/>
        <v>9075</v>
      </c>
      <c r="F65" s="129"/>
      <c r="G65" s="187"/>
      <c r="H65" s="21">
        <v>9075</v>
      </c>
      <c r="I65" s="129"/>
      <c r="J65" s="22"/>
      <c r="K65" s="21"/>
      <c r="L65" s="27"/>
      <c r="M65" s="22"/>
      <c r="N65" s="21"/>
      <c r="O65" s="129"/>
      <c r="P65" s="22"/>
      <c r="Q65" s="21"/>
      <c r="R65" s="129"/>
    </row>
    <row r="66" spans="1:18" s="209" customFormat="1" ht="60.75" customHeight="1">
      <c r="A66" s="127" t="s">
        <v>949</v>
      </c>
      <c r="B66" s="153" t="s">
        <v>982</v>
      </c>
      <c r="C66" s="128">
        <v>60000</v>
      </c>
      <c r="D66" s="93">
        <f t="shared" si="6"/>
        <v>60000</v>
      </c>
      <c r="E66" s="93">
        <f t="shared" si="6"/>
        <v>32885</v>
      </c>
      <c r="F66" s="129">
        <f t="shared" si="0"/>
        <v>54.80833333333334</v>
      </c>
      <c r="G66" s="187">
        <v>60000</v>
      </c>
      <c r="H66" s="21">
        <v>32885</v>
      </c>
      <c r="I66" s="129">
        <f>H66/G66*100</f>
        <v>54.80833333333334</v>
      </c>
      <c r="J66" s="33"/>
      <c r="K66" s="147"/>
      <c r="L66" s="27"/>
      <c r="M66" s="33"/>
      <c r="N66" s="147"/>
      <c r="O66" s="129"/>
      <c r="P66" s="33"/>
      <c r="Q66" s="147"/>
      <c r="R66" s="129"/>
    </row>
    <row r="67" spans="1:18" ht="34.5" customHeight="1">
      <c r="A67" s="131" t="s">
        <v>939</v>
      </c>
      <c r="B67" s="186" t="s">
        <v>360</v>
      </c>
      <c r="C67" s="132">
        <v>17000</v>
      </c>
      <c r="D67" s="133">
        <f>G67+J67+M67+P67</f>
        <v>17000</v>
      </c>
      <c r="E67" s="133">
        <f>H67+K67+N67+Q67</f>
        <v>8805</v>
      </c>
      <c r="F67" s="118">
        <f t="shared" si="0"/>
        <v>51.794117647058826</v>
      </c>
      <c r="G67" s="188">
        <v>17000</v>
      </c>
      <c r="H67" s="35">
        <v>8805</v>
      </c>
      <c r="I67" s="118">
        <f>H67/G67*100</f>
        <v>51.794117647058826</v>
      </c>
      <c r="J67" s="149"/>
      <c r="K67" s="150"/>
      <c r="L67" s="29"/>
      <c r="M67" s="149"/>
      <c r="N67" s="150"/>
      <c r="O67" s="118"/>
      <c r="P67" s="149"/>
      <c r="Q67" s="150"/>
      <c r="R67" s="118"/>
    </row>
    <row r="68" spans="1:18" ht="16.5" customHeight="1">
      <c r="A68" s="135" t="s">
        <v>984</v>
      </c>
      <c r="B68" s="136" t="s">
        <v>361</v>
      </c>
      <c r="C68" s="137">
        <f>C69+C70</f>
        <v>39500</v>
      </c>
      <c r="D68" s="107">
        <f>SUM(D69:D70)</f>
        <v>38432</v>
      </c>
      <c r="E68" s="107">
        <f>SUM(E69:E70)</f>
        <v>38432</v>
      </c>
      <c r="F68" s="179">
        <f t="shared" si="0"/>
        <v>100</v>
      </c>
      <c r="G68" s="138"/>
      <c r="H68" s="139"/>
      <c r="I68" s="151"/>
      <c r="J68" s="138"/>
      <c r="K68" s="139"/>
      <c r="L68" s="28"/>
      <c r="M68" s="138"/>
      <c r="N68" s="139"/>
      <c r="O68" s="140"/>
      <c r="P68" s="138">
        <f>SUM(P69:P70)</f>
        <v>38432</v>
      </c>
      <c r="Q68" s="139">
        <f>SUM(Q69:Q70)</f>
        <v>38432</v>
      </c>
      <c r="R68" s="108">
        <f>Q68/P68*100</f>
        <v>100</v>
      </c>
    </row>
    <row r="69" spans="1:18" s="209" customFormat="1" ht="74.25" customHeight="1">
      <c r="A69" s="141" t="s">
        <v>955</v>
      </c>
      <c r="B69" s="342" t="s">
        <v>956</v>
      </c>
      <c r="C69" s="142">
        <v>34000</v>
      </c>
      <c r="D69" s="143">
        <f>G69+J69+M69+P69</f>
        <v>33998</v>
      </c>
      <c r="E69" s="143">
        <f>H69+K69+N69+Q69</f>
        <v>33998</v>
      </c>
      <c r="F69" s="184"/>
      <c r="G69" s="145"/>
      <c r="H69" s="146"/>
      <c r="I69" s="144"/>
      <c r="J69" s="145"/>
      <c r="K69" s="146"/>
      <c r="L69" s="30"/>
      <c r="M69" s="145"/>
      <c r="N69" s="146"/>
      <c r="O69" s="144"/>
      <c r="P69" s="145">
        <f>34000-2</f>
        <v>33998</v>
      </c>
      <c r="Q69" s="146">
        <v>33998</v>
      </c>
      <c r="R69" s="144"/>
    </row>
    <row r="70" spans="1:18" s="209" customFormat="1" ht="72.75" customHeight="1">
      <c r="A70" s="131" t="s">
        <v>985</v>
      </c>
      <c r="B70" s="346" t="s">
        <v>986</v>
      </c>
      <c r="C70" s="132">
        <v>5500</v>
      </c>
      <c r="D70" s="133">
        <f>G70+J70+M70+P70</f>
        <v>4434</v>
      </c>
      <c r="E70" s="133">
        <f>H70+K70+N70+Q70</f>
        <v>4434</v>
      </c>
      <c r="F70" s="134"/>
      <c r="G70" s="34"/>
      <c r="H70" s="35"/>
      <c r="I70" s="118"/>
      <c r="J70" s="34"/>
      <c r="K70" s="35"/>
      <c r="L70" s="29"/>
      <c r="M70" s="34"/>
      <c r="N70" s="35"/>
      <c r="O70" s="118"/>
      <c r="P70" s="34">
        <f>5500-1066</f>
        <v>4434</v>
      </c>
      <c r="Q70" s="35">
        <v>4434</v>
      </c>
      <c r="R70" s="118"/>
    </row>
    <row r="71" spans="1:18" s="347" customFormat="1" ht="23.25" customHeight="1">
      <c r="A71" s="119" t="s">
        <v>987</v>
      </c>
      <c r="B71" s="231" t="s">
        <v>636</v>
      </c>
      <c r="C71" s="121"/>
      <c r="D71" s="106">
        <f>D73</f>
        <v>27743</v>
      </c>
      <c r="E71" s="106">
        <f>SUM(E72:E73)</f>
        <v>67743</v>
      </c>
      <c r="F71" s="179">
        <f t="shared" si="0"/>
        <v>244.18051400353244</v>
      </c>
      <c r="G71" s="122">
        <f>G73</f>
        <v>27743</v>
      </c>
      <c r="H71" s="123">
        <f>SUM(H72:H73)</f>
        <v>67743</v>
      </c>
      <c r="I71" s="124">
        <f>H71/G71*100</f>
        <v>244.18051400353244</v>
      </c>
      <c r="J71" s="122"/>
      <c r="K71" s="123"/>
      <c r="L71" s="126"/>
      <c r="M71" s="122"/>
      <c r="N71" s="123"/>
      <c r="O71" s="124"/>
      <c r="P71" s="122"/>
      <c r="Q71" s="123"/>
      <c r="R71" s="108"/>
    </row>
    <row r="72" spans="1:18" s="209" customFormat="1" ht="18" customHeight="1">
      <c r="A72" s="112" t="s">
        <v>47</v>
      </c>
      <c r="B72" s="213" t="s">
        <v>48</v>
      </c>
      <c r="C72" s="170"/>
      <c r="D72" s="114"/>
      <c r="E72" s="114">
        <f>H72</f>
        <v>40000</v>
      </c>
      <c r="F72" s="176"/>
      <c r="G72" s="116"/>
      <c r="H72" s="117">
        <v>40000</v>
      </c>
      <c r="I72" s="151"/>
      <c r="J72" s="116"/>
      <c r="K72" s="117"/>
      <c r="L72" s="28"/>
      <c r="M72" s="116"/>
      <c r="N72" s="117"/>
      <c r="O72" s="151"/>
      <c r="P72" s="116"/>
      <c r="Q72" s="117"/>
      <c r="R72" s="151"/>
    </row>
    <row r="73" spans="1:18" s="209" customFormat="1" ht="61.5" customHeight="1">
      <c r="A73" s="131" t="s">
        <v>943</v>
      </c>
      <c r="B73" s="186" t="s">
        <v>6</v>
      </c>
      <c r="C73" s="132"/>
      <c r="D73" s="133">
        <f>G73</f>
        <v>27743</v>
      </c>
      <c r="E73" s="133">
        <f>H73</f>
        <v>27743</v>
      </c>
      <c r="F73" s="134">
        <f>E73/D73*100</f>
        <v>100</v>
      </c>
      <c r="G73" s="34">
        <v>27743</v>
      </c>
      <c r="H73" s="35">
        <v>27743</v>
      </c>
      <c r="I73" s="118">
        <f>H73/G73*100</f>
        <v>100</v>
      </c>
      <c r="J73" s="34"/>
      <c r="K73" s="35"/>
      <c r="L73" s="29"/>
      <c r="M73" s="34"/>
      <c r="N73" s="35"/>
      <c r="O73" s="118"/>
      <c r="P73" s="34"/>
      <c r="Q73" s="35"/>
      <c r="R73" s="118"/>
    </row>
    <row r="74" spans="1:18" ht="15.75" customHeight="1">
      <c r="A74" s="135" t="s">
        <v>988</v>
      </c>
      <c r="B74" s="136" t="s">
        <v>233</v>
      </c>
      <c r="C74" s="137">
        <f>SUM(C75:C75)</f>
        <v>250000</v>
      </c>
      <c r="D74" s="107">
        <f>SUM(D75:D75)</f>
        <v>250000</v>
      </c>
      <c r="E74" s="107">
        <f>SUM(E75:E76)</f>
        <v>396754</v>
      </c>
      <c r="F74" s="108">
        <f t="shared" si="0"/>
        <v>158.70159999999998</v>
      </c>
      <c r="G74" s="138">
        <f>SUM(G75:G75)</f>
        <v>250000</v>
      </c>
      <c r="H74" s="139">
        <f>SUM(H75:H76)</f>
        <v>396754</v>
      </c>
      <c r="I74" s="108">
        <f>H74/G74*100</f>
        <v>158.70159999999998</v>
      </c>
      <c r="J74" s="138"/>
      <c r="K74" s="139"/>
      <c r="L74" s="31"/>
      <c r="M74" s="138"/>
      <c r="N74" s="139"/>
      <c r="O74" s="108"/>
      <c r="P74" s="138"/>
      <c r="Q74" s="139"/>
      <c r="R74" s="108"/>
    </row>
    <row r="75" spans="1:18" ht="21" customHeight="1">
      <c r="A75" s="141" t="s">
        <v>989</v>
      </c>
      <c r="B75" s="190" t="s">
        <v>7</v>
      </c>
      <c r="C75" s="142">
        <v>250000</v>
      </c>
      <c r="D75" s="143">
        <f aca="true" t="shared" si="7" ref="D75:E78">G75+J75+M75+P75</f>
        <v>250000</v>
      </c>
      <c r="E75" s="143">
        <f t="shared" si="7"/>
        <v>328070</v>
      </c>
      <c r="F75" s="144">
        <f t="shared" si="0"/>
        <v>131.22799999999998</v>
      </c>
      <c r="G75" s="191">
        <v>250000</v>
      </c>
      <c r="H75" s="146">
        <v>328070</v>
      </c>
      <c r="I75" s="144">
        <f>H75/G75*100</f>
        <v>131.22799999999998</v>
      </c>
      <c r="J75" s="163"/>
      <c r="K75" s="164"/>
      <c r="L75" s="30"/>
      <c r="M75" s="163"/>
      <c r="N75" s="164"/>
      <c r="O75" s="144"/>
      <c r="P75" s="163"/>
      <c r="Q75" s="164"/>
      <c r="R75" s="144"/>
    </row>
    <row r="76" spans="1:18" ht="37.5" customHeight="1" thickBot="1">
      <c r="A76" s="127" t="s">
        <v>931</v>
      </c>
      <c r="B76" s="153" t="s">
        <v>938</v>
      </c>
      <c r="C76" s="128"/>
      <c r="D76" s="93"/>
      <c r="E76" s="93">
        <f>H76</f>
        <v>68684</v>
      </c>
      <c r="F76" s="129"/>
      <c r="G76" s="187"/>
      <c r="H76" s="21">
        <v>68684</v>
      </c>
      <c r="I76" s="129"/>
      <c r="J76" s="33"/>
      <c r="K76" s="147"/>
      <c r="L76" s="27"/>
      <c r="M76" s="33"/>
      <c r="N76" s="147"/>
      <c r="O76" s="129"/>
      <c r="P76" s="33"/>
      <c r="Q76" s="147"/>
      <c r="R76" s="129"/>
    </row>
    <row r="77" spans="1:18" s="232" customFormat="1" ht="73.5" customHeight="1" thickBot="1" thickTop="1">
      <c r="A77" s="154" t="s">
        <v>990</v>
      </c>
      <c r="B77" s="155" t="s">
        <v>658</v>
      </c>
      <c r="C77" s="156">
        <f>C78</f>
        <v>17577</v>
      </c>
      <c r="D77" s="76">
        <f>D78+D80</f>
        <v>132897</v>
      </c>
      <c r="E77" s="157">
        <f>E78+E80</f>
        <v>132112</v>
      </c>
      <c r="F77" s="437">
        <f aca="true" t="shared" si="8" ref="F77:F131">E77/D77*100</f>
        <v>99.40931698984929</v>
      </c>
      <c r="G77" s="438"/>
      <c r="H77" s="159"/>
      <c r="I77" s="439"/>
      <c r="J77" s="158">
        <f>J78+J80</f>
        <v>132897</v>
      </c>
      <c r="K77" s="159">
        <f>K78+K80</f>
        <v>132112</v>
      </c>
      <c r="L77" s="437">
        <f>K77/J77*100</f>
        <v>99.40931698984929</v>
      </c>
      <c r="M77" s="158"/>
      <c r="N77" s="159"/>
      <c r="O77" s="439"/>
      <c r="P77" s="158"/>
      <c r="Q77" s="159"/>
      <c r="R77" s="439"/>
    </row>
    <row r="78" spans="1:18" ht="42" customHeight="1" thickTop="1">
      <c r="A78" s="192" t="s">
        <v>991</v>
      </c>
      <c r="B78" s="193" t="s">
        <v>659</v>
      </c>
      <c r="C78" s="194">
        <f>SUM(C79)</f>
        <v>17577</v>
      </c>
      <c r="D78" s="195">
        <f t="shared" si="7"/>
        <v>17577</v>
      </c>
      <c r="E78" s="195">
        <f t="shared" si="7"/>
        <v>16801</v>
      </c>
      <c r="F78" s="196">
        <f t="shared" si="8"/>
        <v>95.58513967116117</v>
      </c>
      <c r="G78" s="197"/>
      <c r="H78" s="198"/>
      <c r="I78" s="199"/>
      <c r="J78" s="200">
        <f>J79</f>
        <v>17577</v>
      </c>
      <c r="K78" s="198">
        <f>K79</f>
        <v>16801</v>
      </c>
      <c r="L78" s="196">
        <f>K78/J78*100</f>
        <v>95.58513967116117</v>
      </c>
      <c r="M78" s="200"/>
      <c r="N78" s="198"/>
      <c r="O78" s="199"/>
      <c r="P78" s="200"/>
      <c r="Q78" s="198"/>
      <c r="R78" s="218"/>
    </row>
    <row r="79" spans="1:18" ht="59.25" customHeight="1">
      <c r="A79" s="112" t="s">
        <v>926</v>
      </c>
      <c r="B79" s="213" t="s">
        <v>927</v>
      </c>
      <c r="C79" s="170">
        <v>17577</v>
      </c>
      <c r="D79" s="114">
        <f>G79+J79+M79+P79</f>
        <v>17577</v>
      </c>
      <c r="E79" s="114">
        <f>H79+K79+N79+Q79</f>
        <v>16801</v>
      </c>
      <c r="F79" s="6"/>
      <c r="G79" s="448"/>
      <c r="H79" s="117"/>
      <c r="I79" s="151"/>
      <c r="J79" s="181">
        <v>17577</v>
      </c>
      <c r="K79" s="182">
        <v>16801</v>
      </c>
      <c r="L79" s="253"/>
      <c r="M79" s="181"/>
      <c r="N79" s="182"/>
      <c r="O79" s="151"/>
      <c r="P79" s="181"/>
      <c r="Q79" s="182"/>
      <c r="R79" s="151"/>
    </row>
    <row r="80" spans="1:18" ht="22.5" customHeight="1">
      <c r="A80" s="201" t="s">
        <v>758</v>
      </c>
      <c r="B80" s="202" t="s">
        <v>759</v>
      </c>
      <c r="C80" s="203"/>
      <c r="D80" s="173">
        <f>D81</f>
        <v>115320</v>
      </c>
      <c r="E80" s="173">
        <f>K80</f>
        <v>115311</v>
      </c>
      <c r="F80" s="398">
        <f>E80/D80*100</f>
        <v>99.99219562955255</v>
      </c>
      <c r="G80" s="204"/>
      <c r="H80" s="205"/>
      <c r="I80" s="210"/>
      <c r="J80" s="206">
        <f>J81</f>
        <v>115320</v>
      </c>
      <c r="K80" s="205">
        <f>K81</f>
        <v>115311</v>
      </c>
      <c r="L80" s="398">
        <f>K80/J80*100</f>
        <v>99.99219562955255</v>
      </c>
      <c r="M80" s="206"/>
      <c r="N80" s="205"/>
      <c r="O80" s="210"/>
      <c r="P80" s="206"/>
      <c r="Q80" s="205"/>
      <c r="R80" s="210"/>
    </row>
    <row r="81" spans="1:18" ht="59.25" customHeight="1">
      <c r="A81" s="112" t="s">
        <v>926</v>
      </c>
      <c r="B81" s="213" t="s">
        <v>927</v>
      </c>
      <c r="C81" s="170"/>
      <c r="D81" s="114">
        <f>J81</f>
        <v>115320</v>
      </c>
      <c r="E81" s="114">
        <f>K81</f>
        <v>115311</v>
      </c>
      <c r="F81" s="6"/>
      <c r="G81" s="448"/>
      <c r="H81" s="117"/>
      <c r="I81" s="151"/>
      <c r="J81" s="181">
        <f>60640+55710-1030</f>
        <v>115320</v>
      </c>
      <c r="K81" s="182">
        <v>115311</v>
      </c>
      <c r="L81" s="541"/>
      <c r="M81" s="181"/>
      <c r="N81" s="182"/>
      <c r="O81" s="151"/>
      <c r="P81" s="181"/>
      <c r="Q81" s="182"/>
      <c r="R81" s="151"/>
    </row>
    <row r="82" spans="1:18" s="232" customFormat="1" ht="39" customHeight="1" thickBot="1">
      <c r="A82" s="533" t="s">
        <v>992</v>
      </c>
      <c r="B82" s="452" t="s">
        <v>667</v>
      </c>
      <c r="C82" s="453">
        <f>C83+C88</f>
        <v>7379000</v>
      </c>
      <c r="D82" s="177">
        <f>G82+J82+M82+P82</f>
        <v>8634946</v>
      </c>
      <c r="E82" s="177">
        <f>E83+E88+E90</f>
        <v>8635625</v>
      </c>
      <c r="F82" s="542">
        <f t="shared" si="8"/>
        <v>100.00786339601892</v>
      </c>
      <c r="G82" s="456"/>
      <c r="H82" s="457"/>
      <c r="I82" s="543"/>
      <c r="J82" s="456">
        <f>J83+J88</f>
        <v>10000</v>
      </c>
      <c r="K82" s="457">
        <f>K83+K88</f>
        <v>9979</v>
      </c>
      <c r="L82" s="544">
        <f>K82/J82*100</f>
        <v>99.79</v>
      </c>
      <c r="M82" s="456"/>
      <c r="N82" s="457">
        <f>N83</f>
        <v>770</v>
      </c>
      <c r="O82" s="542"/>
      <c r="P82" s="456">
        <f>P83+P90</f>
        <v>8624946</v>
      </c>
      <c r="Q82" s="457">
        <f>Q83+Q90</f>
        <v>8624876</v>
      </c>
      <c r="R82" s="542">
        <f>Q82/P82*100</f>
        <v>99.9991884007158</v>
      </c>
    </row>
    <row r="83" spans="1:18" ht="25.5" customHeight="1" thickTop="1">
      <c r="A83" s="119" t="s">
        <v>993</v>
      </c>
      <c r="B83" s="120" t="s">
        <v>671</v>
      </c>
      <c r="C83" s="121">
        <f>SUM(C85:C87)</f>
        <v>7370000</v>
      </c>
      <c r="D83" s="106">
        <f>SUM(D84:D87)</f>
        <v>8573810</v>
      </c>
      <c r="E83" s="106">
        <f>SUM(E84:E87)</f>
        <v>8574526</v>
      </c>
      <c r="F83" s="179">
        <f t="shared" si="8"/>
        <v>100.00835101314351</v>
      </c>
      <c r="G83" s="122"/>
      <c r="H83" s="123"/>
      <c r="I83" s="118"/>
      <c r="J83" s="122"/>
      <c r="K83" s="123"/>
      <c r="L83" s="169"/>
      <c r="M83" s="122"/>
      <c r="N83" s="123">
        <f>SUM(N84:N87)</f>
        <v>770</v>
      </c>
      <c r="O83" s="124"/>
      <c r="P83" s="122">
        <f>SUM(P85:P87)</f>
        <v>8573810</v>
      </c>
      <c r="Q83" s="123">
        <f>SUM(Q85:Q87)</f>
        <v>8573756</v>
      </c>
      <c r="R83" s="124">
        <f>Q83/P83*100</f>
        <v>99.99937017498638</v>
      </c>
    </row>
    <row r="84" spans="1:18" s="209" customFormat="1" ht="13.5" customHeight="1">
      <c r="A84" s="141" t="s">
        <v>966</v>
      </c>
      <c r="B84" s="190" t="s">
        <v>244</v>
      </c>
      <c r="C84" s="142"/>
      <c r="D84" s="143"/>
      <c r="E84" s="143">
        <f aca="true" t="shared" si="9" ref="D84:E87">H84+K84+N84+Q84</f>
        <v>26</v>
      </c>
      <c r="F84" s="184"/>
      <c r="G84" s="145"/>
      <c r="H84" s="146"/>
      <c r="I84" s="144"/>
      <c r="J84" s="145"/>
      <c r="K84" s="146"/>
      <c r="L84" s="545"/>
      <c r="M84" s="145"/>
      <c r="N84" s="146">
        <v>26</v>
      </c>
      <c r="O84" s="144"/>
      <c r="P84" s="145"/>
      <c r="Q84" s="146"/>
      <c r="R84" s="144"/>
    </row>
    <row r="85" spans="1:18" s="209" customFormat="1" ht="81" customHeight="1">
      <c r="A85" s="127" t="s">
        <v>955</v>
      </c>
      <c r="B85" s="341" t="s">
        <v>956</v>
      </c>
      <c r="C85" s="128">
        <v>7320000</v>
      </c>
      <c r="D85" s="93">
        <f t="shared" si="9"/>
        <v>8035625</v>
      </c>
      <c r="E85" s="93">
        <f t="shared" si="9"/>
        <v>8035571</v>
      </c>
      <c r="F85" s="115">
        <f t="shared" si="8"/>
        <v>99.99932799253325</v>
      </c>
      <c r="G85" s="22"/>
      <c r="H85" s="21"/>
      <c r="I85" s="129"/>
      <c r="J85" s="22"/>
      <c r="K85" s="21"/>
      <c r="L85" s="171"/>
      <c r="M85" s="22"/>
      <c r="N85" s="21"/>
      <c r="O85" s="129"/>
      <c r="P85" s="22">
        <f>7320000+521951+75369+1324+116981</f>
        <v>8035625</v>
      </c>
      <c r="Q85" s="21">
        <v>8035571</v>
      </c>
      <c r="R85" s="129">
        <f>Q85/P85*100</f>
        <v>99.99932799253325</v>
      </c>
    </row>
    <row r="86" spans="1:19" s="209" customFormat="1" ht="58.5" customHeight="1">
      <c r="A86" s="127" t="s">
        <v>957</v>
      </c>
      <c r="B86" s="341" t="s">
        <v>994</v>
      </c>
      <c r="C86" s="128"/>
      <c r="D86" s="93"/>
      <c r="E86" s="93">
        <f>H86+K86+N86+Q86</f>
        <v>744</v>
      </c>
      <c r="F86" s="115"/>
      <c r="G86" s="22"/>
      <c r="H86" s="21"/>
      <c r="I86" s="129"/>
      <c r="J86" s="22"/>
      <c r="K86" s="21"/>
      <c r="L86" s="171"/>
      <c r="M86" s="22"/>
      <c r="N86" s="21">
        <v>744</v>
      </c>
      <c r="O86" s="129"/>
      <c r="P86" s="22"/>
      <c r="Q86" s="21"/>
      <c r="R86" s="129"/>
      <c r="S86" s="348"/>
    </row>
    <row r="87" spans="1:18" s="209" customFormat="1" ht="82.5" customHeight="1">
      <c r="A87" s="131" t="s">
        <v>968</v>
      </c>
      <c r="B87" s="186" t="s">
        <v>969</v>
      </c>
      <c r="C87" s="132">
        <v>50000</v>
      </c>
      <c r="D87" s="133">
        <f t="shared" si="9"/>
        <v>538185</v>
      </c>
      <c r="E87" s="93">
        <f t="shared" si="9"/>
        <v>538185</v>
      </c>
      <c r="F87" s="115">
        <f t="shared" si="8"/>
        <v>100</v>
      </c>
      <c r="G87" s="34"/>
      <c r="H87" s="35"/>
      <c r="I87" s="118"/>
      <c r="J87" s="34"/>
      <c r="K87" s="35"/>
      <c r="L87" s="183"/>
      <c r="M87" s="34"/>
      <c r="N87" s="35"/>
      <c r="O87" s="118"/>
      <c r="P87" s="34">
        <f>50000-50000+176185+362000</f>
        <v>538185</v>
      </c>
      <c r="Q87" s="35">
        <v>538185</v>
      </c>
      <c r="R87" s="129">
        <f>Q87/P87*100</f>
        <v>100</v>
      </c>
    </row>
    <row r="88" spans="1:18" ht="15.75" customHeight="1">
      <c r="A88" s="135" t="s">
        <v>996</v>
      </c>
      <c r="B88" s="136" t="s">
        <v>688</v>
      </c>
      <c r="C88" s="137">
        <f>C89</f>
        <v>9000</v>
      </c>
      <c r="D88" s="107">
        <f>D89</f>
        <v>10000</v>
      </c>
      <c r="E88" s="107">
        <f>E89</f>
        <v>9979</v>
      </c>
      <c r="F88" s="210">
        <f t="shared" si="8"/>
        <v>99.79</v>
      </c>
      <c r="G88" s="138"/>
      <c r="H88" s="139"/>
      <c r="I88" s="108"/>
      <c r="J88" s="138">
        <f>J89</f>
        <v>10000</v>
      </c>
      <c r="K88" s="139">
        <f>K89</f>
        <v>9979</v>
      </c>
      <c r="L88" s="210">
        <f>K88/J88*100</f>
        <v>99.79</v>
      </c>
      <c r="M88" s="138"/>
      <c r="N88" s="139"/>
      <c r="O88" s="108"/>
      <c r="P88" s="138"/>
      <c r="Q88" s="139"/>
      <c r="R88" s="108"/>
    </row>
    <row r="89" spans="1:18" ht="72" customHeight="1">
      <c r="A89" s="141" t="s">
        <v>926</v>
      </c>
      <c r="B89" s="342" t="s">
        <v>997</v>
      </c>
      <c r="C89" s="142">
        <v>9000</v>
      </c>
      <c r="D89" s="143">
        <f>J89</f>
        <v>10000</v>
      </c>
      <c r="E89" s="143">
        <f>K89</f>
        <v>9979</v>
      </c>
      <c r="F89" s="184"/>
      <c r="G89" s="145"/>
      <c r="H89" s="146"/>
      <c r="I89" s="144"/>
      <c r="J89" s="145">
        <f>9000+1000</f>
        <v>10000</v>
      </c>
      <c r="K89" s="146">
        <v>9979</v>
      </c>
      <c r="L89" s="268"/>
      <c r="M89" s="145"/>
      <c r="N89" s="146"/>
      <c r="O89" s="144"/>
      <c r="P89" s="145"/>
      <c r="Q89" s="146"/>
      <c r="R89" s="144"/>
    </row>
    <row r="90" spans="1:18" s="189" customFormat="1" ht="16.5" customHeight="1">
      <c r="A90" s="135" t="s">
        <v>760</v>
      </c>
      <c r="B90" s="172" t="s">
        <v>233</v>
      </c>
      <c r="C90" s="137"/>
      <c r="D90" s="107">
        <f>D91</f>
        <v>51136</v>
      </c>
      <c r="E90" s="107">
        <f>E91</f>
        <v>51120</v>
      </c>
      <c r="F90" s="180"/>
      <c r="G90" s="249"/>
      <c r="H90" s="249"/>
      <c r="I90" s="108"/>
      <c r="J90" s="138"/>
      <c r="K90" s="139"/>
      <c r="L90" s="210"/>
      <c r="M90" s="138"/>
      <c r="N90" s="139"/>
      <c r="O90" s="108"/>
      <c r="P90" s="138">
        <f>P91</f>
        <v>51136</v>
      </c>
      <c r="Q90" s="139">
        <f>Q91</f>
        <v>51120</v>
      </c>
      <c r="R90" s="124">
        <f>Q90/P90*100</f>
        <v>99.96871088861077</v>
      </c>
    </row>
    <row r="91" spans="1:18" ht="84.75" customHeight="1" thickBot="1">
      <c r="A91" s="141" t="s">
        <v>985</v>
      </c>
      <c r="B91" s="342" t="s">
        <v>761</v>
      </c>
      <c r="C91" s="142"/>
      <c r="D91" s="143">
        <f>G91+J91+M91+P91</f>
        <v>51136</v>
      </c>
      <c r="E91" s="143">
        <f>H91+K91+N91+Q91</f>
        <v>51120</v>
      </c>
      <c r="F91" s="184"/>
      <c r="G91" s="546"/>
      <c r="H91" s="546"/>
      <c r="I91" s="144"/>
      <c r="J91" s="145"/>
      <c r="K91" s="146"/>
      <c r="L91" s="268"/>
      <c r="M91" s="145"/>
      <c r="N91" s="146"/>
      <c r="O91" s="144"/>
      <c r="P91" s="145">
        <v>51136</v>
      </c>
      <c r="Q91" s="146">
        <v>51120</v>
      </c>
      <c r="R91" s="129"/>
    </row>
    <row r="92" spans="1:18" s="232" customFormat="1" ht="93" customHeight="1" thickBot="1" thickTop="1">
      <c r="A92" s="100" t="s">
        <v>998</v>
      </c>
      <c r="B92" s="547" t="s">
        <v>999</v>
      </c>
      <c r="C92" s="105">
        <f>C93+C95+C103+C113+C126+C129+C132+C134</f>
        <v>169025968</v>
      </c>
      <c r="D92" s="103">
        <f>D93+D95+D103+D113+D126+D129+D132+D134</f>
        <v>170953575</v>
      </c>
      <c r="E92" s="103">
        <f>E93+E95+E103+E113+E124+E126+E129+E132+E134</f>
        <v>163933270</v>
      </c>
      <c r="F92" s="211">
        <f t="shared" si="8"/>
        <v>95.89344358548804</v>
      </c>
      <c r="G92" s="212">
        <f>G93+G95+G103+G113+G124+G126+G132+G134</f>
        <v>144794869</v>
      </c>
      <c r="H92" s="212">
        <f>H93+H95+H103+H113+H124+H126+H132+H134</f>
        <v>139887201</v>
      </c>
      <c r="I92" s="211">
        <f aca="true" t="shared" si="10" ref="I92:I155">H92/G92*100</f>
        <v>96.61060641589447</v>
      </c>
      <c r="J92" s="105"/>
      <c r="K92" s="103"/>
      <c r="L92" s="437"/>
      <c r="M92" s="105">
        <f>M93+M95+M103+M113+M126+M129</f>
        <v>26158706</v>
      </c>
      <c r="N92" s="103">
        <f>N113+N129</f>
        <v>24046069</v>
      </c>
      <c r="O92" s="211">
        <f>N92/M92*100</f>
        <v>91.92377099998754</v>
      </c>
      <c r="P92" s="105"/>
      <c r="Q92" s="103"/>
      <c r="R92" s="211"/>
    </row>
    <row r="93" spans="1:18" ht="36.75" thickTop="1">
      <c r="A93" s="119" t="s">
        <v>1000</v>
      </c>
      <c r="B93" s="120" t="s">
        <v>1001</v>
      </c>
      <c r="C93" s="121">
        <f>SUM(C94)</f>
        <v>460000</v>
      </c>
      <c r="D93" s="106">
        <f>D94</f>
        <v>460000</v>
      </c>
      <c r="E93" s="106">
        <f>SUM(E94:E94)</f>
        <v>455701</v>
      </c>
      <c r="F93" s="124">
        <f t="shared" si="8"/>
        <v>99.06543478260869</v>
      </c>
      <c r="G93" s="122">
        <f>G94</f>
        <v>460000</v>
      </c>
      <c r="H93" s="123">
        <f>SUM(H94:H94)</f>
        <v>455701</v>
      </c>
      <c r="I93" s="124">
        <f t="shared" si="10"/>
        <v>99.06543478260869</v>
      </c>
      <c r="J93" s="122"/>
      <c r="K93" s="123"/>
      <c r="L93" s="440"/>
      <c r="M93" s="122"/>
      <c r="N93" s="123"/>
      <c r="O93" s="124"/>
      <c r="P93" s="122"/>
      <c r="Q93" s="123"/>
      <c r="R93" s="124"/>
    </row>
    <row r="94" spans="1:18" s="209" customFormat="1" ht="47.25" customHeight="1">
      <c r="A94" s="141" t="s">
        <v>1002</v>
      </c>
      <c r="B94" s="190" t="s">
        <v>762</v>
      </c>
      <c r="C94" s="142">
        <v>460000</v>
      </c>
      <c r="D94" s="143">
        <f>G94+J94+M94+P94</f>
        <v>460000</v>
      </c>
      <c r="E94" s="143">
        <f>H94+K94+N94+Q94</f>
        <v>455701</v>
      </c>
      <c r="F94" s="144"/>
      <c r="G94" s="145">
        <v>460000</v>
      </c>
      <c r="H94" s="146">
        <v>455701</v>
      </c>
      <c r="I94" s="144"/>
      <c r="J94" s="145"/>
      <c r="K94" s="146"/>
      <c r="L94" s="165"/>
      <c r="M94" s="145"/>
      <c r="N94" s="146"/>
      <c r="O94" s="144"/>
      <c r="P94" s="145"/>
      <c r="Q94" s="146"/>
      <c r="R94" s="144"/>
    </row>
    <row r="95" spans="1:18" ht="68.25" customHeight="1">
      <c r="A95" s="214" t="s">
        <v>1003</v>
      </c>
      <c r="B95" s="215" t="s">
        <v>1004</v>
      </c>
      <c r="C95" s="137">
        <f>SUM(C96:C101)</f>
        <v>31534898</v>
      </c>
      <c r="D95" s="107">
        <f>SUM(D96:D101)</f>
        <v>33634898</v>
      </c>
      <c r="E95" s="107">
        <f>SUM(E96:E102)</f>
        <v>35714012</v>
      </c>
      <c r="F95" s="108">
        <f t="shared" si="8"/>
        <v>106.1814190725359</v>
      </c>
      <c r="G95" s="138">
        <f>SUM(G96:G101)</f>
        <v>33634898</v>
      </c>
      <c r="H95" s="139">
        <f>SUM(H96:H102)</f>
        <v>35714012</v>
      </c>
      <c r="I95" s="108">
        <f t="shared" si="10"/>
        <v>106.1814190725359</v>
      </c>
      <c r="J95" s="138"/>
      <c r="K95" s="139"/>
      <c r="L95" s="398"/>
      <c r="M95" s="138"/>
      <c r="N95" s="139"/>
      <c r="O95" s="108"/>
      <c r="P95" s="138"/>
      <c r="Q95" s="139"/>
      <c r="R95" s="108"/>
    </row>
    <row r="96" spans="1:18" ht="15" customHeight="1">
      <c r="A96" s="141" t="s">
        <v>1005</v>
      </c>
      <c r="B96" s="190" t="s">
        <v>225</v>
      </c>
      <c r="C96" s="142">
        <v>28959207</v>
      </c>
      <c r="D96" s="143">
        <f aca="true" t="shared" si="11" ref="D96:E102">G96+J96+M96+P96</f>
        <v>30959207</v>
      </c>
      <c r="E96" s="143">
        <f t="shared" si="11"/>
        <v>33038211</v>
      </c>
      <c r="F96" s="144">
        <f t="shared" si="8"/>
        <v>106.71530120264386</v>
      </c>
      <c r="G96" s="191">
        <f>28959207+2000000</f>
        <v>30959207</v>
      </c>
      <c r="H96" s="146">
        <v>33038211</v>
      </c>
      <c r="I96" s="144">
        <f t="shared" si="10"/>
        <v>106.71530120264386</v>
      </c>
      <c r="J96" s="145"/>
      <c r="K96" s="146"/>
      <c r="L96" s="165"/>
      <c r="M96" s="145"/>
      <c r="N96" s="146"/>
      <c r="O96" s="144"/>
      <c r="P96" s="145"/>
      <c r="Q96" s="146"/>
      <c r="R96" s="144"/>
    </row>
    <row r="97" spans="1:18" ht="14.25" customHeight="1">
      <c r="A97" s="127" t="s">
        <v>1006</v>
      </c>
      <c r="B97" s="153" t="s">
        <v>1007</v>
      </c>
      <c r="C97" s="128">
        <v>36376</v>
      </c>
      <c r="D97" s="93">
        <f t="shared" si="11"/>
        <v>36376</v>
      </c>
      <c r="E97" s="93">
        <f t="shared" si="11"/>
        <v>42481</v>
      </c>
      <c r="F97" s="129">
        <f t="shared" si="8"/>
        <v>116.78304376511986</v>
      </c>
      <c r="G97" s="187">
        <v>36376</v>
      </c>
      <c r="H97" s="21">
        <v>42481</v>
      </c>
      <c r="I97" s="129">
        <f t="shared" si="10"/>
        <v>116.78304376511986</v>
      </c>
      <c r="J97" s="22"/>
      <c r="K97" s="21"/>
      <c r="L97" s="148"/>
      <c r="M97" s="22"/>
      <c r="N97" s="21"/>
      <c r="O97" s="129"/>
      <c r="P97" s="22"/>
      <c r="Q97" s="21"/>
      <c r="R97" s="129"/>
    </row>
    <row r="98" spans="1:18" ht="14.25" customHeight="1">
      <c r="A98" s="127" t="s">
        <v>1008</v>
      </c>
      <c r="B98" s="153" t="s">
        <v>1009</v>
      </c>
      <c r="C98" s="128">
        <v>44865</v>
      </c>
      <c r="D98" s="93">
        <f t="shared" si="11"/>
        <v>44865</v>
      </c>
      <c r="E98" s="93">
        <f t="shared" si="11"/>
        <v>47415</v>
      </c>
      <c r="F98" s="129">
        <f t="shared" si="8"/>
        <v>105.68371782012704</v>
      </c>
      <c r="G98" s="187">
        <v>44865</v>
      </c>
      <c r="H98" s="21">
        <v>47415</v>
      </c>
      <c r="I98" s="129">
        <f t="shared" si="10"/>
        <v>105.68371782012704</v>
      </c>
      <c r="J98" s="22"/>
      <c r="K98" s="21"/>
      <c r="L98" s="148"/>
      <c r="M98" s="22"/>
      <c r="N98" s="21"/>
      <c r="O98" s="129"/>
      <c r="P98" s="22"/>
      <c r="Q98" s="21"/>
      <c r="R98" s="129"/>
    </row>
    <row r="99" spans="1:18" ht="24">
      <c r="A99" s="127" t="s">
        <v>1010</v>
      </c>
      <c r="B99" s="153" t="s">
        <v>1011</v>
      </c>
      <c r="C99" s="128">
        <v>1494450</v>
      </c>
      <c r="D99" s="93">
        <f t="shared" si="11"/>
        <v>1494450</v>
      </c>
      <c r="E99" s="93">
        <f t="shared" si="11"/>
        <v>1596479</v>
      </c>
      <c r="F99" s="129">
        <f t="shared" si="8"/>
        <v>106.82719395095187</v>
      </c>
      <c r="G99" s="187">
        <v>1494450</v>
      </c>
      <c r="H99" s="21">
        <v>1596479</v>
      </c>
      <c r="I99" s="129">
        <f t="shared" si="10"/>
        <v>106.82719395095187</v>
      </c>
      <c r="J99" s="22"/>
      <c r="K99" s="21"/>
      <c r="L99" s="148"/>
      <c r="M99" s="22"/>
      <c r="N99" s="21"/>
      <c r="O99" s="129"/>
      <c r="P99" s="22"/>
      <c r="Q99" s="21"/>
      <c r="R99" s="129"/>
    </row>
    <row r="100" spans="1:18" s="209" customFormat="1" ht="13.5" customHeight="1">
      <c r="A100" s="131" t="s">
        <v>1012</v>
      </c>
      <c r="B100" s="186" t="s">
        <v>1013</v>
      </c>
      <c r="C100" s="132">
        <v>600000</v>
      </c>
      <c r="D100" s="133">
        <f t="shared" si="11"/>
        <v>700000</v>
      </c>
      <c r="E100" s="133">
        <f t="shared" si="11"/>
        <v>619731</v>
      </c>
      <c r="F100" s="118">
        <f t="shared" si="8"/>
        <v>88.533</v>
      </c>
      <c r="G100" s="188">
        <f>600000+100000</f>
        <v>700000</v>
      </c>
      <c r="H100" s="35">
        <v>619731</v>
      </c>
      <c r="I100" s="118">
        <f t="shared" si="10"/>
        <v>88.533</v>
      </c>
      <c r="J100" s="34"/>
      <c r="K100" s="35"/>
      <c r="L100" s="441"/>
      <c r="M100" s="34"/>
      <c r="N100" s="35"/>
      <c r="O100" s="118"/>
      <c r="P100" s="34"/>
      <c r="Q100" s="35"/>
      <c r="R100" s="118"/>
    </row>
    <row r="101" spans="1:18" s="209" customFormat="1" ht="24" customHeight="1">
      <c r="A101" s="127" t="s">
        <v>1014</v>
      </c>
      <c r="B101" s="153" t="s">
        <v>1015</v>
      </c>
      <c r="C101" s="128">
        <v>400000</v>
      </c>
      <c r="D101" s="93">
        <f t="shared" si="11"/>
        <v>400000</v>
      </c>
      <c r="E101" s="93">
        <f t="shared" si="11"/>
        <v>369336</v>
      </c>
      <c r="F101" s="129">
        <f t="shared" si="8"/>
        <v>92.334</v>
      </c>
      <c r="G101" s="187">
        <v>400000</v>
      </c>
      <c r="H101" s="21">
        <v>369336</v>
      </c>
      <c r="I101" s="129">
        <f t="shared" si="10"/>
        <v>92.334</v>
      </c>
      <c r="J101" s="22"/>
      <c r="K101" s="21"/>
      <c r="L101" s="148"/>
      <c r="M101" s="22"/>
      <c r="N101" s="21"/>
      <c r="O101" s="129"/>
      <c r="P101" s="22"/>
      <c r="Q101" s="21"/>
      <c r="R101" s="129"/>
    </row>
    <row r="102" spans="1:18" s="209" customFormat="1" ht="15.75" customHeight="1">
      <c r="A102" s="131" t="s">
        <v>939</v>
      </c>
      <c r="B102" s="186" t="s">
        <v>959</v>
      </c>
      <c r="C102" s="132"/>
      <c r="D102" s="133"/>
      <c r="E102" s="133">
        <f t="shared" si="11"/>
        <v>359</v>
      </c>
      <c r="F102" s="118"/>
      <c r="G102" s="188"/>
      <c r="H102" s="35">
        <v>359</v>
      </c>
      <c r="I102" s="118"/>
      <c r="J102" s="34"/>
      <c r="K102" s="35"/>
      <c r="L102" s="441"/>
      <c r="M102" s="34"/>
      <c r="N102" s="35"/>
      <c r="O102" s="118"/>
      <c r="P102" s="34"/>
      <c r="Q102" s="35"/>
      <c r="R102" s="118"/>
    </row>
    <row r="103" spans="1:18" ht="63" customHeight="1">
      <c r="A103" s="214" t="s">
        <v>1016</v>
      </c>
      <c r="B103" s="215" t="s">
        <v>1017</v>
      </c>
      <c r="C103" s="137">
        <f>SUM(C104:C112)</f>
        <v>17725063</v>
      </c>
      <c r="D103" s="107">
        <f>SUM(D104:D112)</f>
        <v>16875063</v>
      </c>
      <c r="E103" s="107">
        <f>SUM(E104:E112)</f>
        <v>16818100</v>
      </c>
      <c r="F103" s="108">
        <f t="shared" si="8"/>
        <v>99.66244274169524</v>
      </c>
      <c r="G103" s="138">
        <f>SUM(G104:G112)</f>
        <v>16875063</v>
      </c>
      <c r="H103" s="139">
        <f>SUM(H104:H112)</f>
        <v>16818100</v>
      </c>
      <c r="I103" s="108">
        <f t="shared" si="10"/>
        <v>99.66244274169524</v>
      </c>
      <c r="J103" s="138"/>
      <c r="K103" s="139"/>
      <c r="L103" s="398"/>
      <c r="M103" s="138"/>
      <c r="N103" s="139"/>
      <c r="O103" s="108"/>
      <c r="P103" s="138"/>
      <c r="Q103" s="139"/>
      <c r="R103" s="108"/>
    </row>
    <row r="104" spans="1:18" ht="15" customHeight="1">
      <c r="A104" s="141" t="s">
        <v>1005</v>
      </c>
      <c r="B104" s="190" t="s">
        <v>225</v>
      </c>
      <c r="C104" s="142">
        <v>8668999</v>
      </c>
      <c r="D104" s="143">
        <f aca="true" t="shared" si="12" ref="D104:E112">G104+J104+M104+P104</f>
        <v>8668999</v>
      </c>
      <c r="E104" s="143">
        <f t="shared" si="12"/>
        <v>8630711</v>
      </c>
      <c r="F104" s="144">
        <f t="shared" si="8"/>
        <v>99.55833424366527</v>
      </c>
      <c r="G104" s="145">
        <v>8668999</v>
      </c>
      <c r="H104" s="146">
        <v>8630711</v>
      </c>
      <c r="I104" s="129">
        <f t="shared" si="10"/>
        <v>99.55833424366527</v>
      </c>
      <c r="J104" s="163"/>
      <c r="K104" s="164"/>
      <c r="L104" s="165"/>
      <c r="M104" s="163"/>
      <c r="N104" s="164"/>
      <c r="O104" s="144"/>
      <c r="P104" s="163"/>
      <c r="Q104" s="164"/>
      <c r="R104" s="144"/>
    </row>
    <row r="105" spans="1:18" ht="15" customHeight="1">
      <c r="A105" s="127" t="s">
        <v>1006</v>
      </c>
      <c r="B105" s="153" t="s">
        <v>1007</v>
      </c>
      <c r="C105" s="128">
        <v>689930</v>
      </c>
      <c r="D105" s="93">
        <f t="shared" si="12"/>
        <v>689930</v>
      </c>
      <c r="E105" s="93">
        <f t="shared" si="12"/>
        <v>728634</v>
      </c>
      <c r="F105" s="129">
        <f t="shared" si="8"/>
        <v>105.60984447697592</v>
      </c>
      <c r="G105" s="22">
        <v>689930</v>
      </c>
      <c r="H105" s="21">
        <v>728634</v>
      </c>
      <c r="I105" s="129">
        <f t="shared" si="10"/>
        <v>105.60984447697592</v>
      </c>
      <c r="J105" s="33"/>
      <c r="K105" s="147"/>
      <c r="L105" s="148"/>
      <c r="M105" s="33"/>
      <c r="N105" s="147"/>
      <c r="O105" s="129"/>
      <c r="P105" s="33"/>
      <c r="Q105" s="147"/>
      <c r="R105" s="129"/>
    </row>
    <row r="106" spans="1:18" s="209" customFormat="1" ht="14.25" customHeight="1">
      <c r="A106" s="127" t="s">
        <v>1008</v>
      </c>
      <c r="B106" s="153" t="s">
        <v>1009</v>
      </c>
      <c r="C106" s="128">
        <v>262</v>
      </c>
      <c r="D106" s="93">
        <f t="shared" si="12"/>
        <v>262</v>
      </c>
      <c r="E106" s="93">
        <f t="shared" si="12"/>
        <v>236</v>
      </c>
      <c r="F106" s="129">
        <f t="shared" si="8"/>
        <v>90.07633587786259</v>
      </c>
      <c r="G106" s="22">
        <v>262</v>
      </c>
      <c r="H106" s="21">
        <v>236</v>
      </c>
      <c r="I106" s="129">
        <f t="shared" si="10"/>
        <v>90.07633587786259</v>
      </c>
      <c r="J106" s="33"/>
      <c r="K106" s="147"/>
      <c r="L106" s="148"/>
      <c r="M106" s="33"/>
      <c r="N106" s="147"/>
      <c r="O106" s="129"/>
      <c r="P106" s="33"/>
      <c r="Q106" s="147"/>
      <c r="R106" s="129"/>
    </row>
    <row r="107" spans="1:18" s="209" customFormat="1" ht="21" customHeight="1">
      <c r="A107" s="127" t="s">
        <v>1010</v>
      </c>
      <c r="B107" s="153" t="s">
        <v>1011</v>
      </c>
      <c r="C107" s="128">
        <v>749100</v>
      </c>
      <c r="D107" s="93">
        <f t="shared" si="12"/>
        <v>749100</v>
      </c>
      <c r="E107" s="93">
        <f t="shared" si="12"/>
        <v>723859</v>
      </c>
      <c r="F107" s="129">
        <f t="shared" si="8"/>
        <v>96.63048992123882</v>
      </c>
      <c r="G107" s="22">
        <v>749100</v>
      </c>
      <c r="H107" s="21">
        <v>723859</v>
      </c>
      <c r="I107" s="129">
        <f t="shared" si="10"/>
        <v>96.63048992123882</v>
      </c>
      <c r="J107" s="33"/>
      <c r="K107" s="147"/>
      <c r="L107" s="148"/>
      <c r="M107" s="33"/>
      <c r="N107" s="147"/>
      <c r="O107" s="129"/>
      <c r="P107" s="33"/>
      <c r="Q107" s="147"/>
      <c r="R107" s="129"/>
    </row>
    <row r="108" spans="1:18" s="209" customFormat="1" ht="19.5" customHeight="1">
      <c r="A108" s="127" t="s">
        <v>1018</v>
      </c>
      <c r="B108" s="153" t="s">
        <v>1019</v>
      </c>
      <c r="C108" s="128">
        <v>450000</v>
      </c>
      <c r="D108" s="93">
        <f t="shared" si="12"/>
        <v>600000</v>
      </c>
      <c r="E108" s="93">
        <f t="shared" si="12"/>
        <v>1061441</v>
      </c>
      <c r="F108" s="129">
        <f t="shared" si="8"/>
        <v>176.90683333333334</v>
      </c>
      <c r="G108" s="22">
        <f>450000+150000</f>
        <v>600000</v>
      </c>
      <c r="H108" s="21">
        <v>1061441</v>
      </c>
      <c r="I108" s="129">
        <f t="shared" si="10"/>
        <v>176.90683333333334</v>
      </c>
      <c r="J108" s="33"/>
      <c r="K108" s="147"/>
      <c r="L108" s="148"/>
      <c r="M108" s="33"/>
      <c r="N108" s="147"/>
      <c r="O108" s="129"/>
      <c r="P108" s="33"/>
      <c r="Q108" s="147"/>
      <c r="R108" s="129"/>
    </row>
    <row r="109" spans="1:18" s="209" customFormat="1" ht="15" customHeight="1">
      <c r="A109" s="127" t="s">
        <v>1012</v>
      </c>
      <c r="B109" s="153" t="s">
        <v>1013</v>
      </c>
      <c r="C109" s="128">
        <v>200000</v>
      </c>
      <c r="D109" s="93">
        <f t="shared" si="12"/>
        <v>200000</v>
      </c>
      <c r="E109" s="93">
        <f t="shared" si="12"/>
        <v>145238</v>
      </c>
      <c r="F109" s="129">
        <f t="shared" si="8"/>
        <v>72.619</v>
      </c>
      <c r="G109" s="22">
        <v>200000</v>
      </c>
      <c r="H109" s="21">
        <v>145238</v>
      </c>
      <c r="I109" s="129">
        <f t="shared" si="10"/>
        <v>72.619</v>
      </c>
      <c r="J109" s="33"/>
      <c r="K109" s="147"/>
      <c r="L109" s="148"/>
      <c r="M109" s="33"/>
      <c r="N109" s="147"/>
      <c r="O109" s="129"/>
      <c r="P109" s="33"/>
      <c r="Q109" s="147"/>
      <c r="R109" s="129"/>
    </row>
    <row r="110" spans="1:18" s="209" customFormat="1" ht="24">
      <c r="A110" s="127" t="s">
        <v>1014</v>
      </c>
      <c r="B110" s="153" t="s">
        <v>1015</v>
      </c>
      <c r="C110" s="128">
        <v>6400000</v>
      </c>
      <c r="D110" s="93">
        <f t="shared" si="12"/>
        <v>5400000</v>
      </c>
      <c r="E110" s="93">
        <f t="shared" si="12"/>
        <v>5112031</v>
      </c>
      <c r="F110" s="129">
        <f t="shared" si="8"/>
        <v>94.66724074074074</v>
      </c>
      <c r="G110" s="22">
        <f>6400000-1000000</f>
        <v>5400000</v>
      </c>
      <c r="H110" s="21">
        <v>5112031</v>
      </c>
      <c r="I110" s="129">
        <f t="shared" si="10"/>
        <v>94.66724074074074</v>
      </c>
      <c r="J110" s="33"/>
      <c r="K110" s="147"/>
      <c r="L110" s="148"/>
      <c r="M110" s="33"/>
      <c r="N110" s="147"/>
      <c r="O110" s="129"/>
      <c r="P110" s="33"/>
      <c r="Q110" s="147"/>
      <c r="R110" s="129"/>
    </row>
    <row r="111" spans="1:18" s="209" customFormat="1" ht="26.25" customHeight="1">
      <c r="A111" s="127" t="s">
        <v>1020</v>
      </c>
      <c r="B111" s="153" t="s">
        <v>1021</v>
      </c>
      <c r="C111" s="128"/>
      <c r="D111" s="93"/>
      <c r="E111" s="93">
        <f t="shared" si="12"/>
        <v>70</v>
      </c>
      <c r="F111" s="129"/>
      <c r="G111" s="22"/>
      <c r="H111" s="21">
        <v>70</v>
      </c>
      <c r="I111" s="129"/>
      <c r="J111" s="33"/>
      <c r="K111" s="147"/>
      <c r="L111" s="148"/>
      <c r="M111" s="33"/>
      <c r="N111" s="147"/>
      <c r="O111" s="129"/>
      <c r="P111" s="33"/>
      <c r="Q111" s="147"/>
      <c r="R111" s="129"/>
    </row>
    <row r="112" spans="1:18" ht="50.25" customHeight="1">
      <c r="A112" s="131" t="s">
        <v>1022</v>
      </c>
      <c r="B112" s="186" t="s">
        <v>1023</v>
      </c>
      <c r="C112" s="132">
        <v>566772</v>
      </c>
      <c r="D112" s="93">
        <f t="shared" si="12"/>
        <v>566772</v>
      </c>
      <c r="E112" s="133">
        <f>H112+K112+N112+Q112</f>
        <v>415880</v>
      </c>
      <c r="F112" s="118">
        <f t="shared" si="8"/>
        <v>73.37694875540782</v>
      </c>
      <c r="G112" s="34">
        <v>566772</v>
      </c>
      <c r="H112" s="35">
        <v>415880</v>
      </c>
      <c r="I112" s="118">
        <f t="shared" si="10"/>
        <v>73.37694875540782</v>
      </c>
      <c r="J112" s="149"/>
      <c r="K112" s="150"/>
      <c r="L112" s="441"/>
      <c r="M112" s="149"/>
      <c r="N112" s="150"/>
      <c r="O112" s="118"/>
      <c r="P112" s="149"/>
      <c r="Q112" s="150"/>
      <c r="R112" s="118"/>
    </row>
    <row r="113" spans="1:18" ht="36.75" customHeight="1">
      <c r="A113" s="135" t="s">
        <v>1024</v>
      </c>
      <c r="B113" s="136" t="s">
        <v>1025</v>
      </c>
      <c r="C113" s="216">
        <f>SUM(C114:C118)</f>
        <v>8064000</v>
      </c>
      <c r="D113" s="139">
        <f>SUM(D114:D118)</f>
        <v>7864000</v>
      </c>
      <c r="E113" s="139">
        <f>SUM(E114:E118)</f>
        <v>7981359</v>
      </c>
      <c r="F113" s="108">
        <f t="shared" si="8"/>
        <v>101.49235757884027</v>
      </c>
      <c r="G113" s="138">
        <f>SUM(G114:G118)</f>
        <v>5434000</v>
      </c>
      <c r="H113" s="139">
        <f>SUM(H114:H118)</f>
        <v>5912095</v>
      </c>
      <c r="I113" s="108">
        <f t="shared" si="10"/>
        <v>108.79821494295179</v>
      </c>
      <c r="J113" s="138"/>
      <c r="K113" s="139"/>
      <c r="L113" s="398"/>
      <c r="M113" s="138">
        <f>SUM(M114:M118)</f>
        <v>2430000</v>
      </c>
      <c r="N113" s="139">
        <f>SUM(N114:N118)</f>
        <v>2069264</v>
      </c>
      <c r="O113" s="108">
        <f>N113/M113*100</f>
        <v>85.15489711934157</v>
      </c>
      <c r="P113" s="138"/>
      <c r="Q113" s="139"/>
      <c r="R113" s="108"/>
    </row>
    <row r="114" spans="1:18" ht="14.25" customHeight="1">
      <c r="A114" s="141" t="s">
        <v>1026</v>
      </c>
      <c r="B114" s="190" t="s">
        <v>1027</v>
      </c>
      <c r="C114" s="142">
        <v>3100000</v>
      </c>
      <c r="D114" s="143">
        <f>G114+J114+M114+P114</f>
        <v>2900000</v>
      </c>
      <c r="E114" s="143">
        <f>H114+K114+N114+Q114</f>
        <v>2751142</v>
      </c>
      <c r="F114" s="144">
        <f t="shared" si="8"/>
        <v>94.86696551724137</v>
      </c>
      <c r="G114" s="145">
        <f>3100000-200000</f>
        <v>2900000</v>
      </c>
      <c r="H114" s="146">
        <v>2751142</v>
      </c>
      <c r="I114" s="144">
        <f t="shared" si="10"/>
        <v>94.86696551724137</v>
      </c>
      <c r="J114" s="145"/>
      <c r="K114" s="146"/>
      <c r="L114" s="165"/>
      <c r="M114" s="145"/>
      <c r="N114" s="146"/>
      <c r="O114" s="144"/>
      <c r="P114" s="145"/>
      <c r="Q114" s="146"/>
      <c r="R114" s="144"/>
    </row>
    <row r="115" spans="1:18" ht="26.25" customHeight="1">
      <c r="A115" s="127" t="s">
        <v>978</v>
      </c>
      <c r="B115" s="153" t="s">
        <v>979</v>
      </c>
      <c r="C115" s="128">
        <v>2400000</v>
      </c>
      <c r="D115" s="93">
        <f>G115+J115+M115+P115</f>
        <v>2400000</v>
      </c>
      <c r="E115" s="93">
        <f>H115+K115+N115+Q115</f>
        <v>1999795</v>
      </c>
      <c r="F115" s="129">
        <f>E115/D115*100</f>
        <v>83.32479166666667</v>
      </c>
      <c r="G115" s="22"/>
      <c r="H115" s="21"/>
      <c r="I115" s="129"/>
      <c r="J115" s="22"/>
      <c r="K115" s="21"/>
      <c r="L115" s="148"/>
      <c r="M115" s="22">
        <v>2400000</v>
      </c>
      <c r="N115" s="21">
        <v>1999795</v>
      </c>
      <c r="O115" s="129">
        <f>N115/M115*100</f>
        <v>83.32479166666667</v>
      </c>
      <c r="P115" s="22"/>
      <c r="Q115" s="21"/>
      <c r="R115" s="129"/>
    </row>
    <row r="116" spans="1:18" ht="26.25" customHeight="1">
      <c r="A116" s="131" t="s">
        <v>362</v>
      </c>
      <c r="B116" s="186" t="s">
        <v>363</v>
      </c>
      <c r="C116" s="132"/>
      <c r="D116" s="133"/>
      <c r="E116" s="133">
        <f>H116</f>
        <v>653</v>
      </c>
      <c r="F116" s="118"/>
      <c r="G116" s="34"/>
      <c r="H116" s="35">
        <v>653</v>
      </c>
      <c r="I116" s="118"/>
      <c r="J116" s="34"/>
      <c r="K116" s="35"/>
      <c r="L116" s="441"/>
      <c r="M116" s="34"/>
      <c r="N116" s="35"/>
      <c r="O116" s="118"/>
      <c r="P116" s="34"/>
      <c r="Q116" s="35"/>
      <c r="R116" s="118"/>
    </row>
    <row r="117" spans="1:18" s="209" customFormat="1" ht="27" customHeight="1">
      <c r="A117" s="127" t="s">
        <v>1028</v>
      </c>
      <c r="B117" s="153" t="s">
        <v>1029</v>
      </c>
      <c r="C117" s="128">
        <v>2000000</v>
      </c>
      <c r="D117" s="93">
        <f aca="true" t="shared" si="13" ref="D117:E119">G117+J117+M117+P117</f>
        <v>2000000</v>
      </c>
      <c r="E117" s="93">
        <f t="shared" si="13"/>
        <v>2432738</v>
      </c>
      <c r="F117" s="129">
        <f t="shared" si="8"/>
        <v>121.6369</v>
      </c>
      <c r="G117" s="22">
        <v>2000000</v>
      </c>
      <c r="H117" s="21">
        <v>2432738</v>
      </c>
      <c r="I117" s="129">
        <f t="shared" si="10"/>
        <v>121.6369</v>
      </c>
      <c r="J117" s="22"/>
      <c r="K117" s="21"/>
      <c r="L117" s="148"/>
      <c r="M117" s="22"/>
      <c r="N117" s="21"/>
      <c r="O117" s="129"/>
      <c r="P117" s="22"/>
      <c r="Q117" s="21"/>
      <c r="R117" s="129"/>
    </row>
    <row r="118" spans="1:18" s="209" customFormat="1" ht="61.5" customHeight="1">
      <c r="A118" s="127" t="s">
        <v>1030</v>
      </c>
      <c r="B118" s="153" t="s">
        <v>8</v>
      </c>
      <c r="C118" s="128">
        <f>SUM(C119:C123)</f>
        <v>564000</v>
      </c>
      <c r="D118" s="93">
        <f t="shared" si="13"/>
        <v>564000</v>
      </c>
      <c r="E118" s="93">
        <f t="shared" si="13"/>
        <v>797031</v>
      </c>
      <c r="F118" s="129">
        <f t="shared" si="8"/>
        <v>141.31755319148937</v>
      </c>
      <c r="G118" s="22">
        <f>SUM(G119:G123)</f>
        <v>534000</v>
      </c>
      <c r="H118" s="147">
        <v>727562</v>
      </c>
      <c r="I118" s="129">
        <f t="shared" si="10"/>
        <v>136.24756554307115</v>
      </c>
      <c r="J118" s="22"/>
      <c r="K118" s="21"/>
      <c r="L118" s="148"/>
      <c r="M118" s="22">
        <f>M119</f>
        <v>30000</v>
      </c>
      <c r="N118" s="21">
        <v>69469</v>
      </c>
      <c r="O118" s="129">
        <f>N118/M118*100</f>
        <v>231.56333333333333</v>
      </c>
      <c r="P118" s="22"/>
      <c r="Q118" s="21"/>
      <c r="R118" s="129"/>
    </row>
    <row r="119" spans="1:18" s="354" customFormat="1" ht="48" customHeight="1">
      <c r="A119" s="349"/>
      <c r="B119" s="350" t="s">
        <v>9</v>
      </c>
      <c r="C119" s="327">
        <v>32000</v>
      </c>
      <c r="D119" s="280">
        <f t="shared" si="13"/>
        <v>32000</v>
      </c>
      <c r="E119" s="280">
        <f t="shared" si="13"/>
        <v>84261</v>
      </c>
      <c r="F119" s="339">
        <f t="shared" si="8"/>
        <v>263.315625</v>
      </c>
      <c r="G119" s="351">
        <v>2000</v>
      </c>
      <c r="H119" s="352">
        <f>6785+8007</f>
        <v>14792</v>
      </c>
      <c r="I119" s="442">
        <f t="shared" si="10"/>
        <v>739.6</v>
      </c>
      <c r="J119" s="351"/>
      <c r="K119" s="353"/>
      <c r="L119" s="333"/>
      <c r="M119" s="351">
        <v>30000</v>
      </c>
      <c r="N119" s="353">
        <v>69469</v>
      </c>
      <c r="O119" s="339"/>
      <c r="P119" s="351"/>
      <c r="Q119" s="353"/>
      <c r="R119" s="339"/>
    </row>
    <row r="120" spans="1:18" s="354" customFormat="1" ht="27" customHeight="1">
      <c r="A120" s="349"/>
      <c r="B120" s="350" t="s">
        <v>10</v>
      </c>
      <c r="C120" s="327">
        <v>180000</v>
      </c>
      <c r="D120" s="280">
        <f aca="true" t="shared" si="14" ref="D120:E123">G120</f>
        <v>180000</v>
      </c>
      <c r="E120" s="280">
        <f t="shared" si="14"/>
        <v>28500</v>
      </c>
      <c r="F120" s="339">
        <f t="shared" si="8"/>
        <v>15.833333333333332</v>
      </c>
      <c r="G120" s="351">
        <v>180000</v>
      </c>
      <c r="H120" s="352">
        <v>28500</v>
      </c>
      <c r="I120" s="442">
        <f t="shared" si="10"/>
        <v>15.833333333333332</v>
      </c>
      <c r="J120" s="351"/>
      <c r="K120" s="353"/>
      <c r="L120" s="333"/>
      <c r="M120" s="351"/>
      <c r="N120" s="353"/>
      <c r="O120" s="339"/>
      <c r="P120" s="351"/>
      <c r="Q120" s="353"/>
      <c r="R120" s="339"/>
    </row>
    <row r="121" spans="1:18" s="354" customFormat="1" ht="14.25" customHeight="1">
      <c r="A121" s="349"/>
      <c r="B121" s="350" t="s">
        <v>11</v>
      </c>
      <c r="C121" s="327">
        <v>2000</v>
      </c>
      <c r="D121" s="280">
        <f t="shared" si="14"/>
        <v>2000</v>
      </c>
      <c r="E121" s="280">
        <f t="shared" si="14"/>
        <v>18578</v>
      </c>
      <c r="F121" s="339">
        <f t="shared" si="8"/>
        <v>928.9</v>
      </c>
      <c r="G121" s="351">
        <v>2000</v>
      </c>
      <c r="H121" s="352">
        <v>18578</v>
      </c>
      <c r="I121" s="442">
        <f t="shared" si="10"/>
        <v>928.9</v>
      </c>
      <c r="J121" s="351"/>
      <c r="K121" s="353"/>
      <c r="L121" s="333"/>
      <c r="M121" s="351"/>
      <c r="N121" s="353"/>
      <c r="O121" s="339"/>
      <c r="P121" s="351"/>
      <c r="Q121" s="353"/>
      <c r="R121" s="339"/>
    </row>
    <row r="122" spans="1:18" s="354" customFormat="1" ht="14.25" customHeight="1">
      <c r="A122" s="349"/>
      <c r="B122" s="350" t="s">
        <v>12</v>
      </c>
      <c r="C122" s="327">
        <v>150000</v>
      </c>
      <c r="D122" s="280">
        <f t="shared" si="14"/>
        <v>150000</v>
      </c>
      <c r="E122" s="280">
        <f t="shared" si="14"/>
        <v>494397</v>
      </c>
      <c r="F122" s="339">
        <f t="shared" si="8"/>
        <v>329.598</v>
      </c>
      <c r="G122" s="351">
        <v>150000</v>
      </c>
      <c r="H122" s="352">
        <f>363758+130639</f>
        <v>494397</v>
      </c>
      <c r="I122" s="442">
        <f t="shared" si="10"/>
        <v>329.598</v>
      </c>
      <c r="J122" s="351"/>
      <c r="K122" s="353"/>
      <c r="L122" s="333"/>
      <c r="M122" s="351"/>
      <c r="N122" s="353"/>
      <c r="O122" s="339"/>
      <c r="P122" s="351"/>
      <c r="Q122" s="353"/>
      <c r="R122" s="339"/>
    </row>
    <row r="123" spans="1:18" s="354" customFormat="1" ht="17.25" customHeight="1">
      <c r="A123" s="548"/>
      <c r="B123" s="549" t="s">
        <v>13</v>
      </c>
      <c r="C123" s="550">
        <v>200000</v>
      </c>
      <c r="D123" s="551">
        <f t="shared" si="14"/>
        <v>200000</v>
      </c>
      <c r="E123" s="551">
        <f t="shared" si="14"/>
        <v>171295</v>
      </c>
      <c r="F123" s="532">
        <f t="shared" si="8"/>
        <v>85.6475</v>
      </c>
      <c r="G123" s="552">
        <v>200000</v>
      </c>
      <c r="H123" s="553">
        <f>141295+30000</f>
        <v>171295</v>
      </c>
      <c r="I123" s="554">
        <f t="shared" si="10"/>
        <v>85.6475</v>
      </c>
      <c r="J123" s="552"/>
      <c r="K123" s="555"/>
      <c r="L123" s="332"/>
      <c r="M123" s="552"/>
      <c r="N123" s="555"/>
      <c r="O123" s="532"/>
      <c r="P123" s="552"/>
      <c r="Q123" s="555"/>
      <c r="R123" s="532"/>
    </row>
    <row r="124" spans="1:18" s="189" customFormat="1" ht="22.5" customHeight="1">
      <c r="A124" s="135" t="s">
        <v>1031</v>
      </c>
      <c r="B124" s="136" t="s">
        <v>1032</v>
      </c>
      <c r="C124" s="137"/>
      <c r="D124" s="173"/>
      <c r="E124" s="173">
        <f>H124+K124+N124+Q124</f>
        <v>63109</v>
      </c>
      <c r="F124" s="108"/>
      <c r="G124" s="138"/>
      <c r="H124" s="139">
        <f>H125</f>
        <v>63109</v>
      </c>
      <c r="I124" s="108"/>
      <c r="J124" s="138"/>
      <c r="K124" s="139"/>
      <c r="L124" s="398"/>
      <c r="M124" s="138"/>
      <c r="N124" s="139"/>
      <c r="O124" s="108"/>
      <c r="P124" s="138"/>
      <c r="Q124" s="139"/>
      <c r="R124" s="108"/>
    </row>
    <row r="125" spans="1:18" ht="21.75" customHeight="1">
      <c r="A125" s="131" t="s">
        <v>1033</v>
      </c>
      <c r="B125" s="186" t="s">
        <v>1034</v>
      </c>
      <c r="C125" s="132"/>
      <c r="D125" s="217"/>
      <c r="E125" s="133">
        <f>H125+K125+N125+Q125</f>
        <v>63109</v>
      </c>
      <c r="F125" s="118"/>
      <c r="G125" s="34"/>
      <c r="H125" s="35">
        <v>63109</v>
      </c>
      <c r="I125" s="118"/>
      <c r="J125" s="34"/>
      <c r="K125" s="35"/>
      <c r="L125" s="441"/>
      <c r="M125" s="34"/>
      <c r="N125" s="35"/>
      <c r="O125" s="118"/>
      <c r="P125" s="34"/>
      <c r="Q125" s="35"/>
      <c r="R125" s="118"/>
    </row>
    <row r="126" spans="1:18" ht="48">
      <c r="A126" s="135" t="s">
        <v>1035</v>
      </c>
      <c r="B126" s="136" t="s">
        <v>1036</v>
      </c>
      <c r="C126" s="216">
        <f>SUM(C127:C128)</f>
        <v>87455543</v>
      </c>
      <c r="D126" s="139">
        <f>SUM(D127:D128)</f>
        <v>87452828</v>
      </c>
      <c r="E126" s="139">
        <f>SUM(E127:E128)</f>
        <v>79861267</v>
      </c>
      <c r="F126" s="108">
        <f t="shared" si="8"/>
        <v>91.31925041920886</v>
      </c>
      <c r="G126" s="138">
        <f>G127+G128</f>
        <v>87452828</v>
      </c>
      <c r="H126" s="139">
        <f>SUM(H127:H128)</f>
        <v>79861267</v>
      </c>
      <c r="I126" s="108">
        <f t="shared" si="10"/>
        <v>91.31925041920886</v>
      </c>
      <c r="J126" s="138"/>
      <c r="K126" s="139"/>
      <c r="L126" s="398"/>
      <c r="M126" s="138"/>
      <c r="N126" s="139"/>
      <c r="O126" s="108"/>
      <c r="P126" s="138"/>
      <c r="Q126" s="139"/>
      <c r="R126" s="108"/>
    </row>
    <row r="127" spans="1:18" s="209" customFormat="1" ht="24">
      <c r="A127" s="141" t="s">
        <v>1037</v>
      </c>
      <c r="B127" s="190" t="s">
        <v>1038</v>
      </c>
      <c r="C127" s="142">
        <v>82931543</v>
      </c>
      <c r="D127" s="143">
        <f>G127+J127+M127+P127</f>
        <v>82928828</v>
      </c>
      <c r="E127" s="143">
        <f>H127+K127+N127+Q127</f>
        <v>75382641</v>
      </c>
      <c r="F127" s="144">
        <f t="shared" si="8"/>
        <v>90.90040558634206</v>
      </c>
      <c r="G127" s="191">
        <f>82931543-2715</f>
        <v>82928828</v>
      </c>
      <c r="H127" s="146">
        <v>75382641</v>
      </c>
      <c r="I127" s="144">
        <f t="shared" si="10"/>
        <v>90.90040558634206</v>
      </c>
      <c r="J127" s="145"/>
      <c r="K127" s="146"/>
      <c r="L127" s="165"/>
      <c r="M127" s="145"/>
      <c r="N127" s="146"/>
      <c r="O127" s="144"/>
      <c r="P127" s="145"/>
      <c r="Q127" s="146"/>
      <c r="R127" s="144"/>
    </row>
    <row r="128" spans="1:18" ht="24">
      <c r="A128" s="131" t="s">
        <v>1039</v>
      </c>
      <c r="B128" s="186" t="s">
        <v>1040</v>
      </c>
      <c r="C128" s="132">
        <v>4524000</v>
      </c>
      <c r="D128" s="133">
        <f>G128+J128+M128+P128</f>
        <v>4524000</v>
      </c>
      <c r="E128" s="133">
        <f>H128+K128+N128+Q128</f>
        <v>4478626</v>
      </c>
      <c r="F128" s="118">
        <f t="shared" si="8"/>
        <v>98.99703801945181</v>
      </c>
      <c r="G128" s="188">
        <v>4524000</v>
      </c>
      <c r="H128" s="35">
        <v>4478626</v>
      </c>
      <c r="I128" s="118">
        <f t="shared" si="10"/>
        <v>98.99703801945181</v>
      </c>
      <c r="J128" s="34"/>
      <c r="K128" s="35"/>
      <c r="L128" s="441"/>
      <c r="M128" s="34"/>
      <c r="N128" s="35"/>
      <c r="O128" s="118"/>
      <c r="P128" s="34"/>
      <c r="Q128" s="35"/>
      <c r="R128" s="118"/>
    </row>
    <row r="129" spans="1:18" ht="48">
      <c r="A129" s="135" t="s">
        <v>1041</v>
      </c>
      <c r="B129" s="136" t="s">
        <v>1042</v>
      </c>
      <c r="C129" s="216">
        <f>SUM(C130:C131)</f>
        <v>23729464</v>
      </c>
      <c r="D129" s="139">
        <f>SUM(D130:D131)</f>
        <v>23728706</v>
      </c>
      <c r="E129" s="139">
        <f>SUM(E130:E131)</f>
        <v>21976805</v>
      </c>
      <c r="F129" s="108">
        <f t="shared" si="8"/>
        <v>92.61695517656968</v>
      </c>
      <c r="G129" s="138"/>
      <c r="H129" s="139"/>
      <c r="I129" s="151"/>
      <c r="J129" s="138"/>
      <c r="K129" s="139"/>
      <c r="L129" s="398"/>
      <c r="M129" s="138">
        <f>M130+M131</f>
        <v>23728706</v>
      </c>
      <c r="N129" s="139">
        <f>SUM(N130:N131)</f>
        <v>21976805</v>
      </c>
      <c r="O129" s="108">
        <f aca="true" t="shared" si="15" ref="O129:O138">N129/M129*100</f>
        <v>92.61695517656968</v>
      </c>
      <c r="P129" s="138"/>
      <c r="Q129" s="139"/>
      <c r="R129" s="108"/>
    </row>
    <row r="130" spans="1:18" s="209" customFormat="1" ht="24">
      <c r="A130" s="5" t="s">
        <v>1037</v>
      </c>
      <c r="B130" s="190" t="s">
        <v>1043</v>
      </c>
      <c r="C130" s="142">
        <v>23149464</v>
      </c>
      <c r="D130" s="143">
        <f aca="true" t="shared" si="16" ref="D130:E133">G130+J130+M130+P130</f>
        <v>23148706</v>
      </c>
      <c r="E130" s="143">
        <f t="shared" si="16"/>
        <v>21042266</v>
      </c>
      <c r="F130" s="144">
        <f t="shared" si="8"/>
        <v>90.90039849311663</v>
      </c>
      <c r="G130" s="145"/>
      <c r="H130" s="146"/>
      <c r="I130" s="144"/>
      <c r="J130" s="145"/>
      <c r="K130" s="146"/>
      <c r="L130" s="165"/>
      <c r="M130" s="145">
        <f>23149464-758</f>
        <v>23148706</v>
      </c>
      <c r="N130" s="146">
        <v>21042266</v>
      </c>
      <c r="O130" s="144">
        <f t="shared" si="15"/>
        <v>90.90039849311663</v>
      </c>
      <c r="P130" s="145"/>
      <c r="Q130" s="146"/>
      <c r="R130" s="144"/>
    </row>
    <row r="131" spans="1:18" ht="24">
      <c r="A131" s="131" t="s">
        <v>1039</v>
      </c>
      <c r="B131" s="186" t="s">
        <v>1040</v>
      </c>
      <c r="C131" s="132">
        <v>580000</v>
      </c>
      <c r="D131" s="133">
        <f t="shared" si="16"/>
        <v>580000</v>
      </c>
      <c r="E131" s="133">
        <f t="shared" si="16"/>
        <v>934539</v>
      </c>
      <c r="F131" s="118">
        <f t="shared" si="8"/>
        <v>161.12741379310344</v>
      </c>
      <c r="G131" s="34"/>
      <c r="H131" s="35"/>
      <c r="I131" s="118"/>
      <c r="J131" s="34"/>
      <c r="K131" s="35"/>
      <c r="L131" s="441"/>
      <c r="M131" s="34">
        <v>580000</v>
      </c>
      <c r="N131" s="35">
        <v>934539</v>
      </c>
      <c r="O131" s="118">
        <f t="shared" si="15"/>
        <v>161.12741379310344</v>
      </c>
      <c r="P131" s="34"/>
      <c r="Q131" s="35"/>
      <c r="R131" s="118"/>
    </row>
    <row r="132" spans="1:18" s="189" customFormat="1" ht="15.75" customHeight="1">
      <c r="A132" s="135" t="s">
        <v>1044</v>
      </c>
      <c r="B132" s="136" t="s">
        <v>1045</v>
      </c>
      <c r="C132" s="137"/>
      <c r="D132" s="195">
        <f t="shared" si="16"/>
        <v>811080</v>
      </c>
      <c r="E132" s="173">
        <f t="shared" si="16"/>
        <v>843080</v>
      </c>
      <c r="F132" s="218">
        <f>E132/D132*100</f>
        <v>103.94535680820634</v>
      </c>
      <c r="G132" s="138">
        <f>G133</f>
        <v>811080</v>
      </c>
      <c r="H132" s="139">
        <f>H133</f>
        <v>843080</v>
      </c>
      <c r="I132" s="108">
        <f>H132/G132*100</f>
        <v>103.94535680820634</v>
      </c>
      <c r="J132" s="138"/>
      <c r="K132" s="139"/>
      <c r="L132" s="398"/>
      <c r="M132" s="138"/>
      <c r="N132" s="139"/>
      <c r="O132" s="108"/>
      <c r="P132" s="138"/>
      <c r="Q132" s="139"/>
      <c r="R132" s="108"/>
    </row>
    <row r="133" spans="1:18" ht="17.25" customHeight="1">
      <c r="A133" s="112" t="s">
        <v>1046</v>
      </c>
      <c r="B133" s="213" t="s">
        <v>1047</v>
      </c>
      <c r="C133" s="170"/>
      <c r="D133" s="114">
        <f t="shared" si="16"/>
        <v>811080</v>
      </c>
      <c r="E133" s="114">
        <f t="shared" si="16"/>
        <v>843080</v>
      </c>
      <c r="F133" s="151"/>
      <c r="G133" s="116">
        <v>811080</v>
      </c>
      <c r="H133" s="117">
        <v>843080</v>
      </c>
      <c r="I133" s="219"/>
      <c r="J133" s="116"/>
      <c r="K133" s="117"/>
      <c r="L133" s="253"/>
      <c r="M133" s="116"/>
      <c r="N133" s="117"/>
      <c r="O133" s="151"/>
      <c r="P133" s="116"/>
      <c r="Q133" s="117"/>
      <c r="R133" s="151"/>
    </row>
    <row r="134" spans="1:18" s="189" customFormat="1" ht="36" customHeight="1">
      <c r="A134" s="135" t="s">
        <v>1048</v>
      </c>
      <c r="B134" s="136" t="s">
        <v>1049</v>
      </c>
      <c r="C134" s="137">
        <f>SUM(C135:C136)</f>
        <v>57000</v>
      </c>
      <c r="D134" s="195">
        <f>G134+J134+M134+P134</f>
        <v>127000</v>
      </c>
      <c r="E134" s="173">
        <f>H134+K134+N134+Q134</f>
        <v>219837</v>
      </c>
      <c r="F134" s="218">
        <f>E134/D134*100</f>
        <v>173.10000000000002</v>
      </c>
      <c r="G134" s="138">
        <f>SUM(G135:G136)</f>
        <v>127000</v>
      </c>
      <c r="H134" s="139">
        <f>SUM(H135:H136)</f>
        <v>219837</v>
      </c>
      <c r="I134" s="108">
        <f>H134/G134*100</f>
        <v>173.10000000000002</v>
      </c>
      <c r="J134" s="138"/>
      <c r="K134" s="139"/>
      <c r="L134" s="398"/>
      <c r="M134" s="138"/>
      <c r="N134" s="139"/>
      <c r="O134" s="108"/>
      <c r="P134" s="138"/>
      <c r="Q134" s="139"/>
      <c r="R134" s="108"/>
    </row>
    <row r="135" spans="1:18" s="209" customFormat="1" ht="15" customHeight="1">
      <c r="A135" s="141" t="s">
        <v>948</v>
      </c>
      <c r="B135" s="190" t="s">
        <v>1050</v>
      </c>
      <c r="C135" s="142">
        <v>50000</v>
      </c>
      <c r="D135" s="143">
        <f>G135+J135+M135+P135</f>
        <v>127000</v>
      </c>
      <c r="E135" s="143">
        <f>H135+K135+N135+Q135</f>
        <v>219837</v>
      </c>
      <c r="F135" s="144"/>
      <c r="G135" s="145">
        <f>50000+77000</f>
        <v>127000</v>
      </c>
      <c r="H135" s="146">
        <v>219837</v>
      </c>
      <c r="I135" s="144"/>
      <c r="J135" s="145"/>
      <c r="K135" s="146"/>
      <c r="L135" s="165"/>
      <c r="M135" s="145"/>
      <c r="N135" s="146"/>
      <c r="O135" s="9"/>
      <c r="P135" s="145"/>
      <c r="Q135" s="146"/>
      <c r="R135" s="9"/>
    </row>
    <row r="136" spans="1:18" ht="15.75" customHeight="1" thickBot="1">
      <c r="A136" s="355" t="s">
        <v>939</v>
      </c>
      <c r="B136" s="356" t="s">
        <v>959</v>
      </c>
      <c r="C136" s="357">
        <v>7000</v>
      </c>
      <c r="D136" s="358"/>
      <c r="E136" s="358"/>
      <c r="F136" s="359"/>
      <c r="G136" s="360"/>
      <c r="H136" s="239"/>
      <c r="I136" s="359"/>
      <c r="J136" s="361"/>
      <c r="K136" s="362"/>
      <c r="L136" s="443"/>
      <c r="M136" s="361"/>
      <c r="N136" s="362"/>
      <c r="O136" s="359"/>
      <c r="P136" s="361"/>
      <c r="Q136" s="362"/>
      <c r="R136" s="359"/>
    </row>
    <row r="137" spans="1:18" s="232" customFormat="1" ht="19.5" customHeight="1" thickBot="1" thickTop="1">
      <c r="A137" s="100" t="s">
        <v>1051</v>
      </c>
      <c r="B137" s="166" t="s">
        <v>700</v>
      </c>
      <c r="C137" s="105">
        <f>C138+C140+C148+C150</f>
        <v>101258139</v>
      </c>
      <c r="D137" s="76">
        <f>G137+J137+M137+P137</f>
        <v>103479812</v>
      </c>
      <c r="E137" s="103">
        <f>E138+E140+E148+E150</f>
        <v>103652444</v>
      </c>
      <c r="F137" s="211">
        <f>E137/D137*100</f>
        <v>100.16682674297863</v>
      </c>
      <c r="G137" s="105">
        <f>G138+G140+G148</f>
        <v>42954789</v>
      </c>
      <c r="H137" s="103">
        <f>H138+H140+H148</f>
        <v>43125686</v>
      </c>
      <c r="I137" s="211">
        <f t="shared" si="10"/>
        <v>100.39785319397099</v>
      </c>
      <c r="J137" s="105"/>
      <c r="K137" s="103"/>
      <c r="L137" s="437"/>
      <c r="M137" s="102">
        <f>M138+M140+M148+M150</f>
        <v>60525023</v>
      </c>
      <c r="N137" s="103">
        <f>N138+N140+N148+N150</f>
        <v>60526758</v>
      </c>
      <c r="O137" s="211">
        <f t="shared" si="15"/>
        <v>100.00286658296685</v>
      </c>
      <c r="P137" s="105"/>
      <c r="Q137" s="103"/>
      <c r="R137" s="211"/>
    </row>
    <row r="138" spans="1:18" ht="40.5" customHeight="1" thickTop="1">
      <c r="A138" s="119" t="s">
        <v>1052</v>
      </c>
      <c r="B138" s="120" t="s">
        <v>1053</v>
      </c>
      <c r="C138" s="167">
        <f>SUM(C139)</f>
        <v>92183401</v>
      </c>
      <c r="D138" s="123">
        <f>SUM(D139)</f>
        <v>94284663</v>
      </c>
      <c r="E138" s="123">
        <f>SUM(E139)</f>
        <v>94284663</v>
      </c>
      <c r="F138" s="224">
        <f>E138/D138*100</f>
        <v>100</v>
      </c>
      <c r="G138" s="122">
        <f>G139</f>
        <v>40915072</v>
      </c>
      <c r="H138" s="123">
        <f>H139</f>
        <v>40915072</v>
      </c>
      <c r="I138" s="225">
        <f t="shared" si="10"/>
        <v>100</v>
      </c>
      <c r="J138" s="122"/>
      <c r="K138" s="123"/>
      <c r="L138" s="440"/>
      <c r="M138" s="122">
        <f>M139</f>
        <v>53369591</v>
      </c>
      <c r="N138" s="123">
        <f>N139</f>
        <v>53369591</v>
      </c>
      <c r="O138" s="124">
        <f t="shared" si="15"/>
        <v>100</v>
      </c>
      <c r="P138" s="122"/>
      <c r="Q138" s="123"/>
      <c r="R138" s="124"/>
    </row>
    <row r="139" spans="1:18" ht="23.25" customHeight="1">
      <c r="A139" s="112" t="s">
        <v>1054</v>
      </c>
      <c r="B139" s="213" t="s">
        <v>1055</v>
      </c>
      <c r="C139" s="170">
        <v>92183401</v>
      </c>
      <c r="D139" s="133">
        <f>G139+J139+M139+P139</f>
        <v>94284663</v>
      </c>
      <c r="E139" s="133">
        <f>H139+K139+N139+Q139</f>
        <v>94284663</v>
      </c>
      <c r="F139" s="151"/>
      <c r="G139" s="116">
        <f>40421548+416743+76781</f>
        <v>40915072</v>
      </c>
      <c r="H139" s="117">
        <v>40915072</v>
      </c>
      <c r="I139" s="151"/>
      <c r="J139" s="116"/>
      <c r="K139" s="117"/>
      <c r="L139" s="253"/>
      <c r="M139" s="116">
        <f>51761853+1545072+15000+47666</f>
        <v>53369591</v>
      </c>
      <c r="N139" s="117">
        <v>53369591</v>
      </c>
      <c r="O139" s="151"/>
      <c r="P139" s="116"/>
      <c r="Q139" s="117"/>
      <c r="R139" s="151"/>
    </row>
    <row r="140" spans="1:18" ht="15" customHeight="1">
      <c r="A140" s="4" t="s">
        <v>38</v>
      </c>
      <c r="B140" s="136" t="s">
        <v>39</v>
      </c>
      <c r="C140" s="226">
        <f>SUM(C143:C145)</f>
        <v>1581800</v>
      </c>
      <c r="D140" s="107">
        <f>SUM(D141:D145)</f>
        <v>1704330</v>
      </c>
      <c r="E140" s="107">
        <f>SUM(E142:E145)</f>
        <v>1876962</v>
      </c>
      <c r="F140" s="108">
        <f aca="true" t="shared" si="17" ref="F140:F193">E140/D140*100</f>
        <v>110.12902430867261</v>
      </c>
      <c r="G140" s="138">
        <f>SUM(G141:G145)</f>
        <v>1643500</v>
      </c>
      <c r="H140" s="139">
        <f>SUM(H142:H145)</f>
        <v>1814397</v>
      </c>
      <c r="I140" s="108">
        <f t="shared" si="10"/>
        <v>110.39835716458776</v>
      </c>
      <c r="J140" s="181"/>
      <c r="K140" s="182"/>
      <c r="L140" s="253"/>
      <c r="M140" s="138">
        <f>SUM(M143:M145)</f>
        <v>60830</v>
      </c>
      <c r="N140" s="139">
        <f>SUM(N143:N145)</f>
        <v>62565</v>
      </c>
      <c r="O140" s="108">
        <f>N140/M140*100</f>
        <v>102.85221108005918</v>
      </c>
      <c r="P140" s="181"/>
      <c r="Q140" s="182"/>
      <c r="R140" s="151"/>
    </row>
    <row r="141" spans="1:18" s="209" customFormat="1" ht="15" customHeight="1">
      <c r="A141" s="141" t="s">
        <v>948</v>
      </c>
      <c r="B141" s="190" t="s">
        <v>1050</v>
      </c>
      <c r="C141" s="556"/>
      <c r="D141" s="143">
        <f>G141</f>
        <v>100</v>
      </c>
      <c r="E141" s="143"/>
      <c r="F141" s="144"/>
      <c r="G141" s="145">
        <v>100</v>
      </c>
      <c r="H141" s="146"/>
      <c r="I141" s="144"/>
      <c r="J141" s="163"/>
      <c r="K141" s="164"/>
      <c r="L141" s="165"/>
      <c r="M141" s="145"/>
      <c r="N141" s="146"/>
      <c r="O141" s="144"/>
      <c r="P141" s="163"/>
      <c r="Q141" s="164"/>
      <c r="R141" s="144"/>
    </row>
    <row r="142" spans="1:18" s="209" customFormat="1" ht="48.75" customHeight="1">
      <c r="A142" s="127" t="s">
        <v>364</v>
      </c>
      <c r="B142" s="153" t="s">
        <v>365</v>
      </c>
      <c r="C142" s="464"/>
      <c r="D142" s="93"/>
      <c r="E142" s="93">
        <f>H142</f>
        <v>198</v>
      </c>
      <c r="F142" s="129"/>
      <c r="G142" s="22"/>
      <c r="H142" s="21">
        <v>198</v>
      </c>
      <c r="I142" s="129"/>
      <c r="J142" s="33"/>
      <c r="K142" s="147"/>
      <c r="L142" s="148"/>
      <c r="M142" s="22"/>
      <c r="N142" s="21"/>
      <c r="O142" s="129"/>
      <c r="P142" s="33"/>
      <c r="Q142" s="147"/>
      <c r="R142" s="129"/>
    </row>
    <row r="143" spans="1:18" s="209" customFormat="1" ht="27" customHeight="1">
      <c r="A143" s="127" t="s">
        <v>1033</v>
      </c>
      <c r="B143" s="153" t="s">
        <v>1034</v>
      </c>
      <c r="C143" s="128">
        <v>650000</v>
      </c>
      <c r="D143" s="93">
        <f aca="true" t="shared" si="18" ref="D143:E147">G143+J143+M143+P143</f>
        <v>650000</v>
      </c>
      <c r="E143" s="93">
        <f t="shared" si="18"/>
        <v>635429</v>
      </c>
      <c r="F143" s="129">
        <f t="shared" si="17"/>
        <v>97.75830769230768</v>
      </c>
      <c r="G143" s="22">
        <v>650000</v>
      </c>
      <c r="H143" s="21">
        <v>635429</v>
      </c>
      <c r="I143" s="129">
        <f>H143/G143*100</f>
        <v>97.75830769230768</v>
      </c>
      <c r="J143" s="22"/>
      <c r="K143" s="21"/>
      <c r="L143" s="148"/>
      <c r="M143" s="22"/>
      <c r="N143" s="21"/>
      <c r="O143" s="129"/>
      <c r="P143" s="22"/>
      <c r="Q143" s="21"/>
      <c r="R143" s="129"/>
    </row>
    <row r="144" spans="1:18" s="209" customFormat="1" ht="15.75" customHeight="1">
      <c r="A144" s="127" t="s">
        <v>966</v>
      </c>
      <c r="B144" s="153" t="s">
        <v>967</v>
      </c>
      <c r="C144" s="128">
        <v>914000</v>
      </c>
      <c r="D144" s="93">
        <f t="shared" si="18"/>
        <v>934400</v>
      </c>
      <c r="E144" s="93">
        <f t="shared" si="18"/>
        <v>1107071</v>
      </c>
      <c r="F144" s="129">
        <f t="shared" si="17"/>
        <v>118.47934503424658</v>
      </c>
      <c r="G144" s="22">
        <f>872100+3000+2700+4200+300</f>
        <v>882300</v>
      </c>
      <c r="H144" s="21">
        <v>1052878</v>
      </c>
      <c r="I144" s="129">
        <f>H144/G144*100</f>
        <v>119.33333333333334</v>
      </c>
      <c r="J144" s="22"/>
      <c r="K144" s="21"/>
      <c r="L144" s="148"/>
      <c r="M144" s="22">
        <f>41900+300+3300+2000+3700+900</f>
        <v>52100</v>
      </c>
      <c r="N144" s="21">
        <v>54193</v>
      </c>
      <c r="O144" s="129">
        <f>N144/M144*100</f>
        <v>104.0172744721689</v>
      </c>
      <c r="P144" s="22"/>
      <c r="Q144" s="21"/>
      <c r="R144" s="129"/>
    </row>
    <row r="145" spans="1:18" s="209" customFormat="1" ht="14.25" customHeight="1">
      <c r="A145" s="127" t="s">
        <v>939</v>
      </c>
      <c r="B145" s="153" t="s">
        <v>934</v>
      </c>
      <c r="C145" s="128">
        <v>17800</v>
      </c>
      <c r="D145" s="93">
        <f t="shared" si="18"/>
        <v>119830</v>
      </c>
      <c r="E145" s="93">
        <f t="shared" si="18"/>
        <v>134264</v>
      </c>
      <c r="F145" s="129">
        <f t="shared" si="17"/>
        <v>112.0453976466661</v>
      </c>
      <c r="G145" s="22">
        <f>SUM(G146:G147)</f>
        <v>111100</v>
      </c>
      <c r="H145" s="21">
        <v>125892</v>
      </c>
      <c r="I145" s="129">
        <f>H145/G145*100</f>
        <v>113.31413141314131</v>
      </c>
      <c r="J145" s="22"/>
      <c r="K145" s="21"/>
      <c r="L145" s="148"/>
      <c r="M145" s="22">
        <f>M146</f>
        <v>8730</v>
      </c>
      <c r="N145" s="21">
        <f>N146</f>
        <v>8372</v>
      </c>
      <c r="O145" s="129">
        <f>N145/M145*100</f>
        <v>95.8991981672394</v>
      </c>
      <c r="P145" s="22"/>
      <c r="Q145" s="21"/>
      <c r="R145" s="129"/>
    </row>
    <row r="146" spans="1:18" s="354" customFormat="1" ht="20.25" customHeight="1">
      <c r="A146" s="349"/>
      <c r="B146" s="350" t="s">
        <v>763</v>
      </c>
      <c r="C146" s="327">
        <v>17800</v>
      </c>
      <c r="D146" s="444">
        <f t="shared" si="18"/>
        <v>19830</v>
      </c>
      <c r="E146" s="444">
        <f t="shared" si="18"/>
        <v>22997</v>
      </c>
      <c r="F146" s="442">
        <f t="shared" si="17"/>
        <v>115.9707513867877</v>
      </c>
      <c r="G146" s="351">
        <f>9900+200+200+800</f>
        <v>11100</v>
      </c>
      <c r="H146" s="353">
        <f>H145-H147</f>
        <v>14625</v>
      </c>
      <c r="I146" s="442">
        <f>H146/G146*100</f>
        <v>131.75675675675674</v>
      </c>
      <c r="J146" s="351"/>
      <c r="K146" s="353"/>
      <c r="L146" s="333"/>
      <c r="M146" s="351">
        <f>7900+600+50+180</f>
        <v>8730</v>
      </c>
      <c r="N146" s="353">
        <v>8372</v>
      </c>
      <c r="O146" s="442">
        <f>N146/M146*100</f>
        <v>95.8991981672394</v>
      </c>
      <c r="P146" s="351"/>
      <c r="Q146" s="353"/>
      <c r="R146" s="339"/>
    </row>
    <row r="147" spans="1:18" s="354" customFormat="1" ht="15" customHeight="1">
      <c r="A147" s="557"/>
      <c r="B147" s="350" t="s">
        <v>764</v>
      </c>
      <c r="C147" s="327"/>
      <c r="D147" s="444">
        <f t="shared" si="18"/>
        <v>100000</v>
      </c>
      <c r="E147" s="444">
        <f t="shared" si="18"/>
        <v>111267</v>
      </c>
      <c r="F147" s="442">
        <f t="shared" si="17"/>
        <v>111.26700000000001</v>
      </c>
      <c r="G147" s="351">
        <v>100000</v>
      </c>
      <c r="H147" s="353">
        <f>106424+4843</f>
        <v>111267</v>
      </c>
      <c r="I147" s="442">
        <f>H147/G147*100</f>
        <v>111.26700000000001</v>
      </c>
      <c r="J147" s="351"/>
      <c r="K147" s="353"/>
      <c r="L147" s="333"/>
      <c r="M147" s="351"/>
      <c r="N147" s="353"/>
      <c r="O147" s="339"/>
      <c r="P147" s="351"/>
      <c r="Q147" s="353"/>
      <c r="R147" s="339"/>
    </row>
    <row r="148" spans="1:18" ht="23.25" customHeight="1">
      <c r="A148" s="135" t="s">
        <v>40</v>
      </c>
      <c r="B148" s="136" t="s">
        <v>41</v>
      </c>
      <c r="C148" s="137">
        <f>SUM(C149)</f>
        <v>396217</v>
      </c>
      <c r="D148" s="107">
        <f>D149</f>
        <v>396217</v>
      </c>
      <c r="E148" s="107">
        <f>E149</f>
        <v>396217</v>
      </c>
      <c r="F148" s="108">
        <f t="shared" si="17"/>
        <v>100</v>
      </c>
      <c r="G148" s="138">
        <f>G149</f>
        <v>396217</v>
      </c>
      <c r="H148" s="139">
        <f>H149</f>
        <v>396217</v>
      </c>
      <c r="I148" s="108">
        <f t="shared" si="10"/>
        <v>100</v>
      </c>
      <c r="J148" s="181"/>
      <c r="K148" s="182"/>
      <c r="L148" s="253"/>
      <c r="M148" s="206"/>
      <c r="N148" s="205"/>
      <c r="O148" s="151"/>
      <c r="P148" s="206"/>
      <c r="Q148" s="205"/>
      <c r="R148" s="151"/>
    </row>
    <row r="149" spans="1:18" ht="24">
      <c r="A149" s="112" t="s">
        <v>1054</v>
      </c>
      <c r="B149" s="213" t="s">
        <v>1055</v>
      </c>
      <c r="C149" s="170">
        <v>396217</v>
      </c>
      <c r="D149" s="133">
        <f>G149+J149+M149+P149</f>
        <v>396217</v>
      </c>
      <c r="E149" s="133">
        <f>H149+K149+N149+Q149</f>
        <v>396217</v>
      </c>
      <c r="F149" s="151"/>
      <c r="G149" s="116">
        <v>396217</v>
      </c>
      <c r="H149" s="117">
        <v>396217</v>
      </c>
      <c r="I149" s="151"/>
      <c r="J149" s="116"/>
      <c r="K149" s="117"/>
      <c r="L149" s="253"/>
      <c r="M149" s="116"/>
      <c r="N149" s="117"/>
      <c r="O149" s="129"/>
      <c r="P149" s="116"/>
      <c r="Q149" s="117"/>
      <c r="R149" s="151"/>
    </row>
    <row r="150" spans="1:18" ht="34.5" customHeight="1">
      <c r="A150" s="135" t="s">
        <v>42</v>
      </c>
      <c r="B150" s="136" t="s">
        <v>43</v>
      </c>
      <c r="C150" s="137">
        <f>C151</f>
        <v>7096721</v>
      </c>
      <c r="D150" s="107">
        <f>D151</f>
        <v>7094602</v>
      </c>
      <c r="E150" s="107">
        <f>E151</f>
        <v>7094602</v>
      </c>
      <c r="F150" s="108">
        <f t="shared" si="17"/>
        <v>100</v>
      </c>
      <c r="G150" s="138"/>
      <c r="H150" s="139"/>
      <c r="I150" s="151"/>
      <c r="J150" s="138"/>
      <c r="K150" s="139"/>
      <c r="L150" s="398"/>
      <c r="M150" s="138">
        <f>M151</f>
        <v>7094602</v>
      </c>
      <c r="N150" s="139">
        <f>N151</f>
        <v>7094602</v>
      </c>
      <c r="O150" s="108">
        <f>N150/M150*100</f>
        <v>100</v>
      </c>
      <c r="P150" s="138"/>
      <c r="Q150" s="139"/>
      <c r="R150" s="108"/>
    </row>
    <row r="151" spans="1:18" ht="24" customHeight="1" thickBot="1">
      <c r="A151" s="141" t="s">
        <v>1054</v>
      </c>
      <c r="B151" s="190" t="s">
        <v>1055</v>
      </c>
      <c r="C151" s="142">
        <v>7096721</v>
      </c>
      <c r="D151" s="143">
        <f>G151+J151+M151+P151</f>
        <v>7094602</v>
      </c>
      <c r="E151" s="143">
        <f>H151+K151+N151+Q151</f>
        <v>7094602</v>
      </c>
      <c r="F151" s="144"/>
      <c r="G151" s="227"/>
      <c r="H151" s="228"/>
      <c r="I151" s="144"/>
      <c r="J151" s="227"/>
      <c r="K151" s="228"/>
      <c r="L151" s="445"/>
      <c r="M151" s="145">
        <f>7096721-2119</f>
        <v>7094602</v>
      </c>
      <c r="N151" s="146">
        <v>7094602</v>
      </c>
      <c r="O151" s="144"/>
      <c r="P151" s="227"/>
      <c r="Q151" s="228"/>
      <c r="R151" s="446"/>
    </row>
    <row r="152" spans="1:18" s="232" customFormat="1" ht="27.75" customHeight="1" thickBot="1" thickTop="1">
      <c r="A152" s="100" t="s">
        <v>44</v>
      </c>
      <c r="B152" s="166" t="s">
        <v>706</v>
      </c>
      <c r="C152" s="76">
        <f>C153+C160+C165+C168+C173+C175+C182+C188+C193</f>
        <v>1340000</v>
      </c>
      <c r="D152" s="76">
        <f>D153+D160+D165+D168+D173+D175+D182+D188+D193</f>
        <v>2798303</v>
      </c>
      <c r="E152" s="76">
        <f>E153+E160+E165+E168+E173+E175+E182+E188+E193</f>
        <v>2425541</v>
      </c>
      <c r="F152" s="211">
        <f t="shared" si="17"/>
        <v>86.67899794982887</v>
      </c>
      <c r="G152" s="76">
        <f>G153+G160+G165+G168+G173+G175+G182+G188+G188+G193</f>
        <v>1610697</v>
      </c>
      <c r="H152" s="76">
        <f>H153+H160+H165+H168+H173+H175+H182+H188+H193</f>
        <v>1304360</v>
      </c>
      <c r="I152" s="211">
        <f t="shared" si="10"/>
        <v>80.98109079485465</v>
      </c>
      <c r="J152" s="105">
        <f>J193</f>
        <v>2500</v>
      </c>
      <c r="K152" s="103">
        <f>K193</f>
        <v>2500</v>
      </c>
      <c r="L152" s="439">
        <f>K152/J152*100</f>
        <v>100</v>
      </c>
      <c r="M152" s="105">
        <f>M160+M175+M182+M188+M193</f>
        <v>1185106</v>
      </c>
      <c r="N152" s="103">
        <f>N160+N175+N182+N188+N193</f>
        <v>1118681</v>
      </c>
      <c r="O152" s="211">
        <f>N152/M152*100</f>
        <v>94.39501614201599</v>
      </c>
      <c r="P152" s="105"/>
      <c r="Q152" s="103"/>
      <c r="R152" s="519"/>
    </row>
    <row r="153" spans="1:18" ht="18.75" customHeight="1" thickTop="1">
      <c r="A153" s="119" t="s">
        <v>45</v>
      </c>
      <c r="B153" s="120" t="s">
        <v>707</v>
      </c>
      <c r="C153" s="167">
        <f>SUM(C154:C159)</f>
        <v>391800</v>
      </c>
      <c r="D153" s="123">
        <f>SUM(D154:D159)</f>
        <v>630776</v>
      </c>
      <c r="E153" s="123">
        <f>SUM(E154:E159)</f>
        <v>597011</v>
      </c>
      <c r="F153" s="124">
        <f t="shared" si="17"/>
        <v>94.64706964120386</v>
      </c>
      <c r="G153" s="122">
        <f>SUM(G154:G159)</f>
        <v>630776</v>
      </c>
      <c r="H153" s="123">
        <f>SUM(H154:H159)</f>
        <v>597011</v>
      </c>
      <c r="I153" s="124">
        <f t="shared" si="10"/>
        <v>94.64706964120386</v>
      </c>
      <c r="J153" s="122"/>
      <c r="K153" s="123"/>
      <c r="L153" s="218"/>
      <c r="M153" s="122"/>
      <c r="N153" s="123"/>
      <c r="O153" s="13"/>
      <c r="P153" s="122"/>
      <c r="Q153" s="123"/>
      <c r="R153" s="13"/>
    </row>
    <row r="154" spans="1:18" s="209" customFormat="1" ht="24" customHeight="1">
      <c r="A154" s="141" t="s">
        <v>948</v>
      </c>
      <c r="B154" s="190" t="s">
        <v>46</v>
      </c>
      <c r="C154" s="142">
        <v>4000</v>
      </c>
      <c r="D154" s="143">
        <f aca="true" t="shared" si="19" ref="D154:E159">G154+J154+M154+P154</f>
        <v>4000</v>
      </c>
      <c r="E154" s="143">
        <f t="shared" si="19"/>
        <v>4079</v>
      </c>
      <c r="F154" s="144">
        <f t="shared" si="17"/>
        <v>101.975</v>
      </c>
      <c r="G154" s="145">
        <v>4000</v>
      </c>
      <c r="H154" s="146">
        <v>4079</v>
      </c>
      <c r="I154" s="144">
        <f t="shared" si="10"/>
        <v>101.975</v>
      </c>
      <c r="J154" s="145"/>
      <c r="K154" s="146"/>
      <c r="L154" s="165"/>
      <c r="M154" s="145"/>
      <c r="N154" s="146"/>
      <c r="O154" s="9"/>
      <c r="P154" s="145"/>
      <c r="Q154" s="146"/>
      <c r="R154" s="9"/>
    </row>
    <row r="155" spans="1:18" s="209" customFormat="1" ht="63.75" customHeight="1">
      <c r="A155" s="127" t="s">
        <v>949</v>
      </c>
      <c r="B155" s="153" t="s">
        <v>950</v>
      </c>
      <c r="C155" s="128">
        <v>375100</v>
      </c>
      <c r="D155" s="93">
        <f t="shared" si="19"/>
        <v>591600</v>
      </c>
      <c r="E155" s="93">
        <f t="shared" si="19"/>
        <v>565618</v>
      </c>
      <c r="F155" s="129">
        <f t="shared" si="17"/>
        <v>95.60818120351588</v>
      </c>
      <c r="G155" s="22">
        <f>375100+60000+80200+51300+25000</f>
        <v>591600</v>
      </c>
      <c r="H155" s="21">
        <v>565618</v>
      </c>
      <c r="I155" s="129">
        <f t="shared" si="10"/>
        <v>95.60818120351588</v>
      </c>
      <c r="J155" s="22"/>
      <c r="K155" s="21"/>
      <c r="L155" s="148"/>
      <c r="M155" s="22"/>
      <c r="N155" s="21"/>
      <c r="O155" s="7"/>
      <c r="P155" s="22"/>
      <c r="Q155" s="21"/>
      <c r="R155" s="7"/>
    </row>
    <row r="156" spans="1:18" s="209" customFormat="1" ht="14.25" customHeight="1">
      <c r="A156" s="127" t="s">
        <v>47</v>
      </c>
      <c r="B156" s="153" t="s">
        <v>48</v>
      </c>
      <c r="C156" s="128">
        <v>7000</v>
      </c>
      <c r="D156" s="93">
        <f t="shared" si="19"/>
        <v>26700</v>
      </c>
      <c r="E156" s="93">
        <f t="shared" si="19"/>
        <v>24565</v>
      </c>
      <c r="F156" s="129">
        <f t="shared" si="17"/>
        <v>92.00374531835206</v>
      </c>
      <c r="G156" s="22">
        <f>7000+12000+3000+3000+1700</f>
        <v>26700</v>
      </c>
      <c r="H156" s="21">
        <v>24565</v>
      </c>
      <c r="I156" s="129">
        <f aca="true" t="shared" si="20" ref="I156:I172">H156/G156*100</f>
        <v>92.00374531835206</v>
      </c>
      <c r="J156" s="22"/>
      <c r="K156" s="21"/>
      <c r="L156" s="148"/>
      <c r="M156" s="22"/>
      <c r="N156" s="21"/>
      <c r="O156" s="7"/>
      <c r="P156" s="22"/>
      <c r="Q156" s="21"/>
      <c r="R156" s="7"/>
    </row>
    <row r="157" spans="1:18" s="209" customFormat="1" ht="24.75" customHeight="1">
      <c r="A157" s="127" t="s">
        <v>933</v>
      </c>
      <c r="B157" s="229" t="s">
        <v>983</v>
      </c>
      <c r="C157" s="128"/>
      <c r="D157" s="93">
        <f>G157</f>
        <v>1000</v>
      </c>
      <c r="E157" s="93">
        <f>H157</f>
        <v>800</v>
      </c>
      <c r="F157" s="129">
        <f t="shared" si="17"/>
        <v>80</v>
      </c>
      <c r="G157" s="22">
        <v>1000</v>
      </c>
      <c r="H157" s="21">
        <v>800</v>
      </c>
      <c r="I157" s="129">
        <f t="shared" si="20"/>
        <v>80</v>
      </c>
      <c r="J157" s="22"/>
      <c r="K157" s="21"/>
      <c r="L157" s="148"/>
      <c r="M157" s="22"/>
      <c r="N157" s="21"/>
      <c r="O157" s="7"/>
      <c r="P157" s="22"/>
      <c r="Q157" s="21"/>
      <c r="R157" s="7"/>
    </row>
    <row r="158" spans="1:18" s="209" customFormat="1" ht="17.25" customHeight="1">
      <c r="A158" s="127" t="s">
        <v>966</v>
      </c>
      <c r="B158" s="229" t="s">
        <v>244</v>
      </c>
      <c r="C158" s="128">
        <v>2900</v>
      </c>
      <c r="D158" s="93">
        <f t="shared" si="19"/>
        <v>3976</v>
      </c>
      <c r="E158" s="93">
        <f t="shared" si="19"/>
        <v>567</v>
      </c>
      <c r="F158" s="129">
        <f t="shared" si="17"/>
        <v>14.26056338028169</v>
      </c>
      <c r="G158" s="22">
        <f>2900+1000+76</f>
        <v>3976</v>
      </c>
      <c r="H158" s="21">
        <v>567</v>
      </c>
      <c r="I158" s="129">
        <f t="shared" si="20"/>
        <v>14.26056338028169</v>
      </c>
      <c r="J158" s="22"/>
      <c r="K158" s="21"/>
      <c r="L158" s="148"/>
      <c r="M158" s="22"/>
      <c r="N158" s="21"/>
      <c r="O158" s="7"/>
      <c r="P158" s="22"/>
      <c r="Q158" s="21"/>
      <c r="R158" s="7"/>
    </row>
    <row r="159" spans="1:18" s="209" customFormat="1" ht="15" customHeight="1">
      <c r="A159" s="127" t="s">
        <v>939</v>
      </c>
      <c r="B159" s="153" t="s">
        <v>959</v>
      </c>
      <c r="C159" s="128">
        <v>2800</v>
      </c>
      <c r="D159" s="93">
        <f t="shared" si="19"/>
        <v>3500</v>
      </c>
      <c r="E159" s="93">
        <f t="shared" si="19"/>
        <v>1382</v>
      </c>
      <c r="F159" s="129">
        <f t="shared" si="17"/>
        <v>39.48571428571429</v>
      </c>
      <c r="G159" s="22">
        <f>2800+700</f>
        <v>3500</v>
      </c>
      <c r="H159" s="21">
        <v>1382</v>
      </c>
      <c r="I159" s="129">
        <f t="shared" si="20"/>
        <v>39.48571428571429</v>
      </c>
      <c r="J159" s="22"/>
      <c r="K159" s="21"/>
      <c r="L159" s="148"/>
      <c r="M159" s="22"/>
      <c r="N159" s="21"/>
      <c r="O159" s="7"/>
      <c r="P159" s="22"/>
      <c r="Q159" s="21"/>
      <c r="R159" s="7"/>
    </row>
    <row r="160" spans="1:18" ht="27" customHeight="1">
      <c r="A160" s="135" t="s">
        <v>50</v>
      </c>
      <c r="B160" s="136" t="s">
        <v>712</v>
      </c>
      <c r="C160" s="125">
        <f>SUM(C161:C164)</f>
        <v>2300</v>
      </c>
      <c r="D160" s="107">
        <f>SUM(D161:D164)</f>
        <v>10490</v>
      </c>
      <c r="E160" s="107">
        <f>SUM(E161:E164)</f>
        <v>11640</v>
      </c>
      <c r="F160" s="108">
        <f t="shared" si="17"/>
        <v>110.96282173498571</v>
      </c>
      <c r="G160" s="138"/>
      <c r="H160" s="139"/>
      <c r="I160" s="151"/>
      <c r="J160" s="181"/>
      <c r="K160" s="182"/>
      <c r="L160" s="253"/>
      <c r="M160" s="125">
        <f>SUM(M161:M164)</f>
        <v>10490</v>
      </c>
      <c r="N160" s="107">
        <f>SUM(N161:N164)</f>
        <v>11640</v>
      </c>
      <c r="O160" s="108">
        <f>N160/M160*100</f>
        <v>110.96282173498571</v>
      </c>
      <c r="P160" s="206"/>
      <c r="Q160" s="205"/>
      <c r="R160" s="253"/>
    </row>
    <row r="161" spans="1:18" s="209" customFormat="1" ht="15" customHeight="1">
      <c r="A161" s="141" t="s">
        <v>948</v>
      </c>
      <c r="B161" s="190" t="s">
        <v>51</v>
      </c>
      <c r="C161" s="142">
        <v>100</v>
      </c>
      <c r="D161" s="143">
        <f aca="true" t="shared" si="21" ref="D161:E164">G161+J161+M161+P161</f>
        <v>100</v>
      </c>
      <c r="E161" s="143">
        <f t="shared" si="21"/>
        <v>126</v>
      </c>
      <c r="F161" s="144">
        <f t="shared" si="17"/>
        <v>126</v>
      </c>
      <c r="G161" s="145"/>
      <c r="H161" s="146"/>
      <c r="I161" s="144"/>
      <c r="J161" s="145"/>
      <c r="K161" s="146"/>
      <c r="L161" s="165"/>
      <c r="M161" s="145">
        <v>100</v>
      </c>
      <c r="N161" s="146">
        <v>126</v>
      </c>
      <c r="O161" s="144">
        <f>N161/M161*100</f>
        <v>126</v>
      </c>
      <c r="P161" s="145"/>
      <c r="Q161" s="146"/>
      <c r="R161" s="9"/>
    </row>
    <row r="162" spans="1:18" s="209" customFormat="1" ht="62.25" customHeight="1">
      <c r="A162" s="127" t="s">
        <v>949</v>
      </c>
      <c r="B162" s="153" t="s">
        <v>950</v>
      </c>
      <c r="C162" s="128">
        <v>2200</v>
      </c>
      <c r="D162" s="93">
        <f t="shared" si="21"/>
        <v>8820</v>
      </c>
      <c r="E162" s="93">
        <f t="shared" si="21"/>
        <v>9928</v>
      </c>
      <c r="F162" s="129">
        <f t="shared" si="17"/>
        <v>112.56235827664398</v>
      </c>
      <c r="G162" s="22"/>
      <c r="H162" s="21"/>
      <c r="I162" s="129"/>
      <c r="J162" s="22"/>
      <c r="K162" s="21"/>
      <c r="L162" s="148"/>
      <c r="M162" s="22">
        <f>2200+6620</f>
        <v>8820</v>
      </c>
      <c r="N162" s="21">
        <v>9928</v>
      </c>
      <c r="O162" s="129">
        <f>N162/M162*100</f>
        <v>112.56235827664398</v>
      </c>
      <c r="P162" s="22"/>
      <c r="Q162" s="21"/>
      <c r="R162" s="7"/>
    </row>
    <row r="163" spans="1:18" ht="14.25" customHeight="1">
      <c r="A163" s="127" t="s">
        <v>47</v>
      </c>
      <c r="B163" s="153" t="s">
        <v>48</v>
      </c>
      <c r="C163" s="128"/>
      <c r="D163" s="93">
        <f>G163+J163+M163+P163</f>
        <v>850</v>
      </c>
      <c r="E163" s="93">
        <f>H163+K163+N163+Q163</f>
        <v>868</v>
      </c>
      <c r="F163" s="129">
        <f t="shared" si="17"/>
        <v>102.11764705882354</v>
      </c>
      <c r="G163" s="22"/>
      <c r="H163" s="21"/>
      <c r="I163" s="129"/>
      <c r="J163" s="22"/>
      <c r="K163" s="21"/>
      <c r="L163" s="148"/>
      <c r="M163" s="22">
        <v>850</v>
      </c>
      <c r="N163" s="21">
        <v>868</v>
      </c>
      <c r="O163" s="129">
        <f>N163/M163*100</f>
        <v>102.11764705882354</v>
      </c>
      <c r="P163" s="22"/>
      <c r="Q163" s="21"/>
      <c r="R163" s="7"/>
    </row>
    <row r="164" spans="1:18" ht="15" customHeight="1">
      <c r="A164" s="131" t="s">
        <v>939</v>
      </c>
      <c r="B164" s="186" t="s">
        <v>959</v>
      </c>
      <c r="C164" s="132"/>
      <c r="D164" s="133">
        <f t="shared" si="21"/>
        <v>720</v>
      </c>
      <c r="E164" s="133">
        <f t="shared" si="21"/>
        <v>718</v>
      </c>
      <c r="F164" s="129">
        <f t="shared" si="17"/>
        <v>99.72222222222223</v>
      </c>
      <c r="G164" s="34"/>
      <c r="H164" s="35"/>
      <c r="I164" s="118"/>
      <c r="J164" s="34"/>
      <c r="K164" s="35"/>
      <c r="L164" s="441"/>
      <c r="M164" s="34">
        <f>320+400</f>
        <v>720</v>
      </c>
      <c r="N164" s="35">
        <v>718</v>
      </c>
      <c r="O164" s="129">
        <f>N164/M164*100</f>
        <v>99.72222222222223</v>
      </c>
      <c r="P164" s="34"/>
      <c r="Q164" s="35"/>
      <c r="R164" s="10"/>
    </row>
    <row r="165" spans="1:18" ht="13.5" customHeight="1">
      <c r="A165" s="201" t="s">
        <v>52</v>
      </c>
      <c r="B165" s="202" t="s">
        <v>53</v>
      </c>
      <c r="C165" s="203">
        <f>SUM(C166:C167)</f>
        <v>106700</v>
      </c>
      <c r="D165" s="173">
        <f>SUM(D166:D167)</f>
        <v>106700</v>
      </c>
      <c r="E165" s="173">
        <f>SUM(E166:E167)</f>
        <v>152638</v>
      </c>
      <c r="F165" s="108">
        <f t="shared" si="17"/>
        <v>143.05342080599812</v>
      </c>
      <c r="G165" s="204">
        <f>SUM(G166:G167)</f>
        <v>106700</v>
      </c>
      <c r="H165" s="205">
        <f>SUM(H166:H167)</f>
        <v>152638</v>
      </c>
      <c r="I165" s="108">
        <f t="shared" si="20"/>
        <v>143.05342080599812</v>
      </c>
      <c r="J165" s="206"/>
      <c r="K165" s="205"/>
      <c r="L165" s="398"/>
      <c r="M165" s="206"/>
      <c r="N165" s="205"/>
      <c r="O165" s="210"/>
      <c r="P165" s="206"/>
      <c r="Q165" s="205"/>
      <c r="R165" s="398"/>
    </row>
    <row r="166" spans="1:18" ht="58.5" customHeight="1">
      <c r="A166" s="112" t="s">
        <v>949</v>
      </c>
      <c r="B166" s="213" t="s">
        <v>950</v>
      </c>
      <c r="C166" s="170">
        <v>76700</v>
      </c>
      <c r="D166" s="114">
        <f>G166+J166+M166+P166</f>
        <v>76700</v>
      </c>
      <c r="E166" s="114">
        <f>H166+K166+N166+Q166</f>
        <v>79998</v>
      </c>
      <c r="F166" s="151">
        <f>E166/D166*100</f>
        <v>104.29986962190353</v>
      </c>
      <c r="G166" s="448">
        <v>76700</v>
      </c>
      <c r="H166" s="117">
        <v>79998</v>
      </c>
      <c r="I166" s="151">
        <f>H166/G166*100</f>
        <v>104.29986962190353</v>
      </c>
      <c r="J166" s="116"/>
      <c r="K166" s="117"/>
      <c r="L166" s="253"/>
      <c r="M166" s="116"/>
      <c r="N166" s="117"/>
      <c r="O166" s="151"/>
      <c r="P166" s="116"/>
      <c r="Q166" s="117"/>
      <c r="R166" s="6"/>
    </row>
    <row r="167" spans="1:18" ht="18.75" customHeight="1">
      <c r="A167" s="131" t="s">
        <v>939</v>
      </c>
      <c r="B167" s="186" t="s">
        <v>959</v>
      </c>
      <c r="C167" s="132">
        <v>30000</v>
      </c>
      <c r="D167" s="133">
        <f>G167+J167+M167+P167</f>
        <v>30000</v>
      </c>
      <c r="E167" s="133">
        <f>H167+K167+N167+Q167</f>
        <v>72640</v>
      </c>
      <c r="F167" s="118">
        <f t="shared" si="17"/>
        <v>242.13333333333333</v>
      </c>
      <c r="G167" s="188">
        <v>30000</v>
      </c>
      <c r="H167" s="35">
        <v>72640</v>
      </c>
      <c r="I167" s="118">
        <f>H167/G167*100</f>
        <v>242.13333333333333</v>
      </c>
      <c r="J167" s="34"/>
      <c r="K167" s="35"/>
      <c r="L167" s="441"/>
      <c r="M167" s="34"/>
      <c r="N167" s="35"/>
      <c r="O167" s="118"/>
      <c r="P167" s="34"/>
      <c r="Q167" s="35"/>
      <c r="R167" s="10"/>
    </row>
    <row r="168" spans="1:18" ht="14.25" customHeight="1">
      <c r="A168" s="135" t="s">
        <v>54</v>
      </c>
      <c r="B168" s="136" t="s">
        <v>719</v>
      </c>
      <c r="C168" s="216">
        <f>SUM(C169:C170)</f>
        <v>167200</v>
      </c>
      <c r="D168" s="139">
        <f>SUM(D169:D172)</f>
        <v>283005</v>
      </c>
      <c r="E168" s="139">
        <f>SUM(E169:E172)</f>
        <v>281489</v>
      </c>
      <c r="F168" s="124">
        <f t="shared" si="17"/>
        <v>99.46432041836717</v>
      </c>
      <c r="G168" s="122">
        <f>SUM(G169:G172)</f>
        <v>283005</v>
      </c>
      <c r="H168" s="123">
        <f>SUM(H169:H172)</f>
        <v>281489</v>
      </c>
      <c r="I168" s="124">
        <f t="shared" si="20"/>
        <v>99.46432041836717</v>
      </c>
      <c r="J168" s="138"/>
      <c r="K168" s="139"/>
      <c r="L168" s="398"/>
      <c r="M168" s="138"/>
      <c r="N168" s="139"/>
      <c r="O168" s="12"/>
      <c r="P168" s="138"/>
      <c r="Q168" s="139"/>
      <c r="R168" s="12"/>
    </row>
    <row r="169" spans="1:18" s="209" customFormat="1" ht="24">
      <c r="A169" s="141" t="s">
        <v>948</v>
      </c>
      <c r="B169" s="190" t="s">
        <v>46</v>
      </c>
      <c r="C169" s="142">
        <v>1300</v>
      </c>
      <c r="D169" s="143">
        <f>G169+J169+M169+P169</f>
        <v>1700</v>
      </c>
      <c r="E169" s="143">
        <f>H169+K169+N169+Q169</f>
        <v>2220</v>
      </c>
      <c r="F169" s="144">
        <f t="shared" si="17"/>
        <v>130.58823529411765</v>
      </c>
      <c r="G169" s="145">
        <f>1300+400</f>
        <v>1700</v>
      </c>
      <c r="H169" s="146">
        <v>2220</v>
      </c>
      <c r="I169" s="144">
        <f t="shared" si="20"/>
        <v>130.58823529411765</v>
      </c>
      <c r="J169" s="145"/>
      <c r="K169" s="146"/>
      <c r="L169" s="165"/>
      <c r="M169" s="145"/>
      <c r="N169" s="146"/>
      <c r="O169" s="144"/>
      <c r="P169" s="145"/>
      <c r="Q169" s="146"/>
      <c r="R169" s="9"/>
    </row>
    <row r="170" spans="1:18" s="209" customFormat="1" ht="63.75" customHeight="1">
      <c r="A170" s="127" t="s">
        <v>949</v>
      </c>
      <c r="B170" s="153" t="s">
        <v>950</v>
      </c>
      <c r="C170" s="128">
        <v>165900</v>
      </c>
      <c r="D170" s="93">
        <f>G170+J170+M170+P170</f>
        <v>181000</v>
      </c>
      <c r="E170" s="93">
        <f>H170+K170+N170+Q170</f>
        <v>178872</v>
      </c>
      <c r="F170" s="129">
        <f t="shared" si="17"/>
        <v>98.82430939226519</v>
      </c>
      <c r="G170" s="22">
        <f>165900-400+3500+12000</f>
        <v>181000</v>
      </c>
      <c r="H170" s="21">
        <v>178872</v>
      </c>
      <c r="I170" s="129">
        <f t="shared" si="20"/>
        <v>98.82430939226519</v>
      </c>
      <c r="J170" s="22"/>
      <c r="K170" s="21"/>
      <c r="L170" s="148"/>
      <c r="M170" s="22"/>
      <c r="N170" s="21"/>
      <c r="O170" s="129"/>
      <c r="P170" s="22"/>
      <c r="Q170" s="21"/>
      <c r="R170" s="7"/>
    </row>
    <row r="171" spans="1:18" s="209" customFormat="1" ht="27" customHeight="1">
      <c r="A171" s="127" t="s">
        <v>933</v>
      </c>
      <c r="B171" s="229" t="s">
        <v>983</v>
      </c>
      <c r="C171" s="128"/>
      <c r="D171" s="93">
        <f>G171</f>
        <v>305</v>
      </c>
      <c r="E171" s="93">
        <f>H171+K171+N171+Q171</f>
        <v>397</v>
      </c>
      <c r="F171" s="129">
        <f t="shared" si="17"/>
        <v>130.1639344262295</v>
      </c>
      <c r="G171" s="22">
        <v>305</v>
      </c>
      <c r="H171" s="21">
        <v>397</v>
      </c>
      <c r="I171" s="129">
        <f t="shared" si="20"/>
        <v>130.1639344262295</v>
      </c>
      <c r="J171" s="22"/>
      <c r="K171" s="21"/>
      <c r="L171" s="148"/>
      <c r="M171" s="22"/>
      <c r="N171" s="21"/>
      <c r="O171" s="129"/>
      <c r="P171" s="22"/>
      <c r="Q171" s="21"/>
      <c r="R171" s="7"/>
    </row>
    <row r="172" spans="1:18" s="209" customFormat="1" ht="74.25" customHeight="1">
      <c r="A172" s="131" t="s">
        <v>1057</v>
      </c>
      <c r="B172" s="186" t="s">
        <v>366</v>
      </c>
      <c r="C172" s="132"/>
      <c r="D172" s="133">
        <f>G172</f>
        <v>100000</v>
      </c>
      <c r="E172" s="133">
        <f>H172+K172+N172+Q172</f>
        <v>100000</v>
      </c>
      <c r="F172" s="118">
        <f t="shared" si="17"/>
        <v>100</v>
      </c>
      <c r="G172" s="34">
        <v>100000</v>
      </c>
      <c r="H172" s="35">
        <v>100000</v>
      </c>
      <c r="I172" s="118">
        <f t="shared" si="20"/>
        <v>100</v>
      </c>
      <c r="J172" s="34"/>
      <c r="K172" s="35"/>
      <c r="L172" s="441"/>
      <c r="M172" s="34"/>
      <c r="N172" s="35"/>
      <c r="O172" s="118"/>
      <c r="P172" s="34"/>
      <c r="Q172" s="35"/>
      <c r="R172" s="10"/>
    </row>
    <row r="173" spans="1:18" ht="30" customHeight="1">
      <c r="A173" s="135" t="s">
        <v>55</v>
      </c>
      <c r="B173" s="136" t="s">
        <v>56</v>
      </c>
      <c r="C173" s="216">
        <f>C174</f>
        <v>15300</v>
      </c>
      <c r="D173" s="139">
        <f>D174</f>
        <v>15300</v>
      </c>
      <c r="E173" s="139">
        <f>E174</f>
        <v>16468</v>
      </c>
      <c r="F173" s="124">
        <f>E173/D173*100</f>
        <v>107.63398692810458</v>
      </c>
      <c r="G173" s="122">
        <f>SUM(G174:G175)</f>
        <v>15300</v>
      </c>
      <c r="H173" s="123">
        <f>SUM(H174:H175)</f>
        <v>16468</v>
      </c>
      <c r="I173" s="108">
        <f>H173/G173*100</f>
        <v>107.63398692810458</v>
      </c>
      <c r="J173" s="138"/>
      <c r="K173" s="139"/>
      <c r="L173" s="398"/>
      <c r="M173" s="138"/>
      <c r="N173" s="139"/>
      <c r="O173" s="12"/>
      <c r="P173" s="138"/>
      <c r="Q173" s="139"/>
      <c r="R173" s="12"/>
    </row>
    <row r="174" spans="1:18" ht="13.5" customHeight="1">
      <c r="A174" s="127" t="s">
        <v>47</v>
      </c>
      <c r="B174" s="153" t="s">
        <v>48</v>
      </c>
      <c r="C174" s="128">
        <v>15300</v>
      </c>
      <c r="D174" s="93">
        <f>G174+J174+M174+P174</f>
        <v>15300</v>
      </c>
      <c r="E174" s="93">
        <f>H174+K174+N174+Q174</f>
        <v>16468</v>
      </c>
      <c r="F174" s="129"/>
      <c r="G174" s="22">
        <v>15300</v>
      </c>
      <c r="H174" s="21">
        <v>16468</v>
      </c>
      <c r="I174" s="129"/>
      <c r="J174" s="22"/>
      <c r="K174" s="21"/>
      <c r="L174" s="148"/>
      <c r="M174" s="22"/>
      <c r="N174" s="21"/>
      <c r="O174" s="129"/>
      <c r="P174" s="22"/>
      <c r="Q174" s="21"/>
      <c r="R174" s="7"/>
    </row>
    <row r="175" spans="1:18" ht="20.25" customHeight="1">
      <c r="A175" s="135" t="s">
        <v>57</v>
      </c>
      <c r="B175" s="136" t="s">
        <v>723</v>
      </c>
      <c r="C175" s="137">
        <f>SUM(C176:C181)</f>
        <v>138200</v>
      </c>
      <c r="D175" s="107">
        <f>SUM(D176:D181)</f>
        <v>291300</v>
      </c>
      <c r="E175" s="107">
        <f>SUM(E176:E181)</f>
        <v>279904</v>
      </c>
      <c r="F175" s="108">
        <f t="shared" si="17"/>
        <v>96.0878819086852</v>
      </c>
      <c r="G175" s="138"/>
      <c r="H175" s="139"/>
      <c r="I175" s="151"/>
      <c r="J175" s="181"/>
      <c r="K175" s="182"/>
      <c r="L175" s="253"/>
      <c r="M175" s="206">
        <f>SUM(M176:M181)</f>
        <v>291300</v>
      </c>
      <c r="N175" s="205">
        <f>SUM(N176:N181)</f>
        <v>279904</v>
      </c>
      <c r="O175" s="108">
        <f>N175/M175*100</f>
        <v>96.0878819086852</v>
      </c>
      <c r="P175" s="206"/>
      <c r="Q175" s="205"/>
      <c r="R175" s="253"/>
    </row>
    <row r="176" spans="1:18" s="209" customFormat="1" ht="24">
      <c r="A176" s="141" t="s">
        <v>948</v>
      </c>
      <c r="B176" s="190" t="s">
        <v>46</v>
      </c>
      <c r="C176" s="142">
        <v>2900</v>
      </c>
      <c r="D176" s="143">
        <f aca="true" t="shared" si="22" ref="D176:E181">G176+J176+M176+P176</f>
        <v>3500</v>
      </c>
      <c r="E176" s="143">
        <f t="shared" si="22"/>
        <v>3878</v>
      </c>
      <c r="F176" s="144">
        <f t="shared" si="17"/>
        <v>110.80000000000001</v>
      </c>
      <c r="G176" s="145"/>
      <c r="H176" s="146"/>
      <c r="I176" s="144"/>
      <c r="J176" s="145"/>
      <c r="K176" s="146"/>
      <c r="L176" s="165"/>
      <c r="M176" s="145">
        <f>2900+600</f>
        <v>3500</v>
      </c>
      <c r="N176" s="146">
        <v>3878</v>
      </c>
      <c r="O176" s="144">
        <f>N176/M176*100</f>
        <v>110.80000000000001</v>
      </c>
      <c r="P176" s="145"/>
      <c r="Q176" s="146"/>
      <c r="R176" s="9"/>
    </row>
    <row r="177" spans="1:18" s="209" customFormat="1" ht="61.5" customHeight="1">
      <c r="A177" s="131" t="s">
        <v>949</v>
      </c>
      <c r="B177" s="186" t="s">
        <v>950</v>
      </c>
      <c r="C177" s="132">
        <v>130300</v>
      </c>
      <c r="D177" s="133">
        <f t="shared" si="22"/>
        <v>279700</v>
      </c>
      <c r="E177" s="133">
        <f t="shared" si="22"/>
        <v>269101</v>
      </c>
      <c r="F177" s="118">
        <f t="shared" si="17"/>
        <v>96.21058276725063</v>
      </c>
      <c r="G177" s="34"/>
      <c r="H177" s="35"/>
      <c r="I177" s="118"/>
      <c r="J177" s="34"/>
      <c r="K177" s="35"/>
      <c r="L177" s="441"/>
      <c r="M177" s="34">
        <f>130300+47000+50000+42000+15000-4600</f>
        <v>279700</v>
      </c>
      <c r="N177" s="35">
        <v>269101</v>
      </c>
      <c r="O177" s="10">
        <f>N177/M177*100</f>
        <v>96.21058276725063</v>
      </c>
      <c r="P177" s="34"/>
      <c r="Q177" s="35"/>
      <c r="R177" s="118"/>
    </row>
    <row r="178" spans="1:18" s="209" customFormat="1" ht="13.5" customHeight="1">
      <c r="A178" s="127" t="s">
        <v>47</v>
      </c>
      <c r="B178" s="153" t="s">
        <v>48</v>
      </c>
      <c r="C178" s="128">
        <v>5000</v>
      </c>
      <c r="D178" s="93">
        <f t="shared" si="22"/>
        <v>5000</v>
      </c>
      <c r="E178" s="93">
        <f t="shared" si="22"/>
        <v>4794</v>
      </c>
      <c r="F178" s="129">
        <f t="shared" si="17"/>
        <v>95.88</v>
      </c>
      <c r="G178" s="22"/>
      <c r="H178" s="21"/>
      <c r="I178" s="129"/>
      <c r="J178" s="22"/>
      <c r="K178" s="21"/>
      <c r="L178" s="148"/>
      <c r="M178" s="22">
        <v>5000</v>
      </c>
      <c r="N178" s="21">
        <v>4794</v>
      </c>
      <c r="O178" s="129">
        <f>N178/M178*100</f>
        <v>95.88</v>
      </c>
      <c r="P178" s="22"/>
      <c r="Q178" s="21"/>
      <c r="R178" s="7"/>
    </row>
    <row r="179" spans="1:19" ht="21.75" customHeight="1">
      <c r="A179" s="127" t="s">
        <v>933</v>
      </c>
      <c r="B179" s="153" t="s">
        <v>983</v>
      </c>
      <c r="C179" s="128"/>
      <c r="D179" s="93">
        <f t="shared" si="22"/>
        <v>500</v>
      </c>
      <c r="E179" s="93">
        <f t="shared" si="22"/>
        <v>182</v>
      </c>
      <c r="F179" s="129">
        <f t="shared" si="17"/>
        <v>36.4</v>
      </c>
      <c r="G179" s="22"/>
      <c r="H179" s="21"/>
      <c r="I179" s="129"/>
      <c r="J179" s="22"/>
      <c r="K179" s="21"/>
      <c r="L179" s="148"/>
      <c r="M179" s="22">
        <f>300+200</f>
        <v>500</v>
      </c>
      <c r="N179" s="21">
        <v>182</v>
      </c>
      <c r="O179" s="129">
        <f>N179/M179*100</f>
        <v>36.4</v>
      </c>
      <c r="P179" s="22"/>
      <c r="Q179" s="21"/>
      <c r="R179" s="7"/>
      <c r="S179" s="209"/>
    </row>
    <row r="180" spans="1:18" s="209" customFormat="1" ht="18.75" customHeight="1">
      <c r="A180" s="131" t="s">
        <v>966</v>
      </c>
      <c r="B180" s="186" t="s">
        <v>244</v>
      </c>
      <c r="C180" s="132"/>
      <c r="D180" s="133">
        <f t="shared" si="22"/>
        <v>300</v>
      </c>
      <c r="E180" s="133">
        <f t="shared" si="22"/>
        <v>275</v>
      </c>
      <c r="F180" s="118">
        <f t="shared" si="17"/>
        <v>91.66666666666666</v>
      </c>
      <c r="G180" s="34"/>
      <c r="H180" s="35"/>
      <c r="I180" s="118"/>
      <c r="J180" s="34"/>
      <c r="K180" s="35"/>
      <c r="L180" s="441"/>
      <c r="M180" s="34">
        <f>100+200</f>
        <v>300</v>
      </c>
      <c r="N180" s="35">
        <v>275</v>
      </c>
      <c r="O180" s="118">
        <f aca="true" t="shared" si="23" ref="O180:O191">N180/M180*100</f>
        <v>91.66666666666666</v>
      </c>
      <c r="P180" s="34"/>
      <c r="Q180" s="35"/>
      <c r="R180" s="10"/>
    </row>
    <row r="181" spans="1:18" ht="15.75" customHeight="1">
      <c r="A181" s="131" t="s">
        <v>939</v>
      </c>
      <c r="B181" s="186" t="s">
        <v>959</v>
      </c>
      <c r="C181" s="132"/>
      <c r="D181" s="133">
        <f t="shared" si="22"/>
        <v>2300</v>
      </c>
      <c r="E181" s="133">
        <f t="shared" si="22"/>
        <v>1674</v>
      </c>
      <c r="F181" s="129">
        <f t="shared" si="17"/>
        <v>72.78260869565217</v>
      </c>
      <c r="G181" s="22"/>
      <c r="H181" s="21"/>
      <c r="I181" s="129"/>
      <c r="J181" s="22"/>
      <c r="K181" s="21"/>
      <c r="L181" s="148"/>
      <c r="M181" s="22">
        <v>2300</v>
      </c>
      <c r="N181" s="21">
        <v>1674</v>
      </c>
      <c r="O181" s="129">
        <f t="shared" si="23"/>
        <v>72.78260869565217</v>
      </c>
      <c r="P181" s="22"/>
      <c r="Q181" s="35"/>
      <c r="R181" s="10"/>
    </row>
    <row r="182" spans="1:18" ht="15" customHeight="1">
      <c r="A182" s="135" t="s">
        <v>58</v>
      </c>
      <c r="B182" s="136" t="s">
        <v>726</v>
      </c>
      <c r="C182" s="137">
        <f>SUM(C183:C187)</f>
        <v>285600</v>
      </c>
      <c r="D182" s="107">
        <f>SUM(D183:D187)</f>
        <v>361550</v>
      </c>
      <c r="E182" s="107">
        <f>SUM(E183:E187)</f>
        <v>351228</v>
      </c>
      <c r="F182" s="108">
        <f t="shared" si="17"/>
        <v>97.14506983819665</v>
      </c>
      <c r="G182" s="138"/>
      <c r="H182" s="139"/>
      <c r="I182" s="151"/>
      <c r="J182" s="206"/>
      <c r="K182" s="205"/>
      <c r="L182" s="253"/>
      <c r="M182" s="206">
        <f>SUM(M183:M187)</f>
        <v>361550</v>
      </c>
      <c r="N182" s="205">
        <f>SUM(N183:N187)</f>
        <v>351228</v>
      </c>
      <c r="O182" s="108">
        <f t="shared" si="23"/>
        <v>97.14506983819665</v>
      </c>
      <c r="P182" s="206"/>
      <c r="Q182" s="205"/>
      <c r="R182" s="253"/>
    </row>
    <row r="183" spans="1:18" s="209" customFormat="1" ht="22.5" customHeight="1">
      <c r="A183" s="141" t="s">
        <v>948</v>
      </c>
      <c r="B183" s="190" t="s">
        <v>59</v>
      </c>
      <c r="C183" s="142">
        <v>3900</v>
      </c>
      <c r="D183" s="143">
        <f aca="true" t="shared" si="24" ref="D183:E187">G183+J183+M183+P183</f>
        <v>3900</v>
      </c>
      <c r="E183" s="143">
        <f t="shared" si="24"/>
        <v>3486</v>
      </c>
      <c r="F183" s="144">
        <f t="shared" si="17"/>
        <v>89.38461538461539</v>
      </c>
      <c r="G183" s="191"/>
      <c r="H183" s="146"/>
      <c r="I183" s="144"/>
      <c r="J183" s="145"/>
      <c r="K183" s="146"/>
      <c r="L183" s="165"/>
      <c r="M183" s="191">
        <v>3900</v>
      </c>
      <c r="N183" s="146">
        <v>3486</v>
      </c>
      <c r="O183" s="144">
        <f t="shared" si="23"/>
        <v>89.38461538461539</v>
      </c>
      <c r="P183" s="145"/>
      <c r="Q183" s="146"/>
      <c r="R183" s="9"/>
    </row>
    <row r="184" spans="1:18" s="209" customFormat="1" ht="64.5" customHeight="1">
      <c r="A184" s="127" t="s">
        <v>949</v>
      </c>
      <c r="B184" s="153" t="s">
        <v>950</v>
      </c>
      <c r="C184" s="128">
        <v>278100</v>
      </c>
      <c r="D184" s="93">
        <f t="shared" si="24"/>
        <v>352200</v>
      </c>
      <c r="E184" s="93">
        <f t="shared" si="24"/>
        <v>341991</v>
      </c>
      <c r="F184" s="129">
        <f t="shared" si="17"/>
        <v>97.10136286201022</v>
      </c>
      <c r="G184" s="187"/>
      <c r="H184" s="21"/>
      <c r="I184" s="129"/>
      <c r="J184" s="22"/>
      <c r="K184" s="21"/>
      <c r="L184" s="148"/>
      <c r="M184" s="187">
        <f>278100+39000+24600+10500</f>
        <v>352200</v>
      </c>
      <c r="N184" s="21">
        <v>341991</v>
      </c>
      <c r="O184" s="129">
        <f t="shared" si="23"/>
        <v>97.10136286201022</v>
      </c>
      <c r="P184" s="22"/>
      <c r="Q184" s="21"/>
      <c r="R184" s="7"/>
    </row>
    <row r="185" spans="1:18" ht="15.75" customHeight="1">
      <c r="A185" s="127" t="s">
        <v>47</v>
      </c>
      <c r="B185" s="153" t="s">
        <v>48</v>
      </c>
      <c r="C185" s="128">
        <v>3500</v>
      </c>
      <c r="D185" s="93">
        <f>G185+J185+M185+P185</f>
        <v>4900</v>
      </c>
      <c r="E185" s="93">
        <f>H185+K185+N185+Q185</f>
        <v>5310</v>
      </c>
      <c r="F185" s="129">
        <f>E185/D185*100</f>
        <v>108.3673469387755</v>
      </c>
      <c r="G185" s="187"/>
      <c r="H185" s="21"/>
      <c r="I185" s="129"/>
      <c r="J185" s="22"/>
      <c r="K185" s="21"/>
      <c r="L185" s="148"/>
      <c r="M185" s="187">
        <f>3500+900+500</f>
        <v>4900</v>
      </c>
      <c r="N185" s="21">
        <v>5310</v>
      </c>
      <c r="O185" s="129">
        <f t="shared" si="23"/>
        <v>108.3673469387755</v>
      </c>
      <c r="P185" s="22"/>
      <c r="Q185" s="21"/>
      <c r="R185" s="7"/>
    </row>
    <row r="186" spans="1:18" ht="15.75" customHeight="1">
      <c r="A186" s="127" t="s">
        <v>966</v>
      </c>
      <c r="B186" s="153" t="s">
        <v>244</v>
      </c>
      <c r="C186" s="128"/>
      <c r="D186" s="93">
        <f t="shared" si="24"/>
        <v>350</v>
      </c>
      <c r="E186" s="93">
        <f t="shared" si="24"/>
        <v>264</v>
      </c>
      <c r="F186" s="129">
        <f>E186/D186*100</f>
        <v>75.42857142857143</v>
      </c>
      <c r="G186" s="187"/>
      <c r="H186" s="21"/>
      <c r="I186" s="129"/>
      <c r="J186" s="22"/>
      <c r="K186" s="21"/>
      <c r="L186" s="148"/>
      <c r="M186" s="187">
        <f>200+150</f>
        <v>350</v>
      </c>
      <c r="N186" s="21">
        <v>264</v>
      </c>
      <c r="O186" s="129">
        <f t="shared" si="23"/>
        <v>75.42857142857143</v>
      </c>
      <c r="P186" s="22"/>
      <c r="Q186" s="21"/>
      <c r="R186" s="7"/>
    </row>
    <row r="187" spans="1:18" ht="17.25" customHeight="1">
      <c r="A187" s="131" t="s">
        <v>939</v>
      </c>
      <c r="B187" s="186" t="s">
        <v>959</v>
      </c>
      <c r="C187" s="132">
        <v>100</v>
      </c>
      <c r="D187" s="133">
        <f t="shared" si="24"/>
        <v>200</v>
      </c>
      <c r="E187" s="133">
        <f t="shared" si="24"/>
        <v>177</v>
      </c>
      <c r="F187" s="118">
        <f t="shared" si="17"/>
        <v>88.5</v>
      </c>
      <c r="G187" s="188"/>
      <c r="H187" s="35"/>
      <c r="I187" s="118"/>
      <c r="J187" s="34"/>
      <c r="K187" s="35"/>
      <c r="L187" s="441"/>
      <c r="M187" s="188">
        <f>100+100</f>
        <v>200</v>
      </c>
      <c r="N187" s="35">
        <v>177</v>
      </c>
      <c r="O187" s="118">
        <f t="shared" si="23"/>
        <v>88.5</v>
      </c>
      <c r="P187" s="34"/>
      <c r="Q187" s="35"/>
      <c r="R187" s="10"/>
    </row>
    <row r="188" spans="1:18" ht="24.75" customHeight="1">
      <c r="A188" s="135" t="s">
        <v>60</v>
      </c>
      <c r="B188" s="136" t="s">
        <v>61</v>
      </c>
      <c r="C188" s="137">
        <f>SUM(C189:C192)</f>
        <v>58900</v>
      </c>
      <c r="D188" s="107">
        <f>SUM(D189:D192)</f>
        <v>52580</v>
      </c>
      <c r="E188" s="107">
        <f>SUM(E189:E192)</f>
        <v>50136</v>
      </c>
      <c r="F188" s="180">
        <f t="shared" si="17"/>
        <v>95.35184480791176</v>
      </c>
      <c r="G188" s="138"/>
      <c r="H188" s="139"/>
      <c r="I188" s="151"/>
      <c r="J188" s="206"/>
      <c r="K188" s="205"/>
      <c r="L188" s="253"/>
      <c r="M188" s="206">
        <f>SUM(M189:M192)</f>
        <v>52580</v>
      </c>
      <c r="N188" s="205">
        <f>SUM(N189:N192)</f>
        <v>50136</v>
      </c>
      <c r="O188" s="108">
        <f t="shared" si="23"/>
        <v>95.35184480791176</v>
      </c>
      <c r="P188" s="206"/>
      <c r="Q188" s="205"/>
      <c r="R188" s="253"/>
    </row>
    <row r="189" spans="1:18" s="209" customFormat="1" ht="24">
      <c r="A189" s="141" t="s">
        <v>948</v>
      </c>
      <c r="B189" s="190" t="s">
        <v>46</v>
      </c>
      <c r="C189" s="142">
        <v>700</v>
      </c>
      <c r="D189" s="143">
        <f aca="true" t="shared" si="25" ref="D189:E192">G189+J189+M189+P189</f>
        <v>1300</v>
      </c>
      <c r="E189" s="143">
        <f t="shared" si="25"/>
        <v>1172</v>
      </c>
      <c r="F189" s="144">
        <f t="shared" si="17"/>
        <v>90.15384615384615</v>
      </c>
      <c r="G189" s="191"/>
      <c r="H189" s="146"/>
      <c r="I189" s="144"/>
      <c r="J189" s="145"/>
      <c r="K189" s="146"/>
      <c r="L189" s="165"/>
      <c r="M189" s="145">
        <f>700+600</f>
        <v>1300</v>
      </c>
      <c r="N189" s="146">
        <v>1172</v>
      </c>
      <c r="O189" s="144">
        <f t="shared" si="23"/>
        <v>90.15384615384615</v>
      </c>
      <c r="P189" s="145"/>
      <c r="Q189" s="146"/>
      <c r="R189" s="9"/>
    </row>
    <row r="190" spans="1:18" s="209" customFormat="1" ht="66" customHeight="1">
      <c r="A190" s="127" t="s">
        <v>949</v>
      </c>
      <c r="B190" s="153" t="s">
        <v>950</v>
      </c>
      <c r="C190" s="128">
        <v>52000</v>
      </c>
      <c r="D190" s="93">
        <f>G190+J190+M190+P190</f>
        <v>42400</v>
      </c>
      <c r="E190" s="93">
        <f>H190+K190+N190+Q190</f>
        <v>43163</v>
      </c>
      <c r="F190" s="129">
        <f>E190/D190*100</f>
        <v>101.7995283018868</v>
      </c>
      <c r="G190" s="187"/>
      <c r="H190" s="21"/>
      <c r="I190" s="129"/>
      <c r="J190" s="22"/>
      <c r="K190" s="21"/>
      <c r="L190" s="148"/>
      <c r="M190" s="22">
        <f>52000-9600</f>
        <v>42400</v>
      </c>
      <c r="N190" s="21">
        <v>43163</v>
      </c>
      <c r="O190" s="129">
        <f t="shared" si="23"/>
        <v>101.7995283018868</v>
      </c>
      <c r="P190" s="22"/>
      <c r="Q190" s="21"/>
      <c r="R190" s="7"/>
    </row>
    <row r="191" spans="1:18" s="209" customFormat="1" ht="28.5" customHeight="1">
      <c r="A191" s="127" t="s">
        <v>933</v>
      </c>
      <c r="B191" s="153" t="s">
        <v>983</v>
      </c>
      <c r="C191" s="128"/>
      <c r="D191" s="93">
        <f t="shared" si="25"/>
        <v>6200</v>
      </c>
      <c r="E191" s="93">
        <f t="shared" si="25"/>
        <v>3160</v>
      </c>
      <c r="F191" s="129">
        <f t="shared" si="17"/>
        <v>50.967741935483865</v>
      </c>
      <c r="G191" s="187"/>
      <c r="H191" s="21"/>
      <c r="I191" s="129"/>
      <c r="J191" s="22"/>
      <c r="K191" s="21"/>
      <c r="L191" s="148"/>
      <c r="M191" s="22">
        <v>6200</v>
      </c>
      <c r="N191" s="21">
        <v>3160</v>
      </c>
      <c r="O191" s="129">
        <f t="shared" si="23"/>
        <v>50.967741935483865</v>
      </c>
      <c r="P191" s="22"/>
      <c r="Q191" s="21"/>
      <c r="R191" s="7"/>
    </row>
    <row r="192" spans="1:18" ht="18.75" customHeight="1">
      <c r="A192" s="131" t="s">
        <v>939</v>
      </c>
      <c r="B192" s="186" t="s">
        <v>959</v>
      </c>
      <c r="C192" s="132">
        <v>6200</v>
      </c>
      <c r="D192" s="133">
        <f t="shared" si="25"/>
        <v>2680</v>
      </c>
      <c r="E192" s="133">
        <f t="shared" si="25"/>
        <v>2641</v>
      </c>
      <c r="F192" s="118">
        <f>E192/D192*100</f>
        <v>98.54477611940298</v>
      </c>
      <c r="G192" s="188"/>
      <c r="H192" s="35"/>
      <c r="I192" s="118"/>
      <c r="J192" s="34"/>
      <c r="K192" s="35"/>
      <c r="L192" s="441"/>
      <c r="M192" s="34">
        <f>1710+970</f>
        <v>2680</v>
      </c>
      <c r="N192" s="35">
        <v>2641</v>
      </c>
      <c r="O192" s="118">
        <f>N192/M192*100</f>
        <v>98.54477611940298</v>
      </c>
      <c r="P192" s="34"/>
      <c r="Q192" s="35"/>
      <c r="R192" s="10"/>
    </row>
    <row r="193" spans="1:18" ht="17.25" customHeight="1">
      <c r="A193" s="135" t="s">
        <v>62</v>
      </c>
      <c r="B193" s="136" t="s">
        <v>233</v>
      </c>
      <c r="C193" s="125">
        <f>SUM(C194:C198)</f>
        <v>174000</v>
      </c>
      <c r="D193" s="107">
        <f>G193+J193+M193+P193</f>
        <v>1046602</v>
      </c>
      <c r="E193" s="107">
        <f>H193+K193+N193+Q193</f>
        <v>685027</v>
      </c>
      <c r="F193" s="180">
        <f t="shared" si="17"/>
        <v>65.45248336999165</v>
      </c>
      <c r="G193" s="125">
        <f>G195+G197+G198+G202</f>
        <v>574916</v>
      </c>
      <c r="H193" s="107">
        <f>H195+H197+H198+H202</f>
        <v>256754</v>
      </c>
      <c r="I193" s="174">
        <f>H193/G193*100</f>
        <v>44.659393720126076</v>
      </c>
      <c r="J193" s="138">
        <f>J194</f>
        <v>2500</v>
      </c>
      <c r="K193" s="139">
        <f>K194</f>
        <v>2500</v>
      </c>
      <c r="L193" s="253">
        <f>K193/J193*100</f>
        <v>100</v>
      </c>
      <c r="M193" s="138">
        <f>SUM(M194:M198)</f>
        <v>469186</v>
      </c>
      <c r="N193" s="139">
        <f>SUM(N194:N198)</f>
        <v>425773</v>
      </c>
      <c r="O193" s="124">
        <f>N193/M193*100</f>
        <v>90.74716636898799</v>
      </c>
      <c r="P193" s="138"/>
      <c r="Q193" s="139"/>
      <c r="R193" s="6"/>
    </row>
    <row r="194" spans="1:18" s="209" customFormat="1" ht="90" customHeight="1">
      <c r="A194" s="141" t="s">
        <v>971</v>
      </c>
      <c r="B194" s="252" t="s">
        <v>367</v>
      </c>
      <c r="C194" s="142"/>
      <c r="D194" s="143">
        <f>J194</f>
        <v>2500</v>
      </c>
      <c r="E194" s="143">
        <f>K194</f>
        <v>2500</v>
      </c>
      <c r="F194" s="184"/>
      <c r="G194" s="145"/>
      <c r="H194" s="146"/>
      <c r="I194" s="144"/>
      <c r="J194" s="145">
        <v>2500</v>
      </c>
      <c r="K194" s="146">
        <v>2500</v>
      </c>
      <c r="L194" s="165"/>
      <c r="M194" s="145"/>
      <c r="N194" s="146"/>
      <c r="O194" s="144"/>
      <c r="P194" s="145"/>
      <c r="Q194" s="146"/>
      <c r="R194" s="9"/>
    </row>
    <row r="195" spans="1:18" s="209" customFormat="1" ht="48" customHeight="1">
      <c r="A195" s="127" t="s">
        <v>49</v>
      </c>
      <c r="B195" s="153" t="s">
        <v>65</v>
      </c>
      <c r="C195" s="128">
        <v>174000</v>
      </c>
      <c r="D195" s="93">
        <f>G195+J195+M195+P195</f>
        <v>4092</v>
      </c>
      <c r="E195" s="93">
        <f>H195+K195+N195+Q195</f>
        <v>3432</v>
      </c>
      <c r="F195" s="129"/>
      <c r="G195" s="22">
        <f>174000-174000+46421+4092-46421</f>
        <v>4092</v>
      </c>
      <c r="H195" s="21">
        <v>3432</v>
      </c>
      <c r="I195" s="129">
        <f>H195/G195*100</f>
        <v>83.87096774193549</v>
      </c>
      <c r="J195" s="22"/>
      <c r="K195" s="21"/>
      <c r="L195" s="148"/>
      <c r="M195" s="22"/>
      <c r="N195" s="21"/>
      <c r="O195" s="129"/>
      <c r="P195" s="22"/>
      <c r="Q195" s="21"/>
      <c r="R195" s="7"/>
    </row>
    <row r="196" spans="1:18" s="209" customFormat="1" ht="54" customHeight="1">
      <c r="A196" s="127" t="s">
        <v>63</v>
      </c>
      <c r="B196" s="229" t="s">
        <v>64</v>
      </c>
      <c r="C196" s="128"/>
      <c r="D196" s="93">
        <f>M196</f>
        <v>46421</v>
      </c>
      <c r="E196" s="93">
        <f>N196</f>
        <v>46421</v>
      </c>
      <c r="F196" s="129"/>
      <c r="G196" s="22"/>
      <c r="H196" s="21"/>
      <c r="I196" s="129"/>
      <c r="J196" s="22"/>
      <c r="K196" s="21"/>
      <c r="L196" s="148"/>
      <c r="M196" s="22">
        <v>46421</v>
      </c>
      <c r="N196" s="21">
        <v>46421</v>
      </c>
      <c r="O196" s="129">
        <f>N196/M196*100</f>
        <v>100</v>
      </c>
      <c r="P196" s="22"/>
      <c r="Q196" s="21"/>
      <c r="R196" s="7"/>
    </row>
    <row r="197" spans="1:18" s="209" customFormat="1" ht="48.75" customHeight="1">
      <c r="A197" s="127" t="s">
        <v>66</v>
      </c>
      <c r="B197" s="153" t="s">
        <v>368</v>
      </c>
      <c r="C197" s="128"/>
      <c r="D197" s="93">
        <f>G197</f>
        <v>4573</v>
      </c>
      <c r="E197" s="93">
        <f>H197+K197+N197+Q197</f>
        <v>4210</v>
      </c>
      <c r="F197" s="129">
        <f>E197/D197*100</f>
        <v>92.06210365186966</v>
      </c>
      <c r="G197" s="22">
        <v>4573</v>
      </c>
      <c r="H197" s="21">
        <v>4210</v>
      </c>
      <c r="I197" s="129">
        <f>H197/G197*100</f>
        <v>92.06210365186966</v>
      </c>
      <c r="J197" s="22"/>
      <c r="K197" s="21"/>
      <c r="L197" s="148"/>
      <c r="M197" s="22"/>
      <c r="N197" s="21"/>
      <c r="O197" s="129"/>
      <c r="P197" s="22"/>
      <c r="Q197" s="21"/>
      <c r="R197" s="7"/>
    </row>
    <row r="198" spans="1:18" s="209" customFormat="1" ht="42" customHeight="1">
      <c r="A198" s="127" t="s">
        <v>14</v>
      </c>
      <c r="B198" s="153" t="s">
        <v>15</v>
      </c>
      <c r="C198" s="128"/>
      <c r="D198" s="93">
        <f>D199+D200</f>
        <v>679314</v>
      </c>
      <c r="E198" s="93">
        <f>H198+K198+N198+Q198</f>
        <v>628464</v>
      </c>
      <c r="F198" s="129">
        <f>E198/D198*100</f>
        <v>92.5145072823466</v>
      </c>
      <c r="G198" s="22">
        <f>G199</f>
        <v>256549</v>
      </c>
      <c r="H198" s="21">
        <f>H199</f>
        <v>249112</v>
      </c>
      <c r="I198" s="129">
        <f>H198/G198*100</f>
        <v>97.10113857391765</v>
      </c>
      <c r="J198" s="22"/>
      <c r="K198" s="21"/>
      <c r="L198" s="148"/>
      <c r="M198" s="22">
        <f>SUM(M199:M200)</f>
        <v>422765</v>
      </c>
      <c r="N198" s="21">
        <v>379352</v>
      </c>
      <c r="O198" s="129">
        <f>N198/M198*100</f>
        <v>89.73117452958499</v>
      </c>
      <c r="P198" s="22"/>
      <c r="Q198" s="21"/>
      <c r="R198" s="7"/>
    </row>
    <row r="199" spans="1:18" s="340" customFormat="1" ht="10.5" customHeight="1">
      <c r="A199" s="335"/>
      <c r="B199" s="449" t="s">
        <v>16</v>
      </c>
      <c r="C199" s="337"/>
      <c r="D199" s="271">
        <f>G199+M199</f>
        <v>338965</v>
      </c>
      <c r="E199" s="271">
        <f>H199</f>
        <v>249112</v>
      </c>
      <c r="F199" s="339">
        <f>E199/D199*100</f>
        <v>73.49195344652102</v>
      </c>
      <c r="G199" s="20">
        <f>45765+48278+78667+78667+5172</f>
        <v>256549</v>
      </c>
      <c r="H199" s="19">
        <v>249112</v>
      </c>
      <c r="I199" s="339"/>
      <c r="J199" s="18"/>
      <c r="K199" s="19"/>
      <c r="L199" s="333"/>
      <c r="M199" s="18">
        <f>77244+5172</f>
        <v>82416</v>
      </c>
      <c r="N199" s="19">
        <f>N198-N200</f>
        <v>82102</v>
      </c>
      <c r="O199" s="339">
        <f>N199/M199*100</f>
        <v>99.61900601824888</v>
      </c>
      <c r="P199" s="18"/>
      <c r="Q199" s="19"/>
      <c r="R199" s="2"/>
    </row>
    <row r="200" spans="1:18" s="340" customFormat="1" ht="16.5" customHeight="1">
      <c r="A200" s="335"/>
      <c r="B200" s="449" t="s">
        <v>17</v>
      </c>
      <c r="C200" s="337"/>
      <c r="D200" s="271">
        <f>M200</f>
        <v>340349</v>
      </c>
      <c r="E200" s="271">
        <f>N200</f>
        <v>297250</v>
      </c>
      <c r="F200" s="339">
        <f>E200/D200*100</f>
        <v>87.33682190927547</v>
      </c>
      <c r="G200" s="20"/>
      <c r="H200" s="19"/>
      <c r="I200" s="339"/>
      <c r="J200" s="18"/>
      <c r="K200" s="19"/>
      <c r="L200" s="333"/>
      <c r="M200" s="18">
        <f>39380+300969</f>
        <v>340349</v>
      </c>
      <c r="N200" s="19">
        <v>297250</v>
      </c>
      <c r="O200" s="339">
        <f>N200/M200*100</f>
        <v>87.33682190927547</v>
      </c>
      <c r="P200" s="18"/>
      <c r="Q200" s="19"/>
      <c r="R200" s="2"/>
    </row>
    <row r="201" spans="1:18" s="340" customFormat="1" ht="7.5" customHeight="1">
      <c r="A201" s="335"/>
      <c r="B201" s="449"/>
      <c r="C201" s="337"/>
      <c r="D201" s="271"/>
      <c r="E201" s="271"/>
      <c r="F201" s="339"/>
      <c r="G201" s="20"/>
      <c r="H201" s="19"/>
      <c r="I201" s="339"/>
      <c r="J201" s="18"/>
      <c r="K201" s="19"/>
      <c r="L201" s="333"/>
      <c r="M201" s="18"/>
      <c r="N201" s="19"/>
      <c r="O201" s="339"/>
      <c r="P201" s="18"/>
      <c r="Q201" s="19"/>
      <c r="R201" s="2"/>
    </row>
    <row r="202" spans="1:18" s="561" customFormat="1" ht="20.25" customHeight="1">
      <c r="A202" s="558"/>
      <c r="B202" s="559" t="s">
        <v>369</v>
      </c>
      <c r="C202" s="388"/>
      <c r="D202" s="389">
        <f>SUM(D203:D206)</f>
        <v>309702</v>
      </c>
      <c r="E202" s="389"/>
      <c r="F202" s="403"/>
      <c r="G202" s="560">
        <f>SUM(G203:G206)</f>
        <v>309702</v>
      </c>
      <c r="H202" s="391"/>
      <c r="I202" s="403"/>
      <c r="J202" s="393"/>
      <c r="K202" s="391"/>
      <c r="L202" s="330"/>
      <c r="M202" s="393"/>
      <c r="N202" s="391"/>
      <c r="O202" s="403"/>
      <c r="P202" s="393"/>
      <c r="Q202" s="391"/>
      <c r="R202" s="14"/>
    </row>
    <row r="203" spans="1:18" s="209" customFormat="1" ht="38.25" customHeight="1">
      <c r="A203" s="127" t="s">
        <v>23</v>
      </c>
      <c r="B203" s="153" t="s">
        <v>24</v>
      </c>
      <c r="C203" s="128"/>
      <c r="D203" s="93">
        <f>G203</f>
        <v>82621</v>
      </c>
      <c r="E203" s="93"/>
      <c r="F203" s="129"/>
      <c r="G203" s="23">
        <v>82621</v>
      </c>
      <c r="H203" s="21"/>
      <c r="I203" s="129"/>
      <c r="J203" s="22"/>
      <c r="K203" s="21"/>
      <c r="L203" s="148"/>
      <c r="M203" s="22"/>
      <c r="N203" s="21"/>
      <c r="O203" s="129"/>
      <c r="P203" s="22"/>
      <c r="Q203" s="21"/>
      <c r="R203" s="7"/>
    </row>
    <row r="204" spans="1:18" s="209" customFormat="1" ht="39" customHeight="1">
      <c r="A204" s="131" t="s">
        <v>25</v>
      </c>
      <c r="B204" s="186" t="s">
        <v>24</v>
      </c>
      <c r="C204" s="132"/>
      <c r="D204" s="133">
        <f>G204</f>
        <v>14581</v>
      </c>
      <c r="E204" s="133"/>
      <c r="F204" s="118"/>
      <c r="G204" s="562">
        <v>14581</v>
      </c>
      <c r="H204" s="35"/>
      <c r="I204" s="118"/>
      <c r="J204" s="34"/>
      <c r="K204" s="35"/>
      <c r="L204" s="441"/>
      <c r="M204" s="34"/>
      <c r="N204" s="35"/>
      <c r="O204" s="118"/>
      <c r="P204" s="34"/>
      <c r="Q204" s="35"/>
      <c r="R204" s="10"/>
    </row>
    <row r="205" spans="1:18" s="209" customFormat="1" ht="17.25" customHeight="1">
      <c r="A205" s="127" t="s">
        <v>370</v>
      </c>
      <c r="B205" s="153" t="s">
        <v>371</v>
      </c>
      <c r="C205" s="128"/>
      <c r="D205" s="93">
        <f>G205</f>
        <v>180625</v>
      </c>
      <c r="E205" s="93"/>
      <c r="F205" s="129"/>
      <c r="G205" s="23">
        <v>180625</v>
      </c>
      <c r="H205" s="21"/>
      <c r="I205" s="129"/>
      <c r="J205" s="22"/>
      <c r="K205" s="21"/>
      <c r="L205" s="148"/>
      <c r="M205" s="22"/>
      <c r="N205" s="21"/>
      <c r="O205" s="129"/>
      <c r="P205" s="22"/>
      <c r="Q205" s="21"/>
      <c r="R205" s="7"/>
    </row>
    <row r="206" spans="1:18" s="209" customFormat="1" ht="17.25" customHeight="1" thickBot="1">
      <c r="A206" s="127" t="s">
        <v>372</v>
      </c>
      <c r="B206" s="153" t="s">
        <v>371</v>
      </c>
      <c r="C206" s="128"/>
      <c r="D206" s="93">
        <f>G206</f>
        <v>31875</v>
      </c>
      <c r="E206" s="93"/>
      <c r="F206" s="129"/>
      <c r="G206" s="23">
        <v>31875</v>
      </c>
      <c r="H206" s="21"/>
      <c r="I206" s="129"/>
      <c r="J206" s="22"/>
      <c r="K206" s="21"/>
      <c r="L206" s="148"/>
      <c r="M206" s="22"/>
      <c r="N206" s="21"/>
      <c r="O206" s="129"/>
      <c r="P206" s="22"/>
      <c r="Q206" s="21"/>
      <c r="R206" s="7"/>
    </row>
    <row r="207" spans="1:18" s="232" customFormat="1" ht="18.75" customHeight="1" thickBot="1" thickTop="1">
      <c r="A207" s="100" t="s">
        <v>67</v>
      </c>
      <c r="B207" s="166" t="s">
        <v>750</v>
      </c>
      <c r="C207" s="208">
        <f>SUM(C210)</f>
        <v>15000</v>
      </c>
      <c r="D207" s="76">
        <f>D210+D212</f>
        <v>9900</v>
      </c>
      <c r="E207" s="76">
        <f>E208+E210+E212</f>
        <v>14528</v>
      </c>
      <c r="F207" s="211">
        <f aca="true" t="shared" si="26" ref="F207:F257">E207/D207*100</f>
        <v>146.74747474747474</v>
      </c>
      <c r="G207" s="76"/>
      <c r="H207" s="76">
        <f>H208+H210+H212</f>
        <v>6266</v>
      </c>
      <c r="I207" s="211"/>
      <c r="J207" s="105"/>
      <c r="K207" s="103"/>
      <c r="L207" s="437"/>
      <c r="M207" s="105"/>
      <c r="N207" s="103"/>
      <c r="O207" s="519"/>
      <c r="P207" s="185">
        <f>P210</f>
        <v>9900</v>
      </c>
      <c r="Q207" s="76">
        <f>Q210</f>
        <v>8262</v>
      </c>
      <c r="R207" s="211">
        <f>Q207/P207*100</f>
        <v>83.45454545454545</v>
      </c>
    </row>
    <row r="208" spans="1:18" ht="25.5" customHeight="1" thickTop="1">
      <c r="A208" s="220" t="s">
        <v>373</v>
      </c>
      <c r="B208" s="221" t="s">
        <v>797</v>
      </c>
      <c r="C208" s="233"/>
      <c r="D208" s="223"/>
      <c r="E208" s="223">
        <f>H208</f>
        <v>494</v>
      </c>
      <c r="F208" s="109"/>
      <c r="G208" s="400"/>
      <c r="H208" s="223">
        <f>H209</f>
        <v>494</v>
      </c>
      <c r="I208" s="563"/>
      <c r="J208" s="222"/>
      <c r="K208" s="36"/>
      <c r="L208" s="162"/>
      <c r="M208" s="222"/>
      <c r="N208" s="36"/>
      <c r="O208" s="26"/>
      <c r="P208" s="178"/>
      <c r="Q208" s="223"/>
      <c r="R208" s="109"/>
    </row>
    <row r="209" spans="1:18" ht="52.5" customHeight="1">
      <c r="A209" s="127" t="s">
        <v>364</v>
      </c>
      <c r="B209" s="153" t="s">
        <v>365</v>
      </c>
      <c r="C209" s="128"/>
      <c r="D209" s="93"/>
      <c r="E209" s="93">
        <f>H209</f>
        <v>494</v>
      </c>
      <c r="F209" s="129"/>
      <c r="G209" s="402"/>
      <c r="H209" s="93">
        <v>494</v>
      </c>
      <c r="I209" s="396"/>
      <c r="J209" s="22"/>
      <c r="K209" s="21"/>
      <c r="L209" s="148"/>
      <c r="M209" s="22"/>
      <c r="N209" s="21"/>
      <c r="O209" s="7"/>
      <c r="P209" s="187"/>
      <c r="Q209" s="93"/>
      <c r="R209" s="129"/>
    </row>
    <row r="210" spans="1:18" ht="46.5" customHeight="1">
      <c r="A210" s="135" t="s">
        <v>68</v>
      </c>
      <c r="B210" s="215" t="s">
        <v>69</v>
      </c>
      <c r="C210" s="137">
        <f>SUM(C211)</f>
        <v>15000</v>
      </c>
      <c r="D210" s="107">
        <f>SUM(D211)</f>
        <v>9900</v>
      </c>
      <c r="E210" s="107">
        <f>H210+K210+N210+Q210</f>
        <v>8262</v>
      </c>
      <c r="F210" s="108">
        <f t="shared" si="26"/>
        <v>83.45454545454545</v>
      </c>
      <c r="G210" s="138"/>
      <c r="H210" s="139"/>
      <c r="I210" s="174"/>
      <c r="J210" s="138"/>
      <c r="K210" s="139"/>
      <c r="L210" s="398"/>
      <c r="M210" s="138"/>
      <c r="N210" s="139"/>
      <c r="O210" s="12"/>
      <c r="P210" s="138">
        <f>P211</f>
        <v>9900</v>
      </c>
      <c r="Q210" s="139">
        <f>Q211</f>
        <v>8262</v>
      </c>
      <c r="R210" s="108">
        <f>Q210/P210*100</f>
        <v>83.45454545454545</v>
      </c>
    </row>
    <row r="211" spans="1:18" ht="72.75" customHeight="1">
      <c r="A211" s="112" t="s">
        <v>955</v>
      </c>
      <c r="B211" s="363" t="s">
        <v>956</v>
      </c>
      <c r="C211" s="170">
        <v>15000</v>
      </c>
      <c r="D211" s="114">
        <f>G211+J211+M211+P211</f>
        <v>9900</v>
      </c>
      <c r="E211" s="234">
        <f>H211+K211+N211+Q211</f>
        <v>8262</v>
      </c>
      <c r="F211" s="151"/>
      <c r="G211" s="116"/>
      <c r="H211" s="117"/>
      <c r="I211" s="174"/>
      <c r="J211" s="116"/>
      <c r="K211" s="117"/>
      <c r="L211" s="253"/>
      <c r="M211" s="116"/>
      <c r="N211" s="117"/>
      <c r="O211" s="151"/>
      <c r="P211" s="116">
        <f>15000-5100</f>
        <v>9900</v>
      </c>
      <c r="Q211" s="117">
        <v>8262</v>
      </c>
      <c r="R211" s="151"/>
    </row>
    <row r="212" spans="1:18" s="175" customFormat="1" ht="15" customHeight="1">
      <c r="A212" s="135" t="s">
        <v>70</v>
      </c>
      <c r="B212" s="235" t="s">
        <v>233</v>
      </c>
      <c r="C212" s="137"/>
      <c r="D212" s="173"/>
      <c r="E212" s="107">
        <f>H212+K212+N212+Q212</f>
        <v>5772</v>
      </c>
      <c r="F212" s="108"/>
      <c r="G212" s="138"/>
      <c r="H212" s="139">
        <f>H213</f>
        <v>5772</v>
      </c>
      <c r="I212" s="174"/>
      <c r="J212" s="138"/>
      <c r="K212" s="139"/>
      <c r="L212" s="398"/>
      <c r="M212" s="138"/>
      <c r="N212" s="139"/>
      <c r="O212" s="174"/>
      <c r="P212" s="138"/>
      <c r="Q212" s="139"/>
      <c r="R212" s="108"/>
    </row>
    <row r="213" spans="1:18" ht="24.75" customHeight="1" thickBot="1">
      <c r="A213" s="127" t="s">
        <v>939</v>
      </c>
      <c r="B213" s="186" t="s">
        <v>18</v>
      </c>
      <c r="C213" s="128"/>
      <c r="D213" s="114"/>
      <c r="E213" s="236">
        <f>H213+K213+N213+Q213</f>
        <v>5772</v>
      </c>
      <c r="F213" s="129"/>
      <c r="G213" s="22"/>
      <c r="H213" s="21">
        <v>5772</v>
      </c>
      <c r="I213" s="237"/>
      <c r="J213" s="22"/>
      <c r="K213" s="21"/>
      <c r="L213" s="148"/>
      <c r="M213" s="238"/>
      <c r="N213" s="239"/>
      <c r="O213" s="129"/>
      <c r="P213" s="22"/>
      <c r="Q213" s="21"/>
      <c r="R213" s="129"/>
    </row>
    <row r="214" spans="1:18" s="232" customFormat="1" ht="18" customHeight="1" thickBot="1" thickTop="1">
      <c r="A214" s="240" t="s">
        <v>71</v>
      </c>
      <c r="B214" s="101" t="s">
        <v>802</v>
      </c>
      <c r="C214" s="185">
        <f>C215+C218+C221+C227+C231+C234+C237+C242+C247+C252+C254+C256+C261</f>
        <v>27674600</v>
      </c>
      <c r="D214" s="76">
        <f>D215+D218+D221+D227+D231+D234+D237+D242+D247+D252+D254+D256+D261+D245</f>
        <v>25251664</v>
      </c>
      <c r="E214" s="76">
        <f>E215+E218+E221+E227+E231+E234+E237+E242+E247+E252+E254+E256+E261+E245</f>
        <v>25297145</v>
      </c>
      <c r="F214" s="564">
        <f>E214/D214*100</f>
        <v>100.1801109027904</v>
      </c>
      <c r="G214" s="185">
        <f>G215+G218+G221+G227+G231+G234+G237+G242+G247+G252+G254+G256+G261</f>
        <v>5880044</v>
      </c>
      <c r="H214" s="76">
        <f>H215+H218+H221+H227+H231+H234+H237+H242+H247+H252+H254+H256+H261</f>
        <v>5913714</v>
      </c>
      <c r="I214" s="564">
        <f>H214/G214*100</f>
        <v>100.57261476274668</v>
      </c>
      <c r="J214" s="185">
        <f>J215+J218+J221+J227+J231+J234+J237+J242+J247+J252+J254+J256+J261</f>
        <v>18920439</v>
      </c>
      <c r="K214" s="76">
        <f>K215+K218+K221+K227+K231+K234+K237+K242+K247+K252+K254+K256+K261</f>
        <v>18857450</v>
      </c>
      <c r="L214" s="565">
        <f>K214/J214*100</f>
        <v>99.66708489163491</v>
      </c>
      <c r="M214" s="364">
        <f>M215+M218+M221+M227+M231+M234+M237+M242+M247+M252+M254+M256+M261+M245</f>
        <v>434681</v>
      </c>
      <c r="N214" s="566">
        <f>N215+N218+N221+N227+N231+N234+N237+N242+N247+N252+N254+N256+N261+N245</f>
        <v>509481</v>
      </c>
      <c r="O214" s="564">
        <f>N214/M214*100</f>
        <v>117.20802151462797</v>
      </c>
      <c r="P214" s="185">
        <f>P215+P218+P221+P227+P231+P234+P237+P242+P247+P252+P254+P256+P261</f>
        <v>16500</v>
      </c>
      <c r="Q214" s="76">
        <f>Q215+Q218+Q221+Q227+Q231+Q234+Q237+Q242+Q247+Q252+Q254+Q256+Q261</f>
        <v>16500</v>
      </c>
      <c r="R214" s="564">
        <f>Q214/P214*100</f>
        <v>100</v>
      </c>
    </row>
    <row r="215" spans="1:18" ht="24.75" customHeight="1" thickTop="1">
      <c r="A215" s="241" t="s">
        <v>72</v>
      </c>
      <c r="B215" s="242" t="s">
        <v>73</v>
      </c>
      <c r="C215" s="121">
        <f>C217</f>
        <v>0</v>
      </c>
      <c r="D215" s="161">
        <f>G215+J215+M215+P215</f>
        <v>2100</v>
      </c>
      <c r="E215" s="161">
        <f>SUM(E216:E217)</f>
        <v>2186</v>
      </c>
      <c r="F215" s="108">
        <f>E215/D215*100</f>
        <v>104.09523809523809</v>
      </c>
      <c r="G215" s="168">
        <f>G217</f>
        <v>2000</v>
      </c>
      <c r="H215" s="106">
        <f>H217</f>
        <v>1960</v>
      </c>
      <c r="I215" s="124">
        <f>H215/G215*100</f>
        <v>98</v>
      </c>
      <c r="J215" s="168"/>
      <c r="K215" s="106"/>
      <c r="L215" s="218"/>
      <c r="M215" s="168">
        <f>M217</f>
        <v>100</v>
      </c>
      <c r="N215" s="106">
        <f>SUM(N216:N217)</f>
        <v>226</v>
      </c>
      <c r="O215" s="108">
        <f>N215/M215*100</f>
        <v>225.99999999999997</v>
      </c>
      <c r="P215" s="168"/>
      <c r="Q215" s="106"/>
      <c r="R215" s="124"/>
    </row>
    <row r="216" spans="1:18" ht="16.5" customHeight="1">
      <c r="A216" s="1" t="s">
        <v>966</v>
      </c>
      <c r="B216" s="229" t="s">
        <v>244</v>
      </c>
      <c r="C216" s="128"/>
      <c r="D216" s="451"/>
      <c r="E216" s="451">
        <f>N216</f>
        <v>2</v>
      </c>
      <c r="F216" s="129"/>
      <c r="G216" s="187"/>
      <c r="H216" s="93"/>
      <c r="I216" s="129"/>
      <c r="J216" s="187"/>
      <c r="K216" s="93"/>
      <c r="L216" s="270"/>
      <c r="M216" s="187"/>
      <c r="N216" s="93">
        <v>2</v>
      </c>
      <c r="O216" s="129"/>
      <c r="P216" s="187"/>
      <c r="Q216" s="93"/>
      <c r="R216" s="129"/>
    </row>
    <row r="217" spans="1:18" ht="13.5" customHeight="1">
      <c r="A217" s="1" t="s">
        <v>939</v>
      </c>
      <c r="B217" s="153" t="s">
        <v>959</v>
      </c>
      <c r="C217" s="128"/>
      <c r="D217" s="93">
        <f>G217+J217+M217+P217</f>
        <v>2100</v>
      </c>
      <c r="E217" s="93">
        <f>H217+K217+N217+Q217</f>
        <v>2184</v>
      </c>
      <c r="F217" s="129"/>
      <c r="G217" s="187">
        <v>2000</v>
      </c>
      <c r="H217" s="93">
        <v>1960</v>
      </c>
      <c r="I217" s="129"/>
      <c r="J217" s="187"/>
      <c r="K217" s="93"/>
      <c r="L217" s="270"/>
      <c r="M217" s="187">
        <v>100</v>
      </c>
      <c r="N217" s="93">
        <v>224</v>
      </c>
      <c r="O217" s="7"/>
      <c r="P217" s="187"/>
      <c r="Q217" s="93"/>
      <c r="R217" s="129"/>
    </row>
    <row r="218" spans="1:18" ht="15.75" customHeight="1">
      <c r="A218" s="4" t="s">
        <v>74</v>
      </c>
      <c r="B218" s="243" t="s">
        <v>809</v>
      </c>
      <c r="C218" s="137"/>
      <c r="D218" s="173">
        <f>G218+J218+M218+P218</f>
        <v>8100</v>
      </c>
      <c r="E218" s="173">
        <f>H218+K218+N218+Q218</f>
        <v>10289</v>
      </c>
      <c r="F218" s="108">
        <f>E218/D218*100</f>
        <v>127.0246913580247</v>
      </c>
      <c r="G218" s="107">
        <f>SUM(G219:G220)</f>
        <v>8100</v>
      </c>
      <c r="H218" s="107">
        <f>SUM(H219:H220)</f>
        <v>10289</v>
      </c>
      <c r="I218" s="108">
        <f aca="true" t="shared" si="27" ref="I218:I224">H218/G218*100</f>
        <v>127.0246913580247</v>
      </c>
      <c r="J218" s="125"/>
      <c r="K218" s="107"/>
      <c r="L218" s="210"/>
      <c r="M218" s="125"/>
      <c r="N218" s="107"/>
      <c r="O218" s="108"/>
      <c r="P218" s="125"/>
      <c r="Q218" s="107"/>
      <c r="R218" s="108"/>
    </row>
    <row r="219" spans="1:18" s="209" customFormat="1" ht="15.75" customHeight="1">
      <c r="A219" s="1" t="s">
        <v>966</v>
      </c>
      <c r="B219" s="229" t="s">
        <v>244</v>
      </c>
      <c r="C219" s="128"/>
      <c r="D219" s="451">
        <f>G219</f>
        <v>100</v>
      </c>
      <c r="E219" s="451">
        <f>H219</f>
        <v>143</v>
      </c>
      <c r="F219" s="129">
        <f>E219/D219*100</f>
        <v>143</v>
      </c>
      <c r="G219" s="402">
        <v>100</v>
      </c>
      <c r="H219" s="93">
        <v>143</v>
      </c>
      <c r="I219" s="129">
        <f t="shared" si="27"/>
        <v>143</v>
      </c>
      <c r="J219" s="187"/>
      <c r="K219" s="93"/>
      <c r="L219" s="270"/>
      <c r="M219" s="187"/>
      <c r="N219" s="93"/>
      <c r="O219" s="129"/>
      <c r="P219" s="187"/>
      <c r="Q219" s="93"/>
      <c r="R219" s="129"/>
    </row>
    <row r="220" spans="1:18" s="209" customFormat="1" ht="12.75" customHeight="1">
      <c r="A220" s="1" t="s">
        <v>939</v>
      </c>
      <c r="B220" s="153" t="s">
        <v>959</v>
      </c>
      <c r="C220" s="128"/>
      <c r="D220" s="133">
        <f>G220+J220+M220+P220</f>
        <v>8000</v>
      </c>
      <c r="E220" s="93">
        <f>H220+K220+N220+Q220</f>
        <v>10146</v>
      </c>
      <c r="F220" s="129">
        <f>E220/D220*100</f>
        <v>126.82500000000002</v>
      </c>
      <c r="G220" s="187">
        <v>8000</v>
      </c>
      <c r="H220" s="93">
        <v>10146</v>
      </c>
      <c r="I220" s="129">
        <f t="shared" si="27"/>
        <v>126.82500000000002</v>
      </c>
      <c r="J220" s="188"/>
      <c r="K220" s="133"/>
      <c r="L220" s="269"/>
      <c r="M220" s="188"/>
      <c r="N220" s="133"/>
      <c r="O220" s="7"/>
      <c r="P220" s="187"/>
      <c r="Q220" s="93"/>
      <c r="R220" s="129"/>
    </row>
    <row r="221" spans="1:18" ht="16.5" customHeight="1">
      <c r="A221" s="4" t="s">
        <v>75</v>
      </c>
      <c r="B221" s="243" t="s">
        <v>811</v>
      </c>
      <c r="C221" s="216">
        <f>SUM(C222:C225)</f>
        <v>736000</v>
      </c>
      <c r="D221" s="139">
        <f>SUM(D222:D226)</f>
        <v>770100</v>
      </c>
      <c r="E221" s="139">
        <f>SUM(E222:E226)</f>
        <v>758584</v>
      </c>
      <c r="F221" s="108">
        <f t="shared" si="26"/>
        <v>98.50460979093624</v>
      </c>
      <c r="G221" s="139">
        <f>SUM(G222:G226)</f>
        <v>37100</v>
      </c>
      <c r="H221" s="139">
        <f>SUM(H222:H226)</f>
        <v>30694</v>
      </c>
      <c r="I221" s="108">
        <f t="shared" si="27"/>
        <v>82.73315363881402</v>
      </c>
      <c r="J221" s="216">
        <f>SUM(J222:J226)</f>
        <v>733000</v>
      </c>
      <c r="K221" s="139">
        <f>SUM(K222:K226)</f>
        <v>727890</v>
      </c>
      <c r="L221" s="210">
        <f>K221/J221*100</f>
        <v>99.30286493860847</v>
      </c>
      <c r="M221" s="138"/>
      <c r="N221" s="139"/>
      <c r="O221" s="12"/>
      <c r="P221" s="138"/>
      <c r="Q221" s="139"/>
      <c r="R221" s="12"/>
    </row>
    <row r="222" spans="1:18" ht="36">
      <c r="A222" s="5" t="s">
        <v>47</v>
      </c>
      <c r="B222" s="190" t="s">
        <v>19</v>
      </c>
      <c r="C222" s="142">
        <v>35000</v>
      </c>
      <c r="D222" s="143">
        <f>G222+J222+M222+P222</f>
        <v>35000</v>
      </c>
      <c r="E222" s="143">
        <f>H222+K222+N222+Q222</f>
        <v>27777</v>
      </c>
      <c r="F222" s="144">
        <f t="shared" si="26"/>
        <v>79.36285714285715</v>
      </c>
      <c r="G222" s="145">
        <v>35000</v>
      </c>
      <c r="H222" s="146">
        <v>27777</v>
      </c>
      <c r="I222" s="144">
        <f t="shared" si="27"/>
        <v>79.36285714285715</v>
      </c>
      <c r="J222" s="244"/>
      <c r="K222" s="245"/>
      <c r="L222" s="165"/>
      <c r="M222" s="163"/>
      <c r="N222" s="164"/>
      <c r="O222" s="144"/>
      <c r="P222" s="163"/>
      <c r="Q222" s="164"/>
      <c r="R222" s="165"/>
    </row>
    <row r="223" spans="1:18" ht="12.75">
      <c r="A223" s="1" t="s">
        <v>966</v>
      </c>
      <c r="B223" s="229" t="s">
        <v>244</v>
      </c>
      <c r="C223" s="128"/>
      <c r="D223" s="93">
        <f>G223+J223+M223+P223</f>
        <v>100</v>
      </c>
      <c r="E223" s="93">
        <f>H223+K223+N223+Q223</f>
        <v>41</v>
      </c>
      <c r="F223" s="129">
        <f>E223/D223*100</f>
        <v>41</v>
      </c>
      <c r="G223" s="22">
        <v>100</v>
      </c>
      <c r="H223" s="21">
        <v>41</v>
      </c>
      <c r="I223" s="129">
        <f t="shared" si="27"/>
        <v>41</v>
      </c>
      <c r="J223" s="247"/>
      <c r="K223" s="248"/>
      <c r="L223" s="148"/>
      <c r="M223" s="33"/>
      <c r="N223" s="147"/>
      <c r="O223" s="129"/>
      <c r="P223" s="33"/>
      <c r="Q223" s="147"/>
      <c r="R223" s="148"/>
    </row>
    <row r="224" spans="1:18" s="209" customFormat="1" ht="14.25" customHeight="1">
      <c r="A224" s="1" t="s">
        <v>939</v>
      </c>
      <c r="B224" s="153" t="s">
        <v>959</v>
      </c>
      <c r="C224" s="128"/>
      <c r="D224" s="93">
        <f>G224</f>
        <v>2000</v>
      </c>
      <c r="E224" s="93">
        <f>H224+K224+N224+Q224</f>
        <v>1830</v>
      </c>
      <c r="F224" s="129">
        <f>E224/D224*100</f>
        <v>91.5</v>
      </c>
      <c r="G224" s="22">
        <v>2000</v>
      </c>
      <c r="H224" s="21">
        <v>1830</v>
      </c>
      <c r="I224" s="129">
        <f t="shared" si="27"/>
        <v>91.5</v>
      </c>
      <c r="J224" s="247"/>
      <c r="K224" s="248"/>
      <c r="L224" s="148"/>
      <c r="M224" s="33"/>
      <c r="N224" s="147"/>
      <c r="O224" s="129"/>
      <c r="P224" s="33"/>
      <c r="Q224" s="147"/>
      <c r="R224" s="148"/>
    </row>
    <row r="225" spans="1:18" s="209" customFormat="1" ht="73.5" customHeight="1">
      <c r="A225" s="1" t="s">
        <v>926</v>
      </c>
      <c r="B225" s="153" t="s">
        <v>76</v>
      </c>
      <c r="C225" s="128">
        <v>701000</v>
      </c>
      <c r="D225" s="93">
        <f>G225+J225+M225+P225</f>
        <v>733000</v>
      </c>
      <c r="E225" s="93">
        <f>H225+K225+N225+Q225</f>
        <v>727890</v>
      </c>
      <c r="F225" s="129">
        <f t="shared" si="26"/>
        <v>99.30286493860847</v>
      </c>
      <c r="G225" s="22"/>
      <c r="H225" s="21"/>
      <c r="I225" s="129"/>
      <c r="J225" s="22">
        <f>701000+8000+24000</f>
        <v>733000</v>
      </c>
      <c r="K225" s="21">
        <v>727890</v>
      </c>
      <c r="L225" s="270">
        <f>K225/J225*100</f>
        <v>99.30286493860847</v>
      </c>
      <c r="M225" s="33"/>
      <c r="N225" s="147"/>
      <c r="O225" s="129"/>
      <c r="P225" s="33"/>
      <c r="Q225" s="147"/>
      <c r="R225" s="148"/>
    </row>
    <row r="226" spans="1:18" s="209" customFormat="1" ht="57.75" customHeight="1">
      <c r="A226" s="246" t="s">
        <v>957</v>
      </c>
      <c r="B226" s="346" t="s">
        <v>994</v>
      </c>
      <c r="C226" s="132"/>
      <c r="D226" s="133"/>
      <c r="E226" s="133">
        <f>H226+K226+N226+Q226</f>
        <v>1046</v>
      </c>
      <c r="F226" s="118"/>
      <c r="G226" s="34"/>
      <c r="H226" s="35">
        <v>1046</v>
      </c>
      <c r="I226" s="118"/>
      <c r="J226" s="34"/>
      <c r="K226" s="35"/>
      <c r="L226" s="269"/>
      <c r="M226" s="149"/>
      <c r="N226" s="150"/>
      <c r="O226" s="118"/>
      <c r="P226" s="149"/>
      <c r="Q226" s="150"/>
      <c r="R226" s="441"/>
    </row>
    <row r="227" spans="1:18" ht="17.25" customHeight="1">
      <c r="A227" s="4" t="s">
        <v>77</v>
      </c>
      <c r="B227" s="136" t="s">
        <v>817</v>
      </c>
      <c r="C227" s="137">
        <f>SUM(C229:C230)</f>
        <v>410000</v>
      </c>
      <c r="D227" s="107">
        <f>SUM(D228:D230)</f>
        <v>410300</v>
      </c>
      <c r="E227" s="107">
        <f>SUM(E228:E230)</f>
        <v>484857</v>
      </c>
      <c r="F227" s="108">
        <f t="shared" si="26"/>
        <v>118.17133804533269</v>
      </c>
      <c r="G227" s="138"/>
      <c r="H227" s="139"/>
      <c r="I227" s="151"/>
      <c r="J227" s="138"/>
      <c r="K227" s="139"/>
      <c r="L227" s="398"/>
      <c r="M227" s="138">
        <f>SUM(M228:M230)</f>
        <v>410300</v>
      </c>
      <c r="N227" s="139">
        <f>SUM(N228:N230)</f>
        <v>484857</v>
      </c>
      <c r="O227" s="12">
        <f>N227/M227*100</f>
        <v>118.17133804533269</v>
      </c>
      <c r="P227" s="139"/>
      <c r="Q227" s="139"/>
      <c r="R227" s="12"/>
    </row>
    <row r="228" spans="1:18" ht="15.75" customHeight="1">
      <c r="A228" s="1" t="s">
        <v>966</v>
      </c>
      <c r="B228" s="229" t="s">
        <v>244</v>
      </c>
      <c r="C228" s="128"/>
      <c r="D228" s="93">
        <f aca="true" t="shared" si="28" ref="D228:E230">G228+J228+M228+P228</f>
        <v>300</v>
      </c>
      <c r="E228" s="93">
        <f t="shared" si="28"/>
        <v>248</v>
      </c>
      <c r="F228" s="129">
        <f t="shared" si="26"/>
        <v>82.66666666666667</v>
      </c>
      <c r="G228" s="22"/>
      <c r="H228" s="21"/>
      <c r="I228" s="129"/>
      <c r="J228" s="22"/>
      <c r="K228" s="21"/>
      <c r="L228" s="148"/>
      <c r="M228" s="22">
        <v>300</v>
      </c>
      <c r="N228" s="21">
        <v>248</v>
      </c>
      <c r="O228" s="7">
        <f>N228/M228*100</f>
        <v>82.66666666666667</v>
      </c>
      <c r="P228" s="22"/>
      <c r="Q228" s="21"/>
      <c r="R228" s="7"/>
    </row>
    <row r="229" spans="1:18" s="209" customFormat="1" ht="36.75" customHeight="1">
      <c r="A229" s="1" t="s">
        <v>939</v>
      </c>
      <c r="B229" s="229" t="s">
        <v>765</v>
      </c>
      <c r="C229" s="128">
        <v>15000</v>
      </c>
      <c r="D229" s="93">
        <f>G229+J229+M229+P229</f>
        <v>15000</v>
      </c>
      <c r="E229" s="93">
        <f t="shared" si="28"/>
        <v>16303</v>
      </c>
      <c r="F229" s="129">
        <f t="shared" si="26"/>
        <v>108.68666666666667</v>
      </c>
      <c r="G229" s="22"/>
      <c r="H229" s="21"/>
      <c r="I229" s="129"/>
      <c r="J229" s="247"/>
      <c r="K229" s="248"/>
      <c r="L229" s="148"/>
      <c r="M229" s="33">
        <v>15000</v>
      </c>
      <c r="N229" s="147">
        <v>16303</v>
      </c>
      <c r="O229" s="7">
        <f>N229/M229*100</f>
        <v>108.68666666666667</v>
      </c>
      <c r="P229" s="33"/>
      <c r="Q229" s="147"/>
      <c r="R229" s="148"/>
    </row>
    <row r="230" spans="1:18" s="209" customFormat="1" ht="51" customHeight="1">
      <c r="A230" s="246" t="s">
        <v>78</v>
      </c>
      <c r="B230" s="254" t="s">
        <v>79</v>
      </c>
      <c r="C230" s="132">
        <v>395000</v>
      </c>
      <c r="D230" s="133">
        <f t="shared" si="28"/>
        <v>395000</v>
      </c>
      <c r="E230" s="133">
        <f t="shared" si="28"/>
        <v>468306</v>
      </c>
      <c r="F230" s="118">
        <f t="shared" si="26"/>
        <v>118.55848101265822</v>
      </c>
      <c r="G230" s="34"/>
      <c r="H230" s="35"/>
      <c r="I230" s="118"/>
      <c r="J230" s="149"/>
      <c r="K230" s="150"/>
      <c r="L230" s="441"/>
      <c r="M230" s="149">
        <v>395000</v>
      </c>
      <c r="N230" s="150">
        <v>468306</v>
      </c>
      <c r="O230" s="10">
        <f>N230/M230*100</f>
        <v>118.55848101265822</v>
      </c>
      <c r="P230" s="149"/>
      <c r="Q230" s="150"/>
      <c r="R230" s="441"/>
    </row>
    <row r="231" spans="1:18" ht="73.5" customHeight="1">
      <c r="A231" s="4" t="s">
        <v>80</v>
      </c>
      <c r="B231" s="136" t="s">
        <v>327</v>
      </c>
      <c r="C231" s="249">
        <f>SUM(C232:C233)</f>
        <v>19975000</v>
      </c>
      <c r="D231" s="139">
        <f>SUM(D232:D233)</f>
        <v>17199000</v>
      </c>
      <c r="E231" s="139">
        <f>SUM(E232:E233)</f>
        <v>17229089</v>
      </c>
      <c r="F231" s="108">
        <f t="shared" si="26"/>
        <v>100.17494621780337</v>
      </c>
      <c r="G231" s="139">
        <f>SUM(G232:G233)</f>
        <v>230000</v>
      </c>
      <c r="H231" s="139">
        <f>SUM(H232:H233)</f>
        <v>306588</v>
      </c>
      <c r="I231" s="108">
        <f>H231/G231*100</f>
        <v>133.2991304347826</v>
      </c>
      <c r="J231" s="139">
        <f>SUM(J232:J233)</f>
        <v>16969000</v>
      </c>
      <c r="K231" s="139">
        <f>SUM(K232:K233)</f>
        <v>16922501</v>
      </c>
      <c r="L231" s="210">
        <f>K231/J231*100</f>
        <v>99.72597678118923</v>
      </c>
      <c r="M231" s="138"/>
      <c r="N231" s="139"/>
      <c r="O231" s="12"/>
      <c r="P231" s="138"/>
      <c r="Q231" s="139"/>
      <c r="R231" s="108"/>
    </row>
    <row r="232" spans="1:18" s="209" customFormat="1" ht="77.25" customHeight="1">
      <c r="A232" s="5" t="s">
        <v>926</v>
      </c>
      <c r="B232" s="252" t="s">
        <v>76</v>
      </c>
      <c r="C232" s="142">
        <v>19925000</v>
      </c>
      <c r="D232" s="143">
        <f>G232+J232+M232+P232</f>
        <v>16969000</v>
      </c>
      <c r="E232" s="143">
        <f>H232+K232+N232+Q232</f>
        <v>16922501</v>
      </c>
      <c r="F232" s="144">
        <f>E232/D232*100</f>
        <v>99.72597678118923</v>
      </c>
      <c r="G232" s="145"/>
      <c r="H232" s="146"/>
      <c r="I232" s="144"/>
      <c r="J232" s="145">
        <f>19925000-1756000-1200000</f>
        <v>16969000</v>
      </c>
      <c r="K232" s="146">
        <v>16922501</v>
      </c>
      <c r="L232" s="268"/>
      <c r="M232" s="145"/>
      <c r="N232" s="146"/>
      <c r="O232" s="9"/>
      <c r="P232" s="145"/>
      <c r="Q232" s="146"/>
      <c r="R232" s="9"/>
    </row>
    <row r="233" spans="1:18" s="209" customFormat="1" ht="57.75" customHeight="1">
      <c r="A233" s="246" t="s">
        <v>957</v>
      </c>
      <c r="B233" s="346" t="s">
        <v>994</v>
      </c>
      <c r="C233" s="132">
        <v>50000</v>
      </c>
      <c r="D233" s="133">
        <f>G233+J233+M233+P233</f>
        <v>230000</v>
      </c>
      <c r="E233" s="133">
        <f>H233+K233+N233+Q233</f>
        <v>306588</v>
      </c>
      <c r="F233" s="118">
        <f t="shared" si="26"/>
        <v>133.2991304347826</v>
      </c>
      <c r="G233" s="34">
        <f>50000+180000</f>
        <v>230000</v>
      </c>
      <c r="H233" s="35">
        <v>306588</v>
      </c>
      <c r="I233" s="118"/>
      <c r="J233" s="34"/>
      <c r="K233" s="35"/>
      <c r="L233" s="269"/>
      <c r="M233" s="34"/>
      <c r="N233" s="35"/>
      <c r="O233" s="10"/>
      <c r="P233" s="34"/>
      <c r="Q233" s="35"/>
      <c r="R233" s="10"/>
    </row>
    <row r="234" spans="1:18" ht="75" customHeight="1">
      <c r="A234" s="4" t="s">
        <v>81</v>
      </c>
      <c r="B234" s="243" t="s">
        <v>82</v>
      </c>
      <c r="C234" s="137">
        <f>C235</f>
        <v>192000</v>
      </c>
      <c r="D234" s="107">
        <f>SUM(D235:D236)</f>
        <v>174914</v>
      </c>
      <c r="E234" s="107">
        <f>SUM(E235:E236)</f>
        <v>172251</v>
      </c>
      <c r="F234" s="180">
        <f t="shared" si="26"/>
        <v>98.47753753273038</v>
      </c>
      <c r="G234" s="206">
        <f>G236</f>
        <v>60566</v>
      </c>
      <c r="H234" s="205">
        <f>H236</f>
        <v>57903</v>
      </c>
      <c r="I234" s="210">
        <f>H234/G234*100</f>
        <v>95.60314367797113</v>
      </c>
      <c r="J234" s="138">
        <f>J235</f>
        <v>114348</v>
      </c>
      <c r="K234" s="139">
        <f>K235</f>
        <v>114348</v>
      </c>
      <c r="L234" s="210">
        <f>K234/J234*100</f>
        <v>100</v>
      </c>
      <c r="M234" s="206"/>
      <c r="N234" s="205"/>
      <c r="O234" s="151"/>
      <c r="P234" s="206"/>
      <c r="Q234" s="205"/>
      <c r="R234" s="253"/>
    </row>
    <row r="235" spans="1:18" s="209" customFormat="1" ht="71.25" customHeight="1">
      <c r="A235" s="5" t="s">
        <v>926</v>
      </c>
      <c r="B235" s="252" t="s">
        <v>76</v>
      </c>
      <c r="C235" s="142">
        <v>192000</v>
      </c>
      <c r="D235" s="143">
        <f>G235+J235+M235+P235</f>
        <v>114348</v>
      </c>
      <c r="E235" s="143">
        <f>H235+K235+N235+Q235</f>
        <v>114348</v>
      </c>
      <c r="F235" s="184">
        <f t="shared" si="26"/>
        <v>100</v>
      </c>
      <c r="G235" s="145"/>
      <c r="H235" s="146"/>
      <c r="I235" s="144"/>
      <c r="J235" s="145">
        <f>192000-62444-15208</f>
        <v>114348</v>
      </c>
      <c r="K235" s="146">
        <v>114348</v>
      </c>
      <c r="L235" s="268"/>
      <c r="M235" s="145"/>
      <c r="N235" s="146"/>
      <c r="O235" s="144"/>
      <c r="P235" s="145"/>
      <c r="Q235" s="146"/>
      <c r="R235" s="9"/>
    </row>
    <row r="236" spans="1:18" s="209" customFormat="1" ht="45" customHeight="1">
      <c r="A236" s="246" t="s">
        <v>49</v>
      </c>
      <c r="B236" s="186" t="s">
        <v>85</v>
      </c>
      <c r="C236" s="132"/>
      <c r="D236" s="133">
        <f>G236</f>
        <v>60566</v>
      </c>
      <c r="E236" s="133">
        <f>H236</f>
        <v>57903</v>
      </c>
      <c r="F236" s="134">
        <f>E236/D236*100</f>
        <v>95.60314367797113</v>
      </c>
      <c r="G236" s="34">
        <f>62444-1878</f>
        <v>60566</v>
      </c>
      <c r="H236" s="35">
        <v>57903</v>
      </c>
      <c r="I236" s="118"/>
      <c r="J236" s="34"/>
      <c r="K236" s="35"/>
      <c r="L236" s="269"/>
      <c r="M236" s="34"/>
      <c r="N236" s="35"/>
      <c r="O236" s="118"/>
      <c r="P236" s="34"/>
      <c r="Q236" s="35"/>
      <c r="R236" s="10"/>
    </row>
    <row r="237" spans="1:18" ht="48">
      <c r="A237" s="4" t="s">
        <v>83</v>
      </c>
      <c r="B237" s="243" t="s">
        <v>84</v>
      </c>
      <c r="C237" s="137">
        <f>SUM(C239:C241)</f>
        <v>4166000</v>
      </c>
      <c r="D237" s="107">
        <f>SUM(D238:D241)</f>
        <v>3874958</v>
      </c>
      <c r="E237" s="107">
        <f>SUM(E238:E241)</f>
        <v>3889876</v>
      </c>
      <c r="F237" s="180">
        <f t="shared" si="26"/>
        <v>100.38498481789998</v>
      </c>
      <c r="G237" s="138">
        <f>SUM(G238:G241)</f>
        <v>2929687</v>
      </c>
      <c r="H237" s="139">
        <f>SUM(H238:H241)</f>
        <v>2944605</v>
      </c>
      <c r="I237" s="108">
        <f>H237/G237*100</f>
        <v>100.50920115357033</v>
      </c>
      <c r="J237" s="138">
        <f>J240</f>
        <v>945271</v>
      </c>
      <c r="K237" s="139">
        <f>K240</f>
        <v>945271</v>
      </c>
      <c r="L237" s="210">
        <f>K237/J237*100</f>
        <v>100</v>
      </c>
      <c r="M237" s="138"/>
      <c r="N237" s="139"/>
      <c r="O237" s="6"/>
      <c r="P237" s="138"/>
      <c r="Q237" s="139"/>
      <c r="R237" s="6"/>
    </row>
    <row r="238" spans="1:18" s="209" customFormat="1" ht="12.75">
      <c r="A238" s="1" t="s">
        <v>966</v>
      </c>
      <c r="B238" s="229" t="s">
        <v>244</v>
      </c>
      <c r="C238" s="267"/>
      <c r="D238" s="451">
        <f>G238</f>
        <v>100</v>
      </c>
      <c r="E238" s="451">
        <f>H238</f>
        <v>438</v>
      </c>
      <c r="F238" s="567">
        <f>E238/D238*100</f>
        <v>438</v>
      </c>
      <c r="G238" s="163">
        <v>100</v>
      </c>
      <c r="H238" s="164">
        <v>438</v>
      </c>
      <c r="I238" s="268">
        <f>H238/G238*100</f>
        <v>438</v>
      </c>
      <c r="J238" s="163"/>
      <c r="K238" s="164"/>
      <c r="L238" s="268"/>
      <c r="M238" s="227"/>
      <c r="N238" s="228"/>
      <c r="O238" s="9"/>
      <c r="P238" s="227"/>
      <c r="Q238" s="228"/>
      <c r="R238" s="9"/>
    </row>
    <row r="239" spans="1:18" s="209" customFormat="1" ht="36">
      <c r="A239" s="246" t="s">
        <v>939</v>
      </c>
      <c r="B239" s="254" t="s">
        <v>766</v>
      </c>
      <c r="C239" s="568">
        <v>20000</v>
      </c>
      <c r="D239" s="133">
        <f aca="true" t="shared" si="29" ref="D239:E241">G239+J239+M239+P239</f>
        <v>55000</v>
      </c>
      <c r="E239" s="133">
        <f t="shared" si="29"/>
        <v>75113</v>
      </c>
      <c r="F239" s="118">
        <f t="shared" si="26"/>
        <v>136.5690909090909</v>
      </c>
      <c r="G239" s="34">
        <f>20000+35000</f>
        <v>55000</v>
      </c>
      <c r="H239" s="35">
        <v>75113</v>
      </c>
      <c r="I239" s="118">
        <f>H239/G239*100</f>
        <v>136.5690909090909</v>
      </c>
      <c r="J239" s="34"/>
      <c r="K239" s="35"/>
      <c r="L239" s="269"/>
      <c r="M239" s="34"/>
      <c r="N239" s="35"/>
      <c r="O239" s="10"/>
      <c r="P239" s="34"/>
      <c r="Q239" s="35"/>
      <c r="R239" s="10"/>
    </row>
    <row r="240" spans="1:18" s="209" customFormat="1" ht="72" customHeight="1">
      <c r="A240" s="1" t="s">
        <v>926</v>
      </c>
      <c r="B240" s="229" t="s">
        <v>76</v>
      </c>
      <c r="C240" s="128">
        <v>1667000</v>
      </c>
      <c r="D240" s="93">
        <f t="shared" si="29"/>
        <v>945271</v>
      </c>
      <c r="E240" s="93">
        <f t="shared" si="29"/>
        <v>945271</v>
      </c>
      <c r="F240" s="129">
        <f t="shared" si="26"/>
        <v>100</v>
      </c>
      <c r="G240" s="22"/>
      <c r="H240" s="21"/>
      <c r="I240" s="129"/>
      <c r="J240" s="22">
        <f>1667000-694587-27142</f>
        <v>945271</v>
      </c>
      <c r="K240" s="21">
        <v>945271</v>
      </c>
      <c r="L240" s="270"/>
      <c r="M240" s="22"/>
      <c r="N240" s="21"/>
      <c r="O240" s="7"/>
      <c r="P240" s="22"/>
      <c r="Q240" s="21"/>
      <c r="R240" s="7"/>
    </row>
    <row r="241" spans="1:18" s="209" customFormat="1" ht="39.75" customHeight="1">
      <c r="A241" s="246" t="s">
        <v>49</v>
      </c>
      <c r="B241" s="186" t="s">
        <v>85</v>
      </c>
      <c r="C241" s="132">
        <v>2479000</v>
      </c>
      <c r="D241" s="133">
        <f t="shared" si="29"/>
        <v>2874587</v>
      </c>
      <c r="E241" s="133">
        <f t="shared" si="29"/>
        <v>2869054</v>
      </c>
      <c r="F241" s="118">
        <f t="shared" si="26"/>
        <v>99.8075201759418</v>
      </c>
      <c r="G241" s="34">
        <f>2479000+694587-299000</f>
        <v>2874587</v>
      </c>
      <c r="H241" s="35">
        <v>2869054</v>
      </c>
      <c r="I241" s="118">
        <f aca="true" t="shared" si="30" ref="I241:I251">H241/G241*100</f>
        <v>99.8075201759418</v>
      </c>
      <c r="J241" s="34"/>
      <c r="K241" s="35"/>
      <c r="L241" s="269"/>
      <c r="M241" s="34"/>
      <c r="N241" s="35"/>
      <c r="O241" s="10"/>
      <c r="P241" s="34"/>
      <c r="Q241" s="35"/>
      <c r="R241" s="10"/>
    </row>
    <row r="242" spans="1:18" ht="15.75" customHeight="1">
      <c r="A242" s="4" t="s">
        <v>86</v>
      </c>
      <c r="B242" s="243" t="s">
        <v>821</v>
      </c>
      <c r="C242" s="125">
        <f>SUM(C244:C244)</f>
        <v>20000</v>
      </c>
      <c r="D242" s="107">
        <f>SUM(D243:D244)</f>
        <v>20200</v>
      </c>
      <c r="E242" s="107">
        <f>SUM(E243:E244)</f>
        <v>12586</v>
      </c>
      <c r="F242" s="108">
        <f t="shared" si="26"/>
        <v>62.306930693069305</v>
      </c>
      <c r="G242" s="125">
        <f>SUM(G243:G244)</f>
        <v>20200</v>
      </c>
      <c r="H242" s="365">
        <f>SUM(H243:H244)</f>
        <v>12586</v>
      </c>
      <c r="I242" s="108">
        <f t="shared" si="30"/>
        <v>62.306930693069305</v>
      </c>
      <c r="J242" s="181"/>
      <c r="K242" s="182"/>
      <c r="L242" s="253"/>
      <c r="M242" s="181"/>
      <c r="N242" s="182"/>
      <c r="O242" s="253"/>
      <c r="P242" s="181"/>
      <c r="Q242" s="182"/>
      <c r="R242" s="253"/>
    </row>
    <row r="243" spans="1:18" s="209" customFormat="1" ht="15.75" customHeight="1">
      <c r="A243" s="1" t="s">
        <v>966</v>
      </c>
      <c r="B243" s="229" t="s">
        <v>244</v>
      </c>
      <c r="C243" s="366"/>
      <c r="D243" s="367">
        <f>G243</f>
        <v>200</v>
      </c>
      <c r="E243" s="368">
        <f>H243</f>
        <v>362</v>
      </c>
      <c r="F243" s="369">
        <f>E243/D243*100</f>
        <v>181</v>
      </c>
      <c r="G243" s="370">
        <v>200</v>
      </c>
      <c r="H243" s="371">
        <v>362</v>
      </c>
      <c r="I243" s="270">
        <f>H243/G243*100</f>
        <v>181</v>
      </c>
      <c r="J243" s="33"/>
      <c r="K243" s="147"/>
      <c r="L243" s="148"/>
      <c r="M243" s="33"/>
      <c r="N243" s="147"/>
      <c r="O243" s="148"/>
      <c r="P243" s="33"/>
      <c r="Q243" s="147"/>
      <c r="R243" s="148"/>
    </row>
    <row r="244" spans="1:18" s="209" customFormat="1" ht="28.5" customHeight="1">
      <c r="A244" s="246" t="s">
        <v>939</v>
      </c>
      <c r="B244" s="254" t="s">
        <v>87</v>
      </c>
      <c r="C244" s="132">
        <v>20000</v>
      </c>
      <c r="D244" s="133">
        <f>G244+J244+M244+P244</f>
        <v>20000</v>
      </c>
      <c r="E244" s="133">
        <f>H244+K244+N244+Q244</f>
        <v>12224</v>
      </c>
      <c r="F244" s="134">
        <f t="shared" si="26"/>
        <v>61.12</v>
      </c>
      <c r="G244" s="34">
        <v>20000</v>
      </c>
      <c r="H244" s="35">
        <v>12224</v>
      </c>
      <c r="I244" s="118">
        <f t="shared" si="30"/>
        <v>61.12</v>
      </c>
      <c r="J244" s="149"/>
      <c r="K244" s="150"/>
      <c r="L244" s="441"/>
      <c r="M244" s="149"/>
      <c r="N244" s="150"/>
      <c r="O244" s="118"/>
      <c r="P244" s="149"/>
      <c r="Q244" s="150"/>
      <c r="R244" s="441"/>
    </row>
    <row r="245" spans="1:18" s="347" customFormat="1" ht="24" customHeight="1">
      <c r="A245" s="241" t="s">
        <v>20</v>
      </c>
      <c r="B245" s="242" t="s">
        <v>824</v>
      </c>
      <c r="C245" s="121"/>
      <c r="D245" s="106">
        <f>D246</f>
        <v>24281</v>
      </c>
      <c r="E245" s="106">
        <f>E246</f>
        <v>24281</v>
      </c>
      <c r="F245" s="179">
        <f>E245/D245*100</f>
        <v>100</v>
      </c>
      <c r="G245" s="122"/>
      <c r="H245" s="123"/>
      <c r="I245" s="124"/>
      <c r="J245" s="200"/>
      <c r="K245" s="198"/>
      <c r="L245" s="440"/>
      <c r="M245" s="200">
        <f>M246</f>
        <v>24281</v>
      </c>
      <c r="N245" s="198">
        <f>N246</f>
        <v>24281</v>
      </c>
      <c r="O245" s="124">
        <f>N245/M245*100</f>
        <v>100</v>
      </c>
      <c r="P245" s="200"/>
      <c r="Q245" s="198"/>
      <c r="R245" s="440"/>
    </row>
    <row r="246" spans="1:18" s="209" customFormat="1" ht="35.25" customHeight="1">
      <c r="A246" s="246" t="s">
        <v>63</v>
      </c>
      <c r="B246" s="229" t="s">
        <v>64</v>
      </c>
      <c r="C246" s="132"/>
      <c r="D246" s="133">
        <f>M246</f>
        <v>24281</v>
      </c>
      <c r="E246" s="133">
        <f>N246</f>
        <v>24281</v>
      </c>
      <c r="F246" s="134"/>
      <c r="G246" s="34"/>
      <c r="H246" s="35"/>
      <c r="I246" s="118"/>
      <c r="J246" s="149"/>
      <c r="K246" s="150"/>
      <c r="L246" s="441"/>
      <c r="M246" s="149">
        <f>8200+17256-1175</f>
        <v>24281</v>
      </c>
      <c r="N246" s="150">
        <v>24281</v>
      </c>
      <c r="O246" s="118"/>
      <c r="P246" s="149"/>
      <c r="Q246" s="150"/>
      <c r="R246" s="441"/>
    </row>
    <row r="247" spans="1:18" ht="19.5" customHeight="1">
      <c r="A247" s="4" t="s">
        <v>88</v>
      </c>
      <c r="B247" s="243" t="s">
        <v>825</v>
      </c>
      <c r="C247" s="137">
        <f>SUM(C248:C251)</f>
        <v>1253000</v>
      </c>
      <c r="D247" s="107">
        <f>SUM(D248:D251)</f>
        <v>1413511</v>
      </c>
      <c r="E247" s="107">
        <f>SUM(E248:E251)</f>
        <v>1392878</v>
      </c>
      <c r="F247" s="180">
        <f t="shared" si="26"/>
        <v>98.54030141965644</v>
      </c>
      <c r="G247" s="138">
        <f>SUM(G248:G251)</f>
        <v>1403691</v>
      </c>
      <c r="H247" s="139">
        <f>SUM(H248:H251)</f>
        <v>1391484</v>
      </c>
      <c r="I247" s="108">
        <f t="shared" si="30"/>
        <v>99.1303641613432</v>
      </c>
      <c r="J247" s="138">
        <f>J250</f>
        <v>9820</v>
      </c>
      <c r="K247" s="139">
        <f>K250</f>
        <v>1394</v>
      </c>
      <c r="L247" s="210">
        <f>K247/J247*100</f>
        <v>14.19551934826884</v>
      </c>
      <c r="M247" s="116"/>
      <c r="N247" s="117"/>
      <c r="O247" s="6"/>
      <c r="P247" s="116"/>
      <c r="Q247" s="117"/>
      <c r="R247" s="6"/>
    </row>
    <row r="248" spans="1:18" s="209" customFormat="1" ht="15.75" customHeight="1">
      <c r="A248" s="5" t="s">
        <v>47</v>
      </c>
      <c r="B248" s="252" t="s">
        <v>48</v>
      </c>
      <c r="C248" s="142">
        <v>2000</v>
      </c>
      <c r="D248" s="143">
        <f aca="true" t="shared" si="31" ref="D248:E251">G248+J248+M248+P248</f>
        <v>2000</v>
      </c>
      <c r="E248" s="143">
        <f t="shared" si="31"/>
        <v>142</v>
      </c>
      <c r="F248" s="144">
        <f t="shared" si="26"/>
        <v>7.1</v>
      </c>
      <c r="G248" s="145">
        <v>2000</v>
      </c>
      <c r="H248" s="146">
        <v>142</v>
      </c>
      <c r="I248" s="144">
        <f t="shared" si="30"/>
        <v>7.1</v>
      </c>
      <c r="J248" s="145"/>
      <c r="K248" s="146"/>
      <c r="L248" s="268"/>
      <c r="M248" s="145"/>
      <c r="N248" s="146"/>
      <c r="O248" s="144"/>
      <c r="P248" s="145"/>
      <c r="Q248" s="146"/>
      <c r="R248" s="9"/>
    </row>
    <row r="249" spans="1:18" s="209" customFormat="1" ht="17.25" customHeight="1">
      <c r="A249" s="1" t="s">
        <v>939</v>
      </c>
      <c r="B249" s="229" t="s">
        <v>959</v>
      </c>
      <c r="C249" s="128">
        <v>4000</v>
      </c>
      <c r="D249" s="93">
        <f t="shared" si="31"/>
        <v>14000</v>
      </c>
      <c r="E249" s="93">
        <f t="shared" si="31"/>
        <v>16034</v>
      </c>
      <c r="F249" s="129">
        <f t="shared" si="26"/>
        <v>114.52857142857142</v>
      </c>
      <c r="G249" s="22">
        <f>4000+10000</f>
        <v>14000</v>
      </c>
      <c r="H249" s="21">
        <v>16034</v>
      </c>
      <c r="I249" s="129">
        <f t="shared" si="30"/>
        <v>114.52857142857142</v>
      </c>
      <c r="J249" s="22"/>
      <c r="K249" s="21"/>
      <c r="L249" s="148"/>
      <c r="M249" s="22"/>
      <c r="N249" s="111"/>
      <c r="O249" s="129"/>
      <c r="P249" s="110"/>
      <c r="Q249" s="111"/>
      <c r="R249" s="129"/>
    </row>
    <row r="250" spans="1:18" s="209" customFormat="1" ht="75.75" customHeight="1">
      <c r="A250" s="1" t="s">
        <v>926</v>
      </c>
      <c r="B250" s="229" t="s">
        <v>76</v>
      </c>
      <c r="C250" s="128"/>
      <c r="D250" s="93">
        <f>J250</f>
        <v>9820</v>
      </c>
      <c r="E250" s="93">
        <f>K250</f>
        <v>1394</v>
      </c>
      <c r="F250" s="129">
        <f>E250/D250*100</f>
        <v>14.19551934826884</v>
      </c>
      <c r="G250" s="22"/>
      <c r="H250" s="21"/>
      <c r="I250" s="129"/>
      <c r="J250" s="22">
        <v>9820</v>
      </c>
      <c r="K250" s="21">
        <v>1394</v>
      </c>
      <c r="L250" s="148"/>
      <c r="M250" s="22"/>
      <c r="N250" s="111"/>
      <c r="O250" s="129"/>
      <c r="P250" s="110"/>
      <c r="Q250" s="111"/>
      <c r="R250" s="129"/>
    </row>
    <row r="251" spans="1:18" ht="36.75" customHeight="1">
      <c r="A251" s="246" t="s">
        <v>49</v>
      </c>
      <c r="B251" s="186" t="s">
        <v>85</v>
      </c>
      <c r="C251" s="132">
        <v>1247000</v>
      </c>
      <c r="D251" s="133">
        <f t="shared" si="31"/>
        <v>1387691</v>
      </c>
      <c r="E251" s="133">
        <f t="shared" si="31"/>
        <v>1375308</v>
      </c>
      <c r="F251" s="118">
        <f t="shared" si="26"/>
        <v>99.10765436974081</v>
      </c>
      <c r="G251" s="34">
        <f>1247000+59300+49720+27000+4671</f>
        <v>1387691</v>
      </c>
      <c r="H251" s="35">
        <v>1375308</v>
      </c>
      <c r="I251" s="118">
        <f t="shared" si="30"/>
        <v>99.10765436974081</v>
      </c>
      <c r="J251" s="34"/>
      <c r="K251" s="35"/>
      <c r="L251" s="269"/>
      <c r="M251" s="34"/>
      <c r="N251" s="35"/>
      <c r="O251" s="10"/>
      <c r="P251" s="34"/>
      <c r="Q251" s="35"/>
      <c r="R251" s="118"/>
    </row>
    <row r="252" spans="1:18" ht="49.5" customHeight="1">
      <c r="A252" s="4" t="s">
        <v>89</v>
      </c>
      <c r="B252" s="243" t="s">
        <v>90</v>
      </c>
      <c r="C252" s="125">
        <f>SUM(C253:C253)</f>
        <v>10000</v>
      </c>
      <c r="D252" s="107">
        <f>SUM(D253:D253)</f>
        <v>10000</v>
      </c>
      <c r="E252" s="107">
        <f>SUM(E253:E253)</f>
        <v>12315</v>
      </c>
      <c r="F252" s="180">
        <f t="shared" si="26"/>
        <v>123.15</v>
      </c>
      <c r="G252" s="125">
        <f>SUM(G253:G253)</f>
        <v>10000</v>
      </c>
      <c r="H252" s="107">
        <f>SUM(H253:H253)</f>
        <v>12315</v>
      </c>
      <c r="I252" s="108">
        <f>H252/G252*100</f>
        <v>123.15</v>
      </c>
      <c r="J252" s="138"/>
      <c r="K252" s="139"/>
      <c r="L252" s="210"/>
      <c r="M252" s="125"/>
      <c r="N252" s="107"/>
      <c r="O252" s="108"/>
      <c r="P252" s="125"/>
      <c r="Q252" s="107"/>
      <c r="R252" s="108"/>
    </row>
    <row r="253" spans="1:18" s="209" customFormat="1" ht="36">
      <c r="A253" s="251" t="s">
        <v>47</v>
      </c>
      <c r="B253" s="213" t="s">
        <v>91</v>
      </c>
      <c r="C253" s="170">
        <v>10000</v>
      </c>
      <c r="D253" s="114">
        <f aca="true" t="shared" si="32" ref="D253:E255">G253+J253+M253+P253</f>
        <v>10000</v>
      </c>
      <c r="E253" s="114">
        <f t="shared" si="32"/>
        <v>12315</v>
      </c>
      <c r="F253" s="151">
        <f t="shared" si="26"/>
        <v>123.15</v>
      </c>
      <c r="G253" s="116">
        <v>10000</v>
      </c>
      <c r="H253" s="117">
        <v>12315</v>
      </c>
      <c r="I253" s="151"/>
      <c r="J253" s="116"/>
      <c r="K253" s="117"/>
      <c r="L253" s="219"/>
      <c r="M253" s="116"/>
      <c r="N253" s="117"/>
      <c r="O253" s="6"/>
      <c r="P253" s="116"/>
      <c r="Q253" s="117"/>
      <c r="R253" s="151"/>
    </row>
    <row r="254" spans="1:18" s="189" customFormat="1" ht="22.5" customHeight="1">
      <c r="A254" s="4" t="s">
        <v>92</v>
      </c>
      <c r="B254" s="255" t="s">
        <v>93</v>
      </c>
      <c r="C254" s="137"/>
      <c r="D254" s="173"/>
      <c r="E254" s="107">
        <f t="shared" si="32"/>
        <v>117</v>
      </c>
      <c r="F254" s="108"/>
      <c r="G254" s="206"/>
      <c r="H254" s="205"/>
      <c r="I254" s="210"/>
      <c r="J254" s="206"/>
      <c r="K254" s="205"/>
      <c r="L254" s="210"/>
      <c r="M254" s="206"/>
      <c r="N254" s="205">
        <f>SUM(N255:N255)</f>
        <v>117</v>
      </c>
      <c r="O254" s="108"/>
      <c r="P254" s="138"/>
      <c r="Q254" s="139"/>
      <c r="R254" s="108"/>
    </row>
    <row r="255" spans="1:18" ht="15" customHeight="1">
      <c r="A255" s="251" t="s">
        <v>939</v>
      </c>
      <c r="B255" s="256" t="s">
        <v>959</v>
      </c>
      <c r="C255" s="170"/>
      <c r="D255" s="114"/>
      <c r="E255" s="114">
        <f t="shared" si="32"/>
        <v>117</v>
      </c>
      <c r="F255" s="176"/>
      <c r="G255" s="116"/>
      <c r="H255" s="117"/>
      <c r="I255" s="151"/>
      <c r="J255" s="116"/>
      <c r="K255" s="117"/>
      <c r="L255" s="219"/>
      <c r="M255" s="116"/>
      <c r="N255" s="117">
        <v>117</v>
      </c>
      <c r="O255" s="151"/>
      <c r="P255" s="116"/>
      <c r="Q255" s="117"/>
      <c r="R255" s="151"/>
    </row>
    <row r="256" spans="1:18" ht="36" customHeight="1">
      <c r="A256" s="4" t="s">
        <v>94</v>
      </c>
      <c r="B256" s="243" t="s">
        <v>831</v>
      </c>
      <c r="C256" s="137">
        <f>SUM(C257:C259)</f>
        <v>227000</v>
      </c>
      <c r="D256" s="107">
        <f>SUM(D257:D260)</f>
        <v>227100</v>
      </c>
      <c r="E256" s="107">
        <f>SUM(E257:E260)</f>
        <v>216092</v>
      </c>
      <c r="F256" s="180">
        <f t="shared" si="26"/>
        <v>95.15279612505503</v>
      </c>
      <c r="G256" s="138">
        <f>SUM(G257:G260)</f>
        <v>78100</v>
      </c>
      <c r="H256" s="139">
        <f>SUM(H257:H260)</f>
        <v>70046</v>
      </c>
      <c r="I256" s="108">
        <f>H256/G256*100</f>
        <v>89.6875800256082</v>
      </c>
      <c r="J256" s="206">
        <f>J259</f>
        <v>149000</v>
      </c>
      <c r="K256" s="205">
        <f>SUM(K259)</f>
        <v>146046</v>
      </c>
      <c r="L256" s="210">
        <f>K256/J256*100</f>
        <v>98.01744966442953</v>
      </c>
      <c r="M256" s="257"/>
      <c r="N256" s="258"/>
      <c r="O256" s="259"/>
      <c r="P256" s="257"/>
      <c r="Q256" s="258"/>
      <c r="R256" s="259"/>
    </row>
    <row r="257" spans="1:18" s="209" customFormat="1" ht="24">
      <c r="A257" s="5" t="s">
        <v>47</v>
      </c>
      <c r="B257" s="252" t="s">
        <v>95</v>
      </c>
      <c r="C257" s="142">
        <v>78000</v>
      </c>
      <c r="D257" s="143">
        <f aca="true" t="shared" si="33" ref="D257:E260">G257+J257+M257+P257</f>
        <v>78000</v>
      </c>
      <c r="E257" s="143">
        <f t="shared" si="33"/>
        <v>69588</v>
      </c>
      <c r="F257" s="184">
        <f t="shared" si="26"/>
        <v>89.21538461538462</v>
      </c>
      <c r="G257" s="145">
        <v>78000</v>
      </c>
      <c r="H257" s="146">
        <v>69588</v>
      </c>
      <c r="I257" s="144">
        <f>H257/G257*100</f>
        <v>89.21538461538462</v>
      </c>
      <c r="J257" s="244"/>
      <c r="K257" s="245"/>
      <c r="L257" s="268"/>
      <c r="M257" s="569"/>
      <c r="N257" s="570"/>
      <c r="O257" s="571"/>
      <c r="P257" s="569"/>
      <c r="Q257" s="570"/>
      <c r="R257" s="571"/>
    </row>
    <row r="258" spans="1:18" s="209" customFormat="1" ht="15.75" customHeight="1">
      <c r="A258" s="1" t="s">
        <v>966</v>
      </c>
      <c r="B258" s="229" t="s">
        <v>244</v>
      </c>
      <c r="C258" s="128"/>
      <c r="D258" s="93">
        <f>G258</f>
        <v>100</v>
      </c>
      <c r="E258" s="93">
        <f>H258</f>
        <v>24</v>
      </c>
      <c r="F258" s="129">
        <f>E258/D258*100</f>
        <v>24</v>
      </c>
      <c r="G258" s="22">
        <v>100</v>
      </c>
      <c r="H258" s="21">
        <v>24</v>
      </c>
      <c r="I258" s="129">
        <f>H258/G258*100</f>
        <v>24</v>
      </c>
      <c r="J258" s="247"/>
      <c r="K258" s="248"/>
      <c r="L258" s="270"/>
      <c r="M258" s="260"/>
      <c r="N258" s="261"/>
      <c r="O258" s="262"/>
      <c r="P258" s="260"/>
      <c r="Q258" s="261"/>
      <c r="R258" s="262"/>
    </row>
    <row r="259" spans="1:18" s="209" customFormat="1" ht="72.75" customHeight="1">
      <c r="A259" s="1" t="s">
        <v>926</v>
      </c>
      <c r="B259" s="229" t="s">
        <v>76</v>
      </c>
      <c r="C259" s="128">
        <v>149000</v>
      </c>
      <c r="D259" s="93">
        <f t="shared" si="33"/>
        <v>149000</v>
      </c>
      <c r="E259" s="93">
        <f t="shared" si="33"/>
        <v>146046</v>
      </c>
      <c r="F259" s="115">
        <f aca="true" t="shared" si="34" ref="F259:F312">E259/D259*100</f>
        <v>98.01744966442953</v>
      </c>
      <c r="G259" s="22"/>
      <c r="H259" s="21"/>
      <c r="I259" s="129"/>
      <c r="J259" s="22">
        <v>149000</v>
      </c>
      <c r="K259" s="147">
        <v>146046</v>
      </c>
      <c r="L259" s="270">
        <f>K259/J259*100</f>
        <v>98.01744966442953</v>
      </c>
      <c r="M259" s="260"/>
      <c r="N259" s="261"/>
      <c r="O259" s="262"/>
      <c r="P259" s="260"/>
      <c r="Q259" s="261"/>
      <c r="R259" s="262"/>
    </row>
    <row r="260" spans="1:18" s="209" customFormat="1" ht="60.75" customHeight="1">
      <c r="A260" s="246" t="s">
        <v>957</v>
      </c>
      <c r="B260" s="346" t="s">
        <v>994</v>
      </c>
      <c r="C260" s="132"/>
      <c r="D260" s="133">
        <f t="shared" si="33"/>
        <v>0</v>
      </c>
      <c r="E260" s="133">
        <f t="shared" si="33"/>
        <v>434</v>
      </c>
      <c r="F260" s="134"/>
      <c r="G260" s="34"/>
      <c r="H260" s="35">
        <v>434</v>
      </c>
      <c r="I260" s="118"/>
      <c r="J260" s="34"/>
      <c r="K260" s="150"/>
      <c r="L260" s="269"/>
      <c r="M260" s="372"/>
      <c r="N260" s="373"/>
      <c r="O260" s="374"/>
      <c r="P260" s="372"/>
      <c r="Q260" s="373"/>
      <c r="R260" s="374"/>
    </row>
    <row r="261" spans="1:20" ht="14.25" customHeight="1">
      <c r="A261" s="4" t="s">
        <v>96</v>
      </c>
      <c r="B261" s="263" t="s">
        <v>233</v>
      </c>
      <c r="C261" s="137">
        <f>SUM(C262:C265)</f>
        <v>685600</v>
      </c>
      <c r="D261" s="107">
        <f>G261+J261+M261+P261</f>
        <v>1117100</v>
      </c>
      <c r="E261" s="107">
        <f>H261+K261+N261+Q261</f>
        <v>1091744</v>
      </c>
      <c r="F261" s="180">
        <f t="shared" si="34"/>
        <v>97.73019425297646</v>
      </c>
      <c r="G261" s="138">
        <f>SUM(G262:G264)</f>
        <v>1100600</v>
      </c>
      <c r="H261" s="139">
        <f>SUM(H262:H264)</f>
        <v>1075244</v>
      </c>
      <c r="I261" s="108">
        <f aca="true" t="shared" si="35" ref="I261:I267">H261/G261*100</f>
        <v>97.69616572778484</v>
      </c>
      <c r="J261" s="181"/>
      <c r="K261" s="182"/>
      <c r="L261" s="253"/>
      <c r="M261" s="375"/>
      <c r="N261" s="376"/>
      <c r="O261" s="377"/>
      <c r="P261" s="375">
        <f>SUM(P262:P265)</f>
        <v>16500</v>
      </c>
      <c r="Q261" s="376">
        <f>SUM(Q262:Q265)</f>
        <v>16500</v>
      </c>
      <c r="R261" s="377">
        <f>Q261/P261*100</f>
        <v>100</v>
      </c>
      <c r="S261" s="378"/>
      <c r="T261" s="378"/>
    </row>
    <row r="262" spans="1:20" s="209" customFormat="1" ht="24">
      <c r="A262" s="5" t="s">
        <v>47</v>
      </c>
      <c r="B262" s="190" t="s">
        <v>97</v>
      </c>
      <c r="C262" s="142">
        <v>5000</v>
      </c>
      <c r="D262" s="143">
        <f aca="true" t="shared" si="36" ref="D262:E264">G262+J262+M262+P262</f>
        <v>5000</v>
      </c>
      <c r="E262" s="143">
        <f t="shared" si="36"/>
        <v>8192</v>
      </c>
      <c r="F262" s="144">
        <f t="shared" si="34"/>
        <v>163.84</v>
      </c>
      <c r="G262" s="145">
        <v>5000</v>
      </c>
      <c r="H262" s="146">
        <v>8192</v>
      </c>
      <c r="I262" s="144">
        <f t="shared" si="35"/>
        <v>163.84</v>
      </c>
      <c r="J262" s="163"/>
      <c r="K262" s="164"/>
      <c r="L262" s="165"/>
      <c r="M262" s="163"/>
      <c r="N262" s="164"/>
      <c r="O262" s="165"/>
      <c r="P262" s="163"/>
      <c r="Q262" s="164"/>
      <c r="R262" s="165"/>
      <c r="S262" s="379"/>
      <c r="T262" s="379"/>
    </row>
    <row r="263" spans="1:20" ht="27" customHeight="1">
      <c r="A263" s="246" t="s">
        <v>939</v>
      </c>
      <c r="B263" s="186" t="s">
        <v>98</v>
      </c>
      <c r="C263" s="132">
        <v>195600</v>
      </c>
      <c r="D263" s="133">
        <f t="shared" si="36"/>
        <v>195600</v>
      </c>
      <c r="E263" s="133">
        <f t="shared" si="36"/>
        <v>167052</v>
      </c>
      <c r="F263" s="118">
        <f t="shared" si="34"/>
        <v>85.40490797546012</v>
      </c>
      <c r="G263" s="34">
        <v>195600</v>
      </c>
      <c r="H263" s="35">
        <v>167052</v>
      </c>
      <c r="I263" s="118">
        <f t="shared" si="35"/>
        <v>85.40490797546012</v>
      </c>
      <c r="J263" s="149"/>
      <c r="K263" s="150"/>
      <c r="L263" s="441"/>
      <c r="M263" s="149"/>
      <c r="N263" s="150"/>
      <c r="O263" s="441"/>
      <c r="P263" s="149"/>
      <c r="Q263" s="150"/>
      <c r="R263" s="441"/>
      <c r="S263" s="378"/>
      <c r="T263" s="378"/>
    </row>
    <row r="264" spans="1:18" s="209" customFormat="1" ht="37.5" customHeight="1">
      <c r="A264" s="1" t="s">
        <v>49</v>
      </c>
      <c r="B264" s="153" t="s">
        <v>85</v>
      </c>
      <c r="C264" s="128">
        <v>469000</v>
      </c>
      <c r="D264" s="93">
        <f t="shared" si="36"/>
        <v>900000</v>
      </c>
      <c r="E264" s="93">
        <f t="shared" si="36"/>
        <v>900000</v>
      </c>
      <c r="F264" s="129">
        <f t="shared" si="34"/>
        <v>100</v>
      </c>
      <c r="G264" s="22">
        <f>469000+431000</f>
        <v>900000</v>
      </c>
      <c r="H264" s="21">
        <v>900000</v>
      </c>
      <c r="I264" s="129">
        <f t="shared" si="35"/>
        <v>100</v>
      </c>
      <c r="J264" s="33"/>
      <c r="K264" s="147"/>
      <c r="L264" s="148"/>
      <c r="M264" s="33"/>
      <c r="N264" s="147"/>
      <c r="O264" s="148"/>
      <c r="P264" s="33"/>
      <c r="Q264" s="147"/>
      <c r="R264" s="148"/>
    </row>
    <row r="265" spans="1:18" s="209" customFormat="1" ht="74.25" customHeight="1" thickBot="1">
      <c r="A265" s="1" t="s">
        <v>955</v>
      </c>
      <c r="B265" s="341" t="s">
        <v>956</v>
      </c>
      <c r="C265" s="128">
        <v>16000</v>
      </c>
      <c r="D265" s="93">
        <f>P265</f>
        <v>16500</v>
      </c>
      <c r="E265" s="93">
        <f>Q265</f>
        <v>16500</v>
      </c>
      <c r="F265" s="129">
        <f t="shared" si="34"/>
        <v>100</v>
      </c>
      <c r="G265" s="22"/>
      <c r="H265" s="21" t="s">
        <v>597</v>
      </c>
      <c r="I265" s="129"/>
      <c r="J265" s="33"/>
      <c r="K265" s="147"/>
      <c r="L265" s="148"/>
      <c r="M265" s="33"/>
      <c r="N265" s="147"/>
      <c r="O265" s="148"/>
      <c r="P265" s="33">
        <f>16000+500</f>
        <v>16500</v>
      </c>
      <c r="Q265" s="147">
        <v>16500</v>
      </c>
      <c r="R265" s="148"/>
    </row>
    <row r="266" spans="1:18" s="232" customFormat="1" ht="37.5" customHeight="1" thickBot="1" thickTop="1">
      <c r="A266" s="240" t="s">
        <v>99</v>
      </c>
      <c r="B266" s="166" t="s">
        <v>100</v>
      </c>
      <c r="C266" s="208">
        <f>C267+C269+C271+C273+C275</f>
        <v>1539920</v>
      </c>
      <c r="D266" s="76">
        <f>D267+D269+D271+D273+D275</f>
        <v>1745030</v>
      </c>
      <c r="E266" s="76">
        <f>E267+E269+E271+E273+E275</f>
        <v>1423704</v>
      </c>
      <c r="F266" s="211">
        <f t="shared" si="34"/>
        <v>81.58621914809487</v>
      </c>
      <c r="G266" s="185">
        <f>G267+G269+G271+G273+G275</f>
        <v>906293</v>
      </c>
      <c r="H266" s="76">
        <f>H267+H269+H271+H273+H275</f>
        <v>656137</v>
      </c>
      <c r="I266" s="211">
        <f t="shared" si="35"/>
        <v>72.39788898292274</v>
      </c>
      <c r="J266" s="105"/>
      <c r="K266" s="103"/>
      <c r="L266" s="572"/>
      <c r="M266" s="185">
        <f>M269+M267+M271+M273+M275</f>
        <v>712737</v>
      </c>
      <c r="N266" s="76">
        <f>N269+N267+N271+N273+N275</f>
        <v>641567</v>
      </c>
      <c r="O266" s="211">
        <f>N266/M266*100</f>
        <v>90.01454954632635</v>
      </c>
      <c r="P266" s="185">
        <f>P267+P271+P273</f>
        <v>126000</v>
      </c>
      <c r="Q266" s="76">
        <f>Q267+Q271+Q273</f>
        <v>126000</v>
      </c>
      <c r="R266" s="211">
        <f>Q266/P266*100</f>
        <v>100</v>
      </c>
    </row>
    <row r="267" spans="1:18" ht="15.75" customHeight="1" thickTop="1">
      <c r="A267" s="241" t="s">
        <v>101</v>
      </c>
      <c r="B267" s="242" t="s">
        <v>836</v>
      </c>
      <c r="C267" s="121">
        <f>C268</f>
        <v>1200</v>
      </c>
      <c r="D267" s="106">
        <f>D268</f>
        <v>1200</v>
      </c>
      <c r="E267" s="106">
        <f>E268</f>
        <v>900</v>
      </c>
      <c r="F267" s="179">
        <f t="shared" si="34"/>
        <v>75</v>
      </c>
      <c r="G267" s="122">
        <f>G268</f>
        <v>1200</v>
      </c>
      <c r="H267" s="123">
        <f>H268</f>
        <v>900</v>
      </c>
      <c r="I267" s="124">
        <f t="shared" si="35"/>
        <v>75</v>
      </c>
      <c r="J267" s="122"/>
      <c r="K267" s="123"/>
      <c r="L267" s="441"/>
      <c r="M267" s="122"/>
      <c r="N267" s="123"/>
      <c r="O267" s="124"/>
      <c r="P267" s="122"/>
      <c r="Q267" s="123"/>
      <c r="R267" s="124"/>
    </row>
    <row r="268" spans="1:18" ht="60.75" customHeight="1">
      <c r="A268" s="251" t="s">
        <v>949</v>
      </c>
      <c r="B268" s="113" t="s">
        <v>950</v>
      </c>
      <c r="C268" s="170">
        <v>1200</v>
      </c>
      <c r="D268" s="114">
        <f aca="true" t="shared" si="37" ref="D268:E270">G268+J268+M268+P268</f>
        <v>1200</v>
      </c>
      <c r="E268" s="114">
        <f t="shared" si="37"/>
        <v>900</v>
      </c>
      <c r="F268" s="176">
        <f t="shared" si="34"/>
        <v>75</v>
      </c>
      <c r="G268" s="116">
        <v>1200</v>
      </c>
      <c r="H268" s="117">
        <v>900</v>
      </c>
      <c r="I268" s="151"/>
      <c r="J268" s="116"/>
      <c r="K268" s="117"/>
      <c r="L268" s="253"/>
      <c r="M268" s="116"/>
      <c r="N268" s="117"/>
      <c r="O268" s="151"/>
      <c r="P268" s="116"/>
      <c r="Q268" s="117"/>
      <c r="R268" s="151"/>
    </row>
    <row r="269" spans="1:18" s="175" customFormat="1" ht="37.5" customHeight="1">
      <c r="A269" s="4" t="s">
        <v>102</v>
      </c>
      <c r="B269" s="243" t="s">
        <v>837</v>
      </c>
      <c r="C269" s="137"/>
      <c r="D269" s="173">
        <f t="shared" si="37"/>
        <v>82852</v>
      </c>
      <c r="E269" s="195">
        <f t="shared" si="37"/>
        <v>57466</v>
      </c>
      <c r="F269" s="266">
        <f t="shared" si="34"/>
        <v>69.35982233380003</v>
      </c>
      <c r="G269" s="138"/>
      <c r="H269" s="139"/>
      <c r="I269" s="151"/>
      <c r="J269" s="138"/>
      <c r="K269" s="139"/>
      <c r="L269" s="398"/>
      <c r="M269" s="138">
        <f>M270</f>
        <v>82852</v>
      </c>
      <c r="N269" s="139">
        <f>N270</f>
        <v>57466</v>
      </c>
      <c r="O269" s="174">
        <f>N269/M269*100</f>
        <v>69.35982233380003</v>
      </c>
      <c r="P269" s="138"/>
      <c r="Q269" s="139"/>
      <c r="R269" s="108"/>
    </row>
    <row r="270" spans="1:18" ht="51.75" customHeight="1">
      <c r="A270" s="246" t="s">
        <v>78</v>
      </c>
      <c r="B270" s="254" t="s">
        <v>79</v>
      </c>
      <c r="C270" s="132"/>
      <c r="D270" s="133">
        <f t="shared" si="37"/>
        <v>82852</v>
      </c>
      <c r="E270" s="217">
        <f t="shared" si="37"/>
        <v>57466</v>
      </c>
      <c r="F270" s="134">
        <f t="shared" si="34"/>
        <v>69.35982233380003</v>
      </c>
      <c r="G270" s="34"/>
      <c r="H270" s="35"/>
      <c r="I270" s="118"/>
      <c r="J270" s="34"/>
      <c r="K270" s="35"/>
      <c r="L270" s="441"/>
      <c r="M270" s="34">
        <v>82852</v>
      </c>
      <c r="N270" s="35">
        <v>57466</v>
      </c>
      <c r="O270" s="118"/>
      <c r="P270" s="34"/>
      <c r="Q270" s="35"/>
      <c r="R270" s="118"/>
    </row>
    <row r="271" spans="1:18" ht="28.5" customHeight="1">
      <c r="A271" s="4" t="s">
        <v>103</v>
      </c>
      <c r="B271" s="243" t="s">
        <v>104</v>
      </c>
      <c r="C271" s="137">
        <f>C272</f>
        <v>116000</v>
      </c>
      <c r="D271" s="107">
        <f>D272</f>
        <v>126000</v>
      </c>
      <c r="E271" s="107">
        <f>E272</f>
        <v>126000</v>
      </c>
      <c r="F271" s="180">
        <f t="shared" si="34"/>
        <v>100</v>
      </c>
      <c r="G271" s="116"/>
      <c r="H271" s="117"/>
      <c r="I271" s="151"/>
      <c r="J271" s="116"/>
      <c r="K271" s="117"/>
      <c r="L271" s="253"/>
      <c r="M271" s="116"/>
      <c r="N271" s="117"/>
      <c r="O271" s="6"/>
      <c r="P271" s="138">
        <f>P272</f>
        <v>126000</v>
      </c>
      <c r="Q271" s="139">
        <f>Q272</f>
        <v>126000</v>
      </c>
      <c r="R271" s="108">
        <f>Q271/P271*100</f>
        <v>100</v>
      </c>
    </row>
    <row r="272" spans="1:18" ht="76.5" customHeight="1">
      <c r="A272" s="251" t="s">
        <v>955</v>
      </c>
      <c r="B272" s="256" t="s">
        <v>105</v>
      </c>
      <c r="C272" s="170">
        <v>116000</v>
      </c>
      <c r="D272" s="114">
        <f>G272+J272+M272+P272</f>
        <v>126000</v>
      </c>
      <c r="E272" s="114">
        <f>H272+K272+N272+Q272</f>
        <v>126000</v>
      </c>
      <c r="F272" s="176">
        <f t="shared" si="34"/>
        <v>100</v>
      </c>
      <c r="G272" s="116"/>
      <c r="H272" s="117"/>
      <c r="I272" s="151"/>
      <c r="J272" s="116"/>
      <c r="K272" s="117"/>
      <c r="L272" s="253"/>
      <c r="M272" s="116"/>
      <c r="N272" s="117"/>
      <c r="O272" s="151"/>
      <c r="P272" s="116">
        <f>116000+10000</f>
        <v>126000</v>
      </c>
      <c r="Q272" s="117">
        <v>126000</v>
      </c>
      <c r="R272" s="151"/>
    </row>
    <row r="273" spans="1:18" ht="36.75" customHeight="1">
      <c r="A273" s="4" t="s">
        <v>106</v>
      </c>
      <c r="B273" s="243" t="s">
        <v>107</v>
      </c>
      <c r="C273" s="137">
        <f>C274</f>
        <v>83285</v>
      </c>
      <c r="D273" s="107">
        <f>D274</f>
        <v>83285</v>
      </c>
      <c r="E273" s="107">
        <f>E274</f>
        <v>69177</v>
      </c>
      <c r="F273" s="180">
        <f>E273/D273*100</f>
        <v>83.06057513357747</v>
      </c>
      <c r="G273" s="138"/>
      <c r="H273" s="139"/>
      <c r="I273" s="151"/>
      <c r="J273" s="138"/>
      <c r="K273" s="139"/>
      <c r="L273" s="398"/>
      <c r="M273" s="138">
        <f>M274</f>
        <v>83285</v>
      </c>
      <c r="N273" s="139">
        <f>N274</f>
        <v>69177</v>
      </c>
      <c r="O273" s="108">
        <f aca="true" t="shared" si="38" ref="O273:O302">N273/M273*100</f>
        <v>83.06057513357747</v>
      </c>
      <c r="P273" s="138"/>
      <c r="Q273" s="139"/>
      <c r="R273" s="12"/>
    </row>
    <row r="274" spans="1:18" ht="26.25" customHeight="1">
      <c r="A274" s="5" t="s">
        <v>939</v>
      </c>
      <c r="B274" s="252" t="s">
        <v>108</v>
      </c>
      <c r="C274" s="142">
        <v>83285</v>
      </c>
      <c r="D274" s="143">
        <f>G274+J274+M274+P274</f>
        <v>83285</v>
      </c>
      <c r="E274" s="143">
        <f>H274+K274+N274+Q274</f>
        <v>69177</v>
      </c>
      <c r="F274" s="184">
        <f>E274/D274*100</f>
        <v>83.06057513357747</v>
      </c>
      <c r="G274" s="145"/>
      <c r="H274" s="146"/>
      <c r="I274" s="144"/>
      <c r="J274" s="145"/>
      <c r="K274" s="146"/>
      <c r="L274" s="165"/>
      <c r="M274" s="145">
        <v>83285</v>
      </c>
      <c r="N274" s="146">
        <v>69177</v>
      </c>
      <c r="O274" s="144"/>
      <c r="P274" s="145"/>
      <c r="Q274" s="146"/>
      <c r="R274" s="9"/>
    </row>
    <row r="275" spans="1:18" s="189" customFormat="1" ht="22.5" customHeight="1">
      <c r="A275" s="4" t="s">
        <v>21</v>
      </c>
      <c r="B275" s="243" t="s">
        <v>233</v>
      </c>
      <c r="C275" s="137">
        <f>C276+C279</f>
        <v>1339435</v>
      </c>
      <c r="D275" s="107">
        <f>G275+M275</f>
        <v>1451693</v>
      </c>
      <c r="E275" s="107">
        <f>E277+E278+E280+E281+E283+E284</f>
        <v>1170161</v>
      </c>
      <c r="F275" s="180">
        <f>E275/D275*100</f>
        <v>80.60664341565331</v>
      </c>
      <c r="G275" s="138">
        <f>G277+G278+G283+G284</f>
        <v>905093</v>
      </c>
      <c r="H275" s="139">
        <f>H277+H278+H283+H284</f>
        <v>655237</v>
      </c>
      <c r="I275" s="108">
        <f>H275/G275*100</f>
        <v>72.39443902449804</v>
      </c>
      <c r="J275" s="138"/>
      <c r="K275" s="139"/>
      <c r="L275" s="398"/>
      <c r="M275" s="138">
        <f>M279</f>
        <v>546600</v>
      </c>
      <c r="N275" s="139">
        <f>SUM(N279)</f>
        <v>514924</v>
      </c>
      <c r="O275" s="108">
        <f t="shared" si="38"/>
        <v>94.20490303695573</v>
      </c>
      <c r="P275" s="138"/>
      <c r="Q275" s="139"/>
      <c r="R275" s="12"/>
    </row>
    <row r="276" spans="1:18" s="189" customFormat="1" ht="16.5" customHeight="1">
      <c r="A276" s="380"/>
      <c r="B276" s="458" t="s">
        <v>22</v>
      </c>
      <c r="C276" s="381">
        <f>SUM(C277:C278)</f>
        <v>942284</v>
      </c>
      <c r="D276" s="382">
        <f>SUM(D277:D278)</f>
        <v>856269</v>
      </c>
      <c r="E276" s="383">
        <f aca="true" t="shared" si="39" ref="E276:E281">H276+K276+N276+Q276</f>
        <v>633985</v>
      </c>
      <c r="F276" s="384">
        <f>E276/D276*100</f>
        <v>74.04040085533869</v>
      </c>
      <c r="G276" s="329">
        <f>SUM(G277:G278)</f>
        <v>856269</v>
      </c>
      <c r="H276" s="331">
        <f>SUM(H277:H278)</f>
        <v>633985</v>
      </c>
      <c r="I276" s="385">
        <f>H276/G276*100</f>
        <v>74.04040085533869</v>
      </c>
      <c r="J276" s="329"/>
      <c r="K276" s="331"/>
      <c r="L276" s="330"/>
      <c r="M276" s="110"/>
      <c r="N276" s="111"/>
      <c r="O276" s="225"/>
      <c r="P276" s="110"/>
      <c r="Q276" s="111"/>
      <c r="R276" s="8"/>
    </row>
    <row r="277" spans="1:18" s="209" customFormat="1" ht="36.75" customHeight="1">
      <c r="A277" s="1" t="s">
        <v>23</v>
      </c>
      <c r="B277" s="153" t="s">
        <v>24</v>
      </c>
      <c r="C277" s="128">
        <v>800901</v>
      </c>
      <c r="D277" s="93">
        <f>G277</f>
        <v>808699</v>
      </c>
      <c r="E277" s="93">
        <f t="shared" si="39"/>
        <v>598736</v>
      </c>
      <c r="F277" s="115"/>
      <c r="G277" s="22">
        <f>800901+7798</f>
        <v>808699</v>
      </c>
      <c r="H277" s="21">
        <v>598736</v>
      </c>
      <c r="I277" s="129">
        <f>H277/G277*100</f>
        <v>74.03694081481491</v>
      </c>
      <c r="J277" s="22"/>
      <c r="K277" s="21"/>
      <c r="L277" s="148"/>
      <c r="M277" s="22"/>
      <c r="N277" s="21"/>
      <c r="O277" s="129"/>
      <c r="P277" s="22"/>
      <c r="Q277" s="21"/>
      <c r="R277" s="7"/>
    </row>
    <row r="278" spans="1:18" s="209" customFormat="1" ht="39.75" customHeight="1">
      <c r="A278" s="1" t="s">
        <v>25</v>
      </c>
      <c r="B278" s="153" t="s">
        <v>24</v>
      </c>
      <c r="C278" s="128">
        <v>141383</v>
      </c>
      <c r="D278" s="93">
        <f>G278</f>
        <v>47570</v>
      </c>
      <c r="E278" s="93">
        <f t="shared" si="39"/>
        <v>35249</v>
      </c>
      <c r="F278" s="115"/>
      <c r="G278" s="22">
        <f>141383-93813</f>
        <v>47570</v>
      </c>
      <c r="H278" s="21">
        <v>35249</v>
      </c>
      <c r="I278" s="129">
        <f>H278/G278*100</f>
        <v>74.09922219886484</v>
      </c>
      <c r="J278" s="22"/>
      <c r="K278" s="21"/>
      <c r="L278" s="148"/>
      <c r="M278" s="22"/>
      <c r="N278" s="21"/>
      <c r="O278" s="129"/>
      <c r="P278" s="22"/>
      <c r="Q278" s="21"/>
      <c r="R278" s="7"/>
    </row>
    <row r="279" spans="1:18" s="459" customFormat="1" ht="24" customHeight="1">
      <c r="A279" s="386"/>
      <c r="B279" s="387" t="s">
        <v>26</v>
      </c>
      <c r="C279" s="388">
        <f>SUM(C280:C281)</f>
        <v>397151</v>
      </c>
      <c r="D279" s="389">
        <f>SUM(D280:D281)</f>
        <v>546600</v>
      </c>
      <c r="E279" s="382">
        <f t="shared" si="39"/>
        <v>514924</v>
      </c>
      <c r="F279" s="390">
        <f>E279/D279*100</f>
        <v>94.20490303695573</v>
      </c>
      <c r="H279" s="391"/>
      <c r="I279" s="392"/>
      <c r="J279" s="393"/>
      <c r="K279" s="391"/>
      <c r="L279" s="330"/>
      <c r="M279" s="393">
        <f>SUM(M280:M281)</f>
        <v>546600</v>
      </c>
      <c r="N279" s="391">
        <f>SUM(N280:N281)</f>
        <v>514924</v>
      </c>
      <c r="O279" s="394">
        <f>N279/M279*100</f>
        <v>94.20490303695573</v>
      </c>
      <c r="P279" s="393"/>
      <c r="Q279" s="391"/>
      <c r="R279" s="14"/>
    </row>
    <row r="280" spans="1:18" s="354" customFormat="1" ht="38.25" customHeight="1">
      <c r="A280" s="1" t="s">
        <v>23</v>
      </c>
      <c r="B280" s="153" t="s">
        <v>24</v>
      </c>
      <c r="C280" s="128">
        <v>337578</v>
      </c>
      <c r="D280" s="93">
        <f>M280</f>
        <v>539366</v>
      </c>
      <c r="E280" s="93">
        <f t="shared" si="39"/>
        <v>508109</v>
      </c>
      <c r="F280" s="395">
        <f>E280/D280*100</f>
        <v>94.20486274626136</v>
      </c>
      <c r="G280" s="460"/>
      <c r="H280" s="21"/>
      <c r="I280" s="396"/>
      <c r="J280" s="22"/>
      <c r="K280" s="21"/>
      <c r="L280" s="148"/>
      <c r="M280" s="22">
        <f>337578+149449+52339</f>
        <v>539366</v>
      </c>
      <c r="N280" s="21">
        <v>508109</v>
      </c>
      <c r="O280" s="396">
        <f>N280/M280*100</f>
        <v>94.20486274626136</v>
      </c>
      <c r="P280" s="351"/>
      <c r="Q280" s="353"/>
      <c r="R280" s="2"/>
    </row>
    <row r="281" spans="1:18" s="209" customFormat="1" ht="36.75" customHeight="1">
      <c r="A281" s="1" t="s">
        <v>25</v>
      </c>
      <c r="B281" s="153" t="s">
        <v>24</v>
      </c>
      <c r="C281" s="128">
        <v>59573</v>
      </c>
      <c r="D281" s="93">
        <f>M281</f>
        <v>7234</v>
      </c>
      <c r="E281" s="93">
        <f t="shared" si="39"/>
        <v>6815</v>
      </c>
      <c r="F281" s="395">
        <f>E281/D281*100</f>
        <v>94.2079071053359</v>
      </c>
      <c r="G281" s="22"/>
      <c r="H281" s="21"/>
      <c r="I281" s="396"/>
      <c r="J281" s="22"/>
      <c r="K281" s="21"/>
      <c r="L281" s="148"/>
      <c r="M281" s="22">
        <f>59573-52339</f>
        <v>7234</v>
      </c>
      <c r="N281" s="21">
        <v>6815</v>
      </c>
      <c r="O281" s="396">
        <f>N281/M281*100</f>
        <v>94.2079071053359</v>
      </c>
      <c r="P281" s="22"/>
      <c r="Q281" s="21"/>
      <c r="R281" s="7"/>
    </row>
    <row r="282" spans="1:18" s="576" customFormat="1" ht="39" customHeight="1">
      <c r="A282" s="386"/>
      <c r="B282" s="573" t="s">
        <v>374</v>
      </c>
      <c r="C282" s="388"/>
      <c r="D282" s="389">
        <f>SUM(D283:D284)</f>
        <v>48824</v>
      </c>
      <c r="E282" s="389">
        <f>H282</f>
        <v>21252</v>
      </c>
      <c r="F282" s="392">
        <f>E282/D282*100</f>
        <v>43.52777322628216</v>
      </c>
      <c r="G282" s="393">
        <f>SUM(G283:G284)</f>
        <v>48824</v>
      </c>
      <c r="H282" s="391">
        <f>SUM(H283:H284)</f>
        <v>21252</v>
      </c>
      <c r="I282" s="392">
        <f>H282/G282*100</f>
        <v>43.52777322628216</v>
      </c>
      <c r="J282" s="393"/>
      <c r="K282" s="391"/>
      <c r="L282" s="574"/>
      <c r="M282" s="393"/>
      <c r="N282" s="391"/>
      <c r="O282" s="392"/>
      <c r="P282" s="393"/>
      <c r="Q282" s="391"/>
      <c r="R282" s="575"/>
    </row>
    <row r="283" spans="1:18" ht="37.5" customHeight="1">
      <c r="A283" s="1" t="s">
        <v>23</v>
      </c>
      <c r="B283" s="153" t="s">
        <v>24</v>
      </c>
      <c r="C283" s="128"/>
      <c r="D283" s="93">
        <f>G283</f>
        <v>41500</v>
      </c>
      <c r="E283" s="93">
        <f>H283</f>
        <v>18064</v>
      </c>
      <c r="F283" s="395"/>
      <c r="G283" s="22">
        <v>41500</v>
      </c>
      <c r="H283" s="21">
        <v>18064</v>
      </c>
      <c r="I283" s="396">
        <f>H283/G283*100</f>
        <v>43.5277108433735</v>
      </c>
      <c r="J283" s="22"/>
      <c r="K283" s="21"/>
      <c r="L283" s="148"/>
      <c r="M283" s="22"/>
      <c r="N283" s="21"/>
      <c r="O283" s="396"/>
      <c r="P283" s="22"/>
      <c r="Q283" s="21"/>
      <c r="R283" s="7"/>
    </row>
    <row r="284" spans="1:18" ht="39" customHeight="1" thickBot="1">
      <c r="A284" s="1" t="s">
        <v>25</v>
      </c>
      <c r="B284" s="153" t="s">
        <v>24</v>
      </c>
      <c r="C284" s="128"/>
      <c r="D284" s="93">
        <f>G284</f>
        <v>7324</v>
      </c>
      <c r="E284" s="93">
        <f>H284</f>
        <v>3188</v>
      </c>
      <c r="F284" s="395"/>
      <c r="G284" s="22">
        <v>7324</v>
      </c>
      <c r="H284" s="21">
        <v>3188</v>
      </c>
      <c r="I284" s="396">
        <f>H284/G284*100</f>
        <v>43.52812670671764</v>
      </c>
      <c r="J284" s="22"/>
      <c r="K284" s="21"/>
      <c r="L284" s="148"/>
      <c r="M284" s="22"/>
      <c r="N284" s="21"/>
      <c r="O284" s="396"/>
      <c r="P284" s="22"/>
      <c r="Q284" s="21"/>
      <c r="R284" s="7"/>
    </row>
    <row r="285" spans="1:18" s="232" customFormat="1" ht="30" customHeight="1" thickTop="1">
      <c r="A285" s="264" t="s">
        <v>109</v>
      </c>
      <c r="B285" s="265" t="s">
        <v>110</v>
      </c>
      <c r="C285" s="233">
        <f>C286+C292+C296+C299+C302+C307</f>
        <v>338200</v>
      </c>
      <c r="D285" s="223">
        <f>G285+J285+M285+P285</f>
        <v>2469785</v>
      </c>
      <c r="E285" s="223">
        <f>E286+E292+E296+E299+E302+E307+E310</f>
        <v>1989316</v>
      </c>
      <c r="F285" s="563">
        <f t="shared" si="34"/>
        <v>80.54612041129087</v>
      </c>
      <c r="G285" s="222">
        <f>G286+G292+G296+G299+G302+G307+G310</f>
        <v>973625</v>
      </c>
      <c r="H285" s="36">
        <f>H286+H292+H296+H299+H302+H307+H310</f>
        <v>855194</v>
      </c>
      <c r="I285" s="563">
        <f>H285/G285*100</f>
        <v>87.83607651816665</v>
      </c>
      <c r="J285" s="222"/>
      <c r="K285" s="36"/>
      <c r="L285" s="577"/>
      <c r="M285" s="222">
        <f>M286+M292+M296+M299+M302+M310</f>
        <v>1496160</v>
      </c>
      <c r="N285" s="36">
        <f>N286+N292+N296+N299+N302+N310</f>
        <v>1134122</v>
      </c>
      <c r="O285" s="578">
        <f t="shared" si="38"/>
        <v>75.80218693187895</v>
      </c>
      <c r="P285" s="222"/>
      <c r="Q285" s="36"/>
      <c r="R285" s="578"/>
    </row>
    <row r="286" spans="1:18" ht="26.25" customHeight="1">
      <c r="A286" s="241" t="s">
        <v>111</v>
      </c>
      <c r="B286" s="242" t="s">
        <v>112</v>
      </c>
      <c r="C286" s="168">
        <f>SUM(C287:C291)</f>
        <v>58400</v>
      </c>
      <c r="D286" s="106">
        <f>SUM(D287:D291)</f>
        <v>94600</v>
      </c>
      <c r="E286" s="106">
        <f>SUM(E287:E291)</f>
        <v>91587</v>
      </c>
      <c r="F286" s="124">
        <f t="shared" si="34"/>
        <v>96.81501057082453</v>
      </c>
      <c r="G286" s="122"/>
      <c r="H286" s="123"/>
      <c r="I286" s="118"/>
      <c r="J286" s="122"/>
      <c r="K286" s="123"/>
      <c r="L286" s="440"/>
      <c r="M286" s="168">
        <f>SUM(M287:M291)</f>
        <v>94600</v>
      </c>
      <c r="N286" s="106">
        <f>SUM(N287:N291)</f>
        <v>91587</v>
      </c>
      <c r="O286" s="13">
        <f t="shared" si="38"/>
        <v>96.81501057082453</v>
      </c>
      <c r="P286" s="122"/>
      <c r="Q286" s="123"/>
      <c r="R286" s="13"/>
    </row>
    <row r="287" spans="1:18" s="209" customFormat="1" ht="18" customHeight="1">
      <c r="A287" s="5" t="s">
        <v>948</v>
      </c>
      <c r="B287" s="252" t="s">
        <v>51</v>
      </c>
      <c r="C287" s="142">
        <v>50000</v>
      </c>
      <c r="D287" s="143">
        <f aca="true" t="shared" si="40" ref="D287:E291">G287+J287+M287+P287</f>
        <v>62000</v>
      </c>
      <c r="E287" s="143">
        <f t="shared" si="40"/>
        <v>56794</v>
      </c>
      <c r="F287" s="144">
        <f t="shared" si="34"/>
        <v>91.60322580645162</v>
      </c>
      <c r="G287" s="145"/>
      <c r="H287" s="146"/>
      <c r="I287" s="144"/>
      <c r="J287" s="145"/>
      <c r="K287" s="146"/>
      <c r="L287" s="165"/>
      <c r="M287" s="145">
        <f>50000+12000</f>
        <v>62000</v>
      </c>
      <c r="N287" s="146">
        <v>56794</v>
      </c>
      <c r="O287" s="144">
        <f t="shared" si="38"/>
        <v>91.60322580645162</v>
      </c>
      <c r="P287" s="145"/>
      <c r="Q287" s="146"/>
      <c r="R287" s="9"/>
    </row>
    <row r="288" spans="1:18" s="209" customFormat="1" ht="64.5" customHeight="1">
      <c r="A288" s="1" t="s">
        <v>949</v>
      </c>
      <c r="B288" s="153" t="s">
        <v>950</v>
      </c>
      <c r="C288" s="128">
        <v>2000</v>
      </c>
      <c r="D288" s="93">
        <f t="shared" si="40"/>
        <v>2000</v>
      </c>
      <c r="E288" s="93">
        <f t="shared" si="40"/>
        <v>1457</v>
      </c>
      <c r="F288" s="129">
        <f t="shared" si="34"/>
        <v>72.85000000000001</v>
      </c>
      <c r="G288" s="22"/>
      <c r="H288" s="21"/>
      <c r="I288" s="129"/>
      <c r="J288" s="22"/>
      <c r="K288" s="21"/>
      <c r="L288" s="148"/>
      <c r="M288" s="22">
        <v>2000</v>
      </c>
      <c r="N288" s="21">
        <v>1457</v>
      </c>
      <c r="O288" s="129">
        <f t="shared" si="38"/>
        <v>72.85000000000001</v>
      </c>
      <c r="P288" s="22"/>
      <c r="Q288" s="21"/>
      <c r="R288" s="7"/>
    </row>
    <row r="289" spans="1:18" s="209" customFormat="1" ht="14.25" customHeight="1">
      <c r="A289" s="1" t="s">
        <v>47</v>
      </c>
      <c r="B289" s="229" t="s">
        <v>48</v>
      </c>
      <c r="C289" s="128">
        <v>6000</v>
      </c>
      <c r="D289" s="93">
        <f t="shared" si="40"/>
        <v>28000</v>
      </c>
      <c r="E289" s="93">
        <f t="shared" si="40"/>
        <v>31014</v>
      </c>
      <c r="F289" s="129">
        <f t="shared" si="34"/>
        <v>110.76428571428572</v>
      </c>
      <c r="G289" s="22"/>
      <c r="H289" s="21"/>
      <c r="I289" s="129"/>
      <c r="J289" s="33"/>
      <c r="K289" s="147"/>
      <c r="L289" s="148"/>
      <c r="M289" s="33">
        <f>6000+10000+12000</f>
        <v>28000</v>
      </c>
      <c r="N289" s="147">
        <v>31014</v>
      </c>
      <c r="O289" s="129">
        <f t="shared" si="38"/>
        <v>110.76428571428572</v>
      </c>
      <c r="P289" s="33"/>
      <c r="Q289" s="147"/>
      <c r="R289" s="148"/>
    </row>
    <row r="290" spans="1:18" s="209" customFormat="1" ht="14.25" customHeight="1">
      <c r="A290" s="1" t="s">
        <v>966</v>
      </c>
      <c r="B290" s="229" t="s">
        <v>244</v>
      </c>
      <c r="C290" s="128">
        <v>200</v>
      </c>
      <c r="D290" s="93">
        <f t="shared" si="40"/>
        <v>200</v>
      </c>
      <c r="E290" s="93">
        <f t="shared" si="40"/>
        <v>177</v>
      </c>
      <c r="F290" s="129">
        <f t="shared" si="34"/>
        <v>88.5</v>
      </c>
      <c r="G290" s="22"/>
      <c r="H290" s="21"/>
      <c r="I290" s="129"/>
      <c r="J290" s="33"/>
      <c r="K290" s="147"/>
      <c r="L290" s="148"/>
      <c r="M290" s="33">
        <v>200</v>
      </c>
      <c r="N290" s="147">
        <v>177</v>
      </c>
      <c r="O290" s="129">
        <f t="shared" si="38"/>
        <v>88.5</v>
      </c>
      <c r="P290" s="33"/>
      <c r="Q290" s="147"/>
      <c r="R290" s="148"/>
    </row>
    <row r="291" spans="1:18" ht="14.25" customHeight="1">
      <c r="A291" s="246" t="s">
        <v>939</v>
      </c>
      <c r="B291" s="186" t="s">
        <v>934</v>
      </c>
      <c r="C291" s="132">
        <v>200</v>
      </c>
      <c r="D291" s="133">
        <f t="shared" si="40"/>
        <v>2400</v>
      </c>
      <c r="E291" s="133">
        <f t="shared" si="40"/>
        <v>2145</v>
      </c>
      <c r="F291" s="118">
        <f t="shared" si="34"/>
        <v>89.375</v>
      </c>
      <c r="G291" s="34"/>
      <c r="H291" s="35"/>
      <c r="I291" s="118"/>
      <c r="J291" s="149"/>
      <c r="K291" s="150"/>
      <c r="L291" s="441"/>
      <c r="M291" s="149">
        <f>200+2200</f>
        <v>2400</v>
      </c>
      <c r="N291" s="150">
        <v>2145</v>
      </c>
      <c r="O291" s="118">
        <f t="shared" si="38"/>
        <v>89.375</v>
      </c>
      <c r="P291" s="149"/>
      <c r="Q291" s="150"/>
      <c r="R291" s="441"/>
    </row>
    <row r="292" spans="1:18" ht="29.25" customHeight="1">
      <c r="A292" s="4" t="s">
        <v>113</v>
      </c>
      <c r="B292" s="243" t="s">
        <v>114</v>
      </c>
      <c r="C292" s="137">
        <f>C293</f>
        <v>2300</v>
      </c>
      <c r="D292" s="107">
        <f>SUM(D293:D295)</f>
        <v>8810</v>
      </c>
      <c r="E292" s="107">
        <f>SUM(E293:E295)</f>
        <v>10085</v>
      </c>
      <c r="F292" s="180">
        <f t="shared" si="34"/>
        <v>114.472190692395</v>
      </c>
      <c r="G292" s="138"/>
      <c r="H292" s="139"/>
      <c r="I292" s="151"/>
      <c r="J292" s="138"/>
      <c r="K292" s="139"/>
      <c r="L292" s="253"/>
      <c r="M292" s="138">
        <f>SUM(M293:M295)</f>
        <v>8810</v>
      </c>
      <c r="N292" s="139">
        <f>SUM(N293:N295)</f>
        <v>10085</v>
      </c>
      <c r="O292" s="108">
        <f t="shared" si="38"/>
        <v>114.472190692395</v>
      </c>
      <c r="P292" s="138"/>
      <c r="Q292" s="139"/>
      <c r="R292" s="151"/>
    </row>
    <row r="293" spans="1:18" s="209" customFormat="1" ht="62.25" customHeight="1">
      <c r="A293" s="5" t="s">
        <v>949</v>
      </c>
      <c r="B293" s="190" t="s">
        <v>950</v>
      </c>
      <c r="C293" s="142">
        <v>2300</v>
      </c>
      <c r="D293" s="143">
        <f aca="true" t="shared" si="41" ref="D293:E295">G293+J293+M293+P293</f>
        <v>2300</v>
      </c>
      <c r="E293" s="143">
        <f t="shared" si="41"/>
        <v>3565</v>
      </c>
      <c r="F293" s="144">
        <f t="shared" si="34"/>
        <v>155</v>
      </c>
      <c r="G293" s="145"/>
      <c r="H293" s="146"/>
      <c r="I293" s="144"/>
      <c r="J293" s="145"/>
      <c r="K293" s="146"/>
      <c r="L293" s="165"/>
      <c r="M293" s="145">
        <v>2300</v>
      </c>
      <c r="N293" s="146">
        <v>3565</v>
      </c>
      <c r="O293" s="144">
        <f t="shared" si="38"/>
        <v>155</v>
      </c>
      <c r="P293" s="145"/>
      <c r="Q293" s="146"/>
      <c r="R293" s="9"/>
    </row>
    <row r="294" spans="1:18" s="209" customFormat="1" ht="15.75" customHeight="1">
      <c r="A294" s="1" t="s">
        <v>966</v>
      </c>
      <c r="B294" s="229" t="s">
        <v>244</v>
      </c>
      <c r="C294" s="128"/>
      <c r="D294" s="93"/>
      <c r="E294" s="93">
        <f>N294</f>
        <v>8</v>
      </c>
      <c r="F294" s="129"/>
      <c r="G294" s="22"/>
      <c r="H294" s="21"/>
      <c r="I294" s="129"/>
      <c r="J294" s="22"/>
      <c r="K294" s="21"/>
      <c r="L294" s="148"/>
      <c r="M294" s="22"/>
      <c r="N294" s="21">
        <v>8</v>
      </c>
      <c r="O294" s="129"/>
      <c r="P294" s="22"/>
      <c r="Q294" s="21"/>
      <c r="R294" s="7"/>
    </row>
    <row r="295" spans="1:18" s="209" customFormat="1" ht="17.25" customHeight="1">
      <c r="A295" s="1" t="s">
        <v>939</v>
      </c>
      <c r="B295" s="229" t="s">
        <v>934</v>
      </c>
      <c r="C295" s="128"/>
      <c r="D295" s="93">
        <f t="shared" si="41"/>
        <v>6510</v>
      </c>
      <c r="E295" s="93">
        <f t="shared" si="41"/>
        <v>6512</v>
      </c>
      <c r="F295" s="129">
        <f t="shared" si="34"/>
        <v>100.03072196620583</v>
      </c>
      <c r="G295" s="22"/>
      <c r="H295" s="21"/>
      <c r="I295" s="129"/>
      <c r="J295" s="22"/>
      <c r="K295" s="21"/>
      <c r="L295" s="148"/>
      <c r="M295" s="22">
        <v>6510</v>
      </c>
      <c r="N295" s="21">
        <v>6512</v>
      </c>
      <c r="O295" s="129">
        <f>N295/M295*100</f>
        <v>100.03072196620583</v>
      </c>
      <c r="P295" s="22"/>
      <c r="Q295" s="21"/>
      <c r="R295" s="7"/>
    </row>
    <row r="296" spans="1:18" ht="28.5" customHeight="1">
      <c r="A296" s="4" t="s">
        <v>115</v>
      </c>
      <c r="B296" s="136" t="s">
        <v>116</v>
      </c>
      <c r="C296" s="137">
        <f>SUM(C297:C298)</f>
        <v>20500</v>
      </c>
      <c r="D296" s="107">
        <f>SUM(D297:D298)</f>
        <v>24000</v>
      </c>
      <c r="E296" s="107">
        <f>SUM(E297:E298)</f>
        <v>20780</v>
      </c>
      <c r="F296" s="180">
        <f t="shared" si="34"/>
        <v>86.58333333333333</v>
      </c>
      <c r="G296" s="138"/>
      <c r="H296" s="139"/>
      <c r="I296" s="151"/>
      <c r="J296" s="138"/>
      <c r="K296" s="139"/>
      <c r="L296" s="219"/>
      <c r="M296" s="138">
        <f>M297+M298</f>
        <v>24000</v>
      </c>
      <c r="N296" s="139">
        <f>N297+N298</f>
        <v>20780</v>
      </c>
      <c r="O296" s="108">
        <f t="shared" si="38"/>
        <v>86.58333333333333</v>
      </c>
      <c r="P296" s="206"/>
      <c r="Q296" s="205"/>
      <c r="R296" s="6"/>
    </row>
    <row r="297" spans="1:18" s="209" customFormat="1" ht="66" customHeight="1">
      <c r="A297" s="5" t="s">
        <v>949</v>
      </c>
      <c r="B297" s="153" t="s">
        <v>950</v>
      </c>
      <c r="C297" s="142">
        <v>12000</v>
      </c>
      <c r="D297" s="143">
        <f>G297+J297+M297+P297</f>
        <v>12000</v>
      </c>
      <c r="E297" s="143">
        <f>H297+K297+N297+Q297</f>
        <v>8255</v>
      </c>
      <c r="F297" s="144">
        <f t="shared" si="34"/>
        <v>68.79166666666666</v>
      </c>
      <c r="G297" s="145"/>
      <c r="H297" s="146"/>
      <c r="I297" s="144"/>
      <c r="J297" s="145"/>
      <c r="K297" s="146"/>
      <c r="L297" s="165"/>
      <c r="M297" s="145">
        <v>12000</v>
      </c>
      <c r="N297" s="146">
        <v>8255</v>
      </c>
      <c r="O297" s="144">
        <f t="shared" si="38"/>
        <v>68.79166666666666</v>
      </c>
      <c r="P297" s="145"/>
      <c r="Q297" s="146"/>
      <c r="R297" s="9"/>
    </row>
    <row r="298" spans="1:18" ht="15" customHeight="1">
      <c r="A298" s="246" t="s">
        <v>47</v>
      </c>
      <c r="B298" s="254" t="s">
        <v>48</v>
      </c>
      <c r="C298" s="132">
        <v>8500</v>
      </c>
      <c r="D298" s="133">
        <f>G298+J298+M298+P298</f>
        <v>12000</v>
      </c>
      <c r="E298" s="133">
        <f>H298+K298+N298+Q298</f>
        <v>12525</v>
      </c>
      <c r="F298" s="134">
        <f t="shared" si="34"/>
        <v>104.375</v>
      </c>
      <c r="G298" s="34"/>
      <c r="H298" s="35"/>
      <c r="I298" s="118"/>
      <c r="J298" s="149"/>
      <c r="K298" s="150"/>
      <c r="L298" s="441"/>
      <c r="M298" s="149">
        <f>8500+3500</f>
        <v>12000</v>
      </c>
      <c r="N298" s="150">
        <v>12525</v>
      </c>
      <c r="O298" s="118">
        <f t="shared" si="38"/>
        <v>104.375</v>
      </c>
      <c r="P298" s="149"/>
      <c r="Q298" s="150"/>
      <c r="R298" s="441"/>
    </row>
    <row r="299" spans="1:18" ht="18.75" customHeight="1">
      <c r="A299" s="4" t="s">
        <v>117</v>
      </c>
      <c r="B299" s="243" t="s">
        <v>850</v>
      </c>
      <c r="C299" s="137">
        <f>C300</f>
        <v>153000</v>
      </c>
      <c r="D299" s="107">
        <f>SUM(D300:D301)</f>
        <v>204000</v>
      </c>
      <c r="E299" s="107">
        <f>SUM(E300:E301)</f>
        <v>207177</v>
      </c>
      <c r="F299" s="180">
        <f t="shared" si="34"/>
        <v>101.55735294117648</v>
      </c>
      <c r="G299" s="138"/>
      <c r="H299" s="139"/>
      <c r="I299" s="151"/>
      <c r="J299" s="138"/>
      <c r="K299" s="139"/>
      <c r="L299" s="398"/>
      <c r="M299" s="138">
        <f>SUM(M300:M301)</f>
        <v>204000</v>
      </c>
      <c r="N299" s="139">
        <f>SUM(N300:N301)</f>
        <v>207177</v>
      </c>
      <c r="O299" s="108">
        <f t="shared" si="38"/>
        <v>101.55735294117648</v>
      </c>
      <c r="P299" s="138"/>
      <c r="Q299" s="139"/>
      <c r="R299" s="12"/>
    </row>
    <row r="300" spans="1:18" s="209" customFormat="1" ht="70.5" customHeight="1">
      <c r="A300" s="5" t="s">
        <v>949</v>
      </c>
      <c r="B300" s="153" t="s">
        <v>950</v>
      </c>
      <c r="C300" s="142">
        <v>153000</v>
      </c>
      <c r="D300" s="143">
        <f aca="true" t="shared" si="42" ref="D300:E303">G300+J300+M300+P300</f>
        <v>203700</v>
      </c>
      <c r="E300" s="143">
        <f t="shared" si="42"/>
        <v>207054</v>
      </c>
      <c r="F300" s="144">
        <f t="shared" si="34"/>
        <v>101.64653902798233</v>
      </c>
      <c r="G300" s="145"/>
      <c r="H300" s="146"/>
      <c r="I300" s="144"/>
      <c r="J300" s="145"/>
      <c r="K300" s="146"/>
      <c r="L300" s="165"/>
      <c r="M300" s="145">
        <f>153000+28000+22700</f>
        <v>203700</v>
      </c>
      <c r="N300" s="146">
        <v>207054</v>
      </c>
      <c r="O300" s="144">
        <f t="shared" si="38"/>
        <v>101.64653902798233</v>
      </c>
      <c r="P300" s="145"/>
      <c r="Q300" s="146"/>
      <c r="R300" s="9"/>
    </row>
    <row r="301" spans="1:18" s="209" customFormat="1" ht="24.75" customHeight="1">
      <c r="A301" s="246" t="s">
        <v>933</v>
      </c>
      <c r="B301" s="254" t="s">
        <v>27</v>
      </c>
      <c r="C301" s="132"/>
      <c r="D301" s="133">
        <f t="shared" si="42"/>
        <v>300</v>
      </c>
      <c r="E301" s="133">
        <f t="shared" si="42"/>
        <v>123</v>
      </c>
      <c r="F301" s="134">
        <f>E301/D301*100</f>
        <v>41</v>
      </c>
      <c r="G301" s="34"/>
      <c r="H301" s="35"/>
      <c r="I301" s="118"/>
      <c r="J301" s="34"/>
      <c r="K301" s="35"/>
      <c r="L301" s="441"/>
      <c r="M301" s="34">
        <v>300</v>
      </c>
      <c r="N301" s="35">
        <v>123</v>
      </c>
      <c r="O301" s="118">
        <f>N301/M301*100</f>
        <v>41</v>
      </c>
      <c r="P301" s="34"/>
      <c r="Q301" s="35"/>
      <c r="R301" s="10"/>
    </row>
    <row r="302" spans="1:18" ht="23.25" customHeight="1">
      <c r="A302" s="4" t="s">
        <v>118</v>
      </c>
      <c r="B302" s="243" t="s">
        <v>851</v>
      </c>
      <c r="C302" s="137"/>
      <c r="D302" s="107">
        <f t="shared" si="42"/>
        <v>2007115</v>
      </c>
      <c r="E302" s="107">
        <f t="shared" si="42"/>
        <v>1534545</v>
      </c>
      <c r="F302" s="180">
        <f t="shared" si="34"/>
        <v>76.45526041108755</v>
      </c>
      <c r="G302" s="138">
        <f>SUM(G303:G303)</f>
        <v>854625</v>
      </c>
      <c r="H302" s="139">
        <f>SUM(H303:H303)</f>
        <v>742066</v>
      </c>
      <c r="I302" s="108">
        <f>H302/G302*100</f>
        <v>86.82942811174492</v>
      </c>
      <c r="J302" s="138"/>
      <c r="K302" s="139"/>
      <c r="L302" s="398"/>
      <c r="M302" s="138">
        <f>M305+M306</f>
        <v>1152490</v>
      </c>
      <c r="N302" s="139">
        <f>N305+N306</f>
        <v>792479</v>
      </c>
      <c r="O302" s="108">
        <f t="shared" si="38"/>
        <v>68.76233199420385</v>
      </c>
      <c r="P302" s="138"/>
      <c r="Q302" s="139"/>
      <c r="R302" s="12"/>
    </row>
    <row r="303" spans="1:18" s="209" customFormat="1" ht="33.75" customHeight="1">
      <c r="A303" s="141" t="s">
        <v>49</v>
      </c>
      <c r="B303" s="252" t="s">
        <v>119</v>
      </c>
      <c r="C303" s="142"/>
      <c r="D303" s="143">
        <f t="shared" si="42"/>
        <v>854625</v>
      </c>
      <c r="E303" s="143">
        <f t="shared" si="42"/>
        <v>742066</v>
      </c>
      <c r="F303" s="184">
        <f t="shared" si="34"/>
        <v>86.82942811174492</v>
      </c>
      <c r="G303" s="145">
        <f>501827+72528+280270</f>
        <v>854625</v>
      </c>
      <c r="H303" s="146">
        <v>742066</v>
      </c>
      <c r="I303" s="144">
        <f>H303/G303*100</f>
        <v>86.82942811174492</v>
      </c>
      <c r="J303" s="145"/>
      <c r="K303" s="146"/>
      <c r="L303" s="165"/>
      <c r="M303" s="145"/>
      <c r="N303" s="146"/>
      <c r="O303" s="144"/>
      <c r="P303" s="145"/>
      <c r="Q303" s="146"/>
      <c r="R303" s="9"/>
    </row>
    <row r="304" spans="1:18" s="459" customFormat="1" ht="30" customHeight="1">
      <c r="A304" s="558"/>
      <c r="B304" s="579" t="s">
        <v>767</v>
      </c>
      <c r="C304" s="388"/>
      <c r="D304" s="389">
        <f>SUM(D305:D306)</f>
        <v>1152490</v>
      </c>
      <c r="E304" s="389">
        <f>N304</f>
        <v>792479</v>
      </c>
      <c r="F304" s="580">
        <f t="shared" si="34"/>
        <v>68.76233199420385</v>
      </c>
      <c r="G304" s="393"/>
      <c r="H304" s="391"/>
      <c r="I304" s="392"/>
      <c r="J304" s="393"/>
      <c r="K304" s="391"/>
      <c r="L304" s="330"/>
      <c r="M304" s="393">
        <f>SUM(M305:M306)</f>
        <v>1152490</v>
      </c>
      <c r="N304" s="391">
        <f>SUM(N305:N306)</f>
        <v>792479</v>
      </c>
      <c r="O304" s="403">
        <f>N304/M304*100</f>
        <v>68.76233199420385</v>
      </c>
      <c r="P304" s="393"/>
      <c r="Q304" s="391"/>
      <c r="R304" s="14"/>
    </row>
    <row r="305" spans="1:18" s="209" customFormat="1" ht="60" customHeight="1">
      <c r="A305" s="127" t="s">
        <v>768</v>
      </c>
      <c r="B305" s="229" t="s">
        <v>769</v>
      </c>
      <c r="C305" s="128"/>
      <c r="D305" s="93">
        <f>M305</f>
        <v>784270</v>
      </c>
      <c r="E305" s="93">
        <f>N305</f>
        <v>539282</v>
      </c>
      <c r="F305" s="115">
        <f>E305/D305*100</f>
        <v>68.76228849758374</v>
      </c>
      <c r="G305" s="22"/>
      <c r="H305" s="21"/>
      <c r="I305" s="129"/>
      <c r="J305" s="22"/>
      <c r="K305" s="21"/>
      <c r="L305" s="148"/>
      <c r="M305" s="22">
        <v>784270</v>
      </c>
      <c r="N305" s="21">
        <v>539282</v>
      </c>
      <c r="O305" s="270">
        <f>N305/M305*100</f>
        <v>68.76228849758374</v>
      </c>
      <c r="P305" s="22"/>
      <c r="Q305" s="21"/>
      <c r="R305" s="7"/>
    </row>
    <row r="306" spans="1:18" s="209" customFormat="1" ht="62.25" customHeight="1">
      <c r="A306" s="127" t="s">
        <v>770</v>
      </c>
      <c r="B306" s="229" t="s">
        <v>769</v>
      </c>
      <c r="C306" s="128"/>
      <c r="D306" s="93">
        <f>M306</f>
        <v>368220</v>
      </c>
      <c r="E306" s="93">
        <f>N306</f>
        <v>253197</v>
      </c>
      <c r="F306" s="115">
        <f>E306/D306*100</f>
        <v>68.76242463744501</v>
      </c>
      <c r="G306" s="22"/>
      <c r="H306" s="21"/>
      <c r="I306" s="129"/>
      <c r="J306" s="22"/>
      <c r="K306" s="21"/>
      <c r="L306" s="148"/>
      <c r="M306" s="22">
        <v>368220</v>
      </c>
      <c r="N306" s="21">
        <v>253197</v>
      </c>
      <c r="O306" s="270">
        <f>N306/M306*100</f>
        <v>68.76242463744501</v>
      </c>
      <c r="P306" s="22"/>
      <c r="Q306" s="21"/>
      <c r="R306" s="7"/>
    </row>
    <row r="307" spans="1:18" ht="24">
      <c r="A307" s="4" t="s">
        <v>120</v>
      </c>
      <c r="B307" s="243" t="s">
        <v>121</v>
      </c>
      <c r="C307" s="137">
        <f>SUM(C308:C309)</f>
        <v>104000</v>
      </c>
      <c r="D307" s="107">
        <f>SUM(D308:D309)</f>
        <v>119000</v>
      </c>
      <c r="E307" s="107">
        <f>SUM(E308:E309)</f>
        <v>113128</v>
      </c>
      <c r="F307" s="180">
        <f t="shared" si="34"/>
        <v>95.0655462184874</v>
      </c>
      <c r="G307" s="138">
        <f>SUM(G308:G309)</f>
        <v>119000</v>
      </c>
      <c r="H307" s="139">
        <f>SUM(H308:H309)</f>
        <v>113128</v>
      </c>
      <c r="I307" s="108">
        <f>H307/G307*100</f>
        <v>95.0655462184874</v>
      </c>
      <c r="J307" s="138"/>
      <c r="K307" s="139"/>
      <c r="L307" s="398"/>
      <c r="M307" s="138"/>
      <c r="N307" s="139"/>
      <c r="O307" s="108"/>
      <c r="P307" s="138"/>
      <c r="Q307" s="139"/>
      <c r="R307" s="108"/>
    </row>
    <row r="308" spans="1:18" ht="13.5" customHeight="1">
      <c r="A308" s="5" t="s">
        <v>47</v>
      </c>
      <c r="B308" s="252" t="s">
        <v>48</v>
      </c>
      <c r="C308" s="142">
        <v>100000</v>
      </c>
      <c r="D308" s="143">
        <f>G308+J308+M308+P308</f>
        <v>115000</v>
      </c>
      <c r="E308" s="143">
        <f>H308+K308+N308+Q308</f>
        <v>109824</v>
      </c>
      <c r="F308" s="144">
        <f t="shared" si="34"/>
        <v>95.49913043478261</v>
      </c>
      <c r="G308" s="145">
        <f>100000+15000</f>
        <v>115000</v>
      </c>
      <c r="H308" s="146">
        <v>109824</v>
      </c>
      <c r="I308" s="144">
        <f>H308/G308*100</f>
        <v>95.49913043478261</v>
      </c>
      <c r="J308" s="145"/>
      <c r="K308" s="146"/>
      <c r="L308" s="165"/>
      <c r="M308" s="145"/>
      <c r="N308" s="146"/>
      <c r="O308" s="9"/>
      <c r="P308" s="145"/>
      <c r="Q308" s="146"/>
      <c r="R308" s="9"/>
    </row>
    <row r="309" spans="1:18" ht="14.25" customHeight="1">
      <c r="A309" s="1" t="s">
        <v>939</v>
      </c>
      <c r="B309" s="153" t="s">
        <v>959</v>
      </c>
      <c r="C309" s="128">
        <v>4000</v>
      </c>
      <c r="D309" s="93">
        <f>G309+J309+M309+P309</f>
        <v>4000</v>
      </c>
      <c r="E309" s="93">
        <f>H309+K309+N309+Q309</f>
        <v>3304</v>
      </c>
      <c r="F309" s="129">
        <f t="shared" si="34"/>
        <v>82.6</v>
      </c>
      <c r="G309" s="22">
        <v>4000</v>
      </c>
      <c r="H309" s="21">
        <v>3304</v>
      </c>
      <c r="I309" s="129">
        <f>H309/G309*100</f>
        <v>82.6</v>
      </c>
      <c r="J309" s="22"/>
      <c r="K309" s="21"/>
      <c r="L309" s="148"/>
      <c r="M309" s="22"/>
      <c r="N309" s="21"/>
      <c r="O309" s="7"/>
      <c r="P309" s="22"/>
      <c r="Q309" s="21"/>
      <c r="R309" s="7"/>
    </row>
    <row r="310" spans="1:18" ht="14.25" customHeight="1">
      <c r="A310" s="3" t="s">
        <v>771</v>
      </c>
      <c r="B310" s="202" t="s">
        <v>233</v>
      </c>
      <c r="C310" s="461"/>
      <c r="D310" s="173">
        <f>D311</f>
        <v>12260</v>
      </c>
      <c r="E310" s="173">
        <f>E311</f>
        <v>12014</v>
      </c>
      <c r="F310" s="266">
        <f t="shared" si="34"/>
        <v>97.99347471451875</v>
      </c>
      <c r="G310" s="462"/>
      <c r="H310" s="205"/>
      <c r="I310" s="463"/>
      <c r="J310" s="206"/>
      <c r="K310" s="205"/>
      <c r="L310" s="398"/>
      <c r="M310" s="462">
        <f>M311</f>
        <v>12260</v>
      </c>
      <c r="N310" s="205">
        <f>N311</f>
        <v>12014</v>
      </c>
      <c r="O310" s="398">
        <f>N310/M310*100</f>
        <v>97.99347471451875</v>
      </c>
      <c r="P310" s="206"/>
      <c r="Q310" s="205"/>
      <c r="R310" s="398"/>
    </row>
    <row r="311" spans="1:18" ht="80.25" customHeight="1" thickBot="1">
      <c r="A311" s="5" t="s">
        <v>1022</v>
      </c>
      <c r="B311" s="190" t="s">
        <v>772</v>
      </c>
      <c r="C311" s="556"/>
      <c r="D311" s="143">
        <f>G311+M311</f>
        <v>12260</v>
      </c>
      <c r="E311" s="143">
        <f>N311</f>
        <v>12014</v>
      </c>
      <c r="F311" s="184"/>
      <c r="G311" s="546"/>
      <c r="H311" s="146"/>
      <c r="I311" s="581"/>
      <c r="J311" s="145"/>
      <c r="K311" s="146"/>
      <c r="L311" s="165"/>
      <c r="M311" s="546">
        <v>12260</v>
      </c>
      <c r="N311" s="146">
        <v>12014</v>
      </c>
      <c r="O311" s="9"/>
      <c r="P311" s="145"/>
      <c r="Q311" s="146"/>
      <c r="R311" s="9"/>
    </row>
    <row r="312" spans="1:18" ht="42" customHeight="1" thickBot="1" thickTop="1">
      <c r="A312" s="240" t="s">
        <v>122</v>
      </c>
      <c r="B312" s="166" t="s">
        <v>123</v>
      </c>
      <c r="C312" s="103">
        <f>C315+C317+C319</f>
        <v>20000</v>
      </c>
      <c r="D312" s="103">
        <f>D313+D315+D317+D319</f>
        <v>50300</v>
      </c>
      <c r="E312" s="103">
        <f>E313+E315+E317+E319</f>
        <v>185620</v>
      </c>
      <c r="F312" s="397">
        <f t="shared" si="34"/>
        <v>369.02584493041746</v>
      </c>
      <c r="G312" s="103">
        <f>G313+G315+G317+G319</f>
        <v>50000</v>
      </c>
      <c r="H312" s="103">
        <f>H313+H315+H317+H319</f>
        <v>185470</v>
      </c>
      <c r="I312" s="582">
        <f>H312/G312*100</f>
        <v>370.94</v>
      </c>
      <c r="J312" s="105"/>
      <c r="K312" s="103"/>
      <c r="L312" s="465"/>
      <c r="M312" s="212">
        <f>M315+M317+M319</f>
        <v>300</v>
      </c>
      <c r="N312" s="103">
        <f>N315+N317+N319</f>
        <v>150</v>
      </c>
      <c r="O312" s="437">
        <f>N312/M312*100</f>
        <v>50</v>
      </c>
      <c r="P312" s="105"/>
      <c r="Q312" s="103"/>
      <c r="R312" s="25"/>
    </row>
    <row r="313" spans="1:18" ht="25.5" customHeight="1" thickTop="1">
      <c r="A313" s="264" t="s">
        <v>375</v>
      </c>
      <c r="B313" s="221" t="s">
        <v>861</v>
      </c>
      <c r="C313" s="583"/>
      <c r="D313" s="36">
        <f>G313</f>
        <v>30000</v>
      </c>
      <c r="E313" s="36">
        <f>H313</f>
        <v>30000</v>
      </c>
      <c r="F313" s="584">
        <f>E313/D313*100</f>
        <v>100</v>
      </c>
      <c r="G313" s="522">
        <f>G314</f>
        <v>30000</v>
      </c>
      <c r="H313" s="36">
        <f>H314</f>
        <v>30000</v>
      </c>
      <c r="I313" s="585">
        <f>H313/G313*100</f>
        <v>100</v>
      </c>
      <c r="J313" s="222"/>
      <c r="K313" s="36"/>
      <c r="L313" s="586"/>
      <c r="M313" s="522"/>
      <c r="N313" s="36"/>
      <c r="O313" s="162"/>
      <c r="P313" s="222"/>
      <c r="Q313" s="36"/>
      <c r="R313" s="26"/>
    </row>
    <row r="314" spans="1:18" ht="65.25" customHeight="1">
      <c r="A314" s="1" t="s">
        <v>1022</v>
      </c>
      <c r="B314" s="213" t="s">
        <v>376</v>
      </c>
      <c r="C314" s="587"/>
      <c r="D314" s="21">
        <f>G314</f>
        <v>30000</v>
      </c>
      <c r="E314" s="21">
        <f>H314</f>
        <v>30000</v>
      </c>
      <c r="F314" s="395"/>
      <c r="G314" s="23">
        <v>30000</v>
      </c>
      <c r="H314" s="21">
        <v>30000</v>
      </c>
      <c r="I314" s="588"/>
      <c r="J314" s="22"/>
      <c r="K314" s="21"/>
      <c r="L314" s="589"/>
      <c r="M314" s="23"/>
      <c r="N314" s="21"/>
      <c r="O314" s="148"/>
      <c r="P314" s="22"/>
      <c r="Q314" s="21"/>
      <c r="R314" s="7"/>
    </row>
    <row r="315" spans="1:18" ht="17.25" customHeight="1">
      <c r="A315" s="4" t="s">
        <v>124</v>
      </c>
      <c r="B315" s="136" t="s">
        <v>862</v>
      </c>
      <c r="C315" s="137"/>
      <c r="D315" s="107">
        <f>SUM(D316:D316)</f>
        <v>300</v>
      </c>
      <c r="E315" s="107">
        <f>SUM(E316:E316)</f>
        <v>150</v>
      </c>
      <c r="F315" s="180">
        <f>E315/D315*100</f>
        <v>50</v>
      </c>
      <c r="G315" s="138"/>
      <c r="H315" s="139"/>
      <c r="I315" s="151"/>
      <c r="J315" s="138"/>
      <c r="K315" s="139"/>
      <c r="L315" s="219"/>
      <c r="M315" s="139">
        <f>M316</f>
        <v>300</v>
      </c>
      <c r="N315" s="139">
        <f>N316</f>
        <v>150</v>
      </c>
      <c r="O315" s="398">
        <f>N315/M315*100</f>
        <v>50</v>
      </c>
      <c r="P315" s="138"/>
      <c r="Q315" s="139"/>
      <c r="R315" s="12"/>
    </row>
    <row r="316" spans="1:18" ht="17.25" customHeight="1">
      <c r="A316" s="127" t="s">
        <v>939</v>
      </c>
      <c r="B316" s="153" t="s">
        <v>959</v>
      </c>
      <c r="C316" s="128"/>
      <c r="D316" s="93">
        <f>G316+J316+M316</f>
        <v>300</v>
      </c>
      <c r="E316" s="93">
        <f>H316+K316+N316+Q316</f>
        <v>150</v>
      </c>
      <c r="F316" s="115"/>
      <c r="G316" s="22"/>
      <c r="H316" s="21"/>
      <c r="I316" s="129"/>
      <c r="J316" s="22"/>
      <c r="K316" s="21"/>
      <c r="L316" s="148"/>
      <c r="M316" s="22">
        <v>300</v>
      </c>
      <c r="N316" s="21">
        <v>150</v>
      </c>
      <c r="O316" s="148"/>
      <c r="P316" s="22"/>
      <c r="Q316" s="21"/>
      <c r="R316" s="7"/>
    </row>
    <row r="317" spans="1:18" ht="15.75" customHeight="1">
      <c r="A317" s="4" t="s">
        <v>125</v>
      </c>
      <c r="B317" s="136" t="s">
        <v>864</v>
      </c>
      <c r="C317" s="137">
        <f>SUM(C318:C318)</f>
        <v>20000</v>
      </c>
      <c r="D317" s="107">
        <f>SUM(D318:D318)</f>
        <v>20000</v>
      </c>
      <c r="E317" s="107">
        <f>SUM(E318:E318)</f>
        <v>12309</v>
      </c>
      <c r="F317" s="180">
        <f>E317/D317*100</f>
        <v>61.545</v>
      </c>
      <c r="G317" s="138">
        <f>G318</f>
        <v>20000</v>
      </c>
      <c r="H317" s="139">
        <f>H318</f>
        <v>12309</v>
      </c>
      <c r="I317" s="108">
        <f>H317/G317*100</f>
        <v>61.545</v>
      </c>
      <c r="J317" s="138"/>
      <c r="K317" s="139"/>
      <c r="L317" s="219"/>
      <c r="M317" s="138"/>
      <c r="N317" s="139"/>
      <c r="O317" s="12"/>
      <c r="P317" s="138"/>
      <c r="Q317" s="139"/>
      <c r="R317" s="12"/>
    </row>
    <row r="318" spans="1:18" ht="15.75" customHeight="1">
      <c r="A318" s="251" t="s">
        <v>47</v>
      </c>
      <c r="B318" s="256" t="s">
        <v>126</v>
      </c>
      <c r="C318" s="170">
        <v>20000</v>
      </c>
      <c r="D318" s="133">
        <f>G318+J318+M318+P318</f>
        <v>20000</v>
      </c>
      <c r="E318" s="133">
        <f>H318+K318+N318+Q318</f>
        <v>12309</v>
      </c>
      <c r="F318" s="134"/>
      <c r="G318" s="116">
        <v>20000</v>
      </c>
      <c r="H318" s="117">
        <v>12309</v>
      </c>
      <c r="I318" s="151"/>
      <c r="J318" s="116"/>
      <c r="K318" s="117"/>
      <c r="L318" s="253"/>
      <c r="M318" s="116"/>
      <c r="N318" s="117"/>
      <c r="O318" s="6"/>
      <c r="P318" s="116"/>
      <c r="Q318" s="117"/>
      <c r="R318" s="6"/>
    </row>
    <row r="319" spans="1:18" ht="16.5" customHeight="1">
      <c r="A319" s="241" t="s">
        <v>127</v>
      </c>
      <c r="B319" s="120" t="s">
        <v>233</v>
      </c>
      <c r="C319" s="121"/>
      <c r="D319" s="106"/>
      <c r="E319" s="106">
        <f>SUM(E320:E321)</f>
        <v>143161</v>
      </c>
      <c r="F319" s="179"/>
      <c r="G319" s="122"/>
      <c r="H319" s="123">
        <f>SUM(H320:H321)</f>
        <v>143161</v>
      </c>
      <c r="I319" s="151"/>
      <c r="J319" s="122"/>
      <c r="K319" s="123"/>
      <c r="L319" s="269"/>
      <c r="M319" s="122"/>
      <c r="N319" s="123"/>
      <c r="O319" s="13"/>
      <c r="P319" s="122"/>
      <c r="Q319" s="123"/>
      <c r="R319" s="13"/>
    </row>
    <row r="320" spans="1:18" ht="16.5" customHeight="1">
      <c r="A320" s="1" t="s">
        <v>939</v>
      </c>
      <c r="B320" s="153" t="s">
        <v>959</v>
      </c>
      <c r="C320" s="128"/>
      <c r="D320" s="93"/>
      <c r="E320" s="93">
        <f>H320</f>
        <v>30624</v>
      </c>
      <c r="F320" s="115"/>
      <c r="G320" s="22"/>
      <c r="H320" s="21">
        <v>30624</v>
      </c>
      <c r="I320" s="129"/>
      <c r="J320" s="22"/>
      <c r="K320" s="21"/>
      <c r="L320" s="270"/>
      <c r="M320" s="22"/>
      <c r="N320" s="21"/>
      <c r="O320" s="7"/>
      <c r="P320" s="22"/>
      <c r="Q320" s="21"/>
      <c r="R320" s="7"/>
    </row>
    <row r="321" spans="1:18" s="209" customFormat="1" ht="59.25" customHeight="1" thickBot="1">
      <c r="A321" s="1" t="s">
        <v>128</v>
      </c>
      <c r="B321" s="229" t="s">
        <v>28</v>
      </c>
      <c r="C321" s="128"/>
      <c r="D321" s="93"/>
      <c r="E321" s="93">
        <f>H321+K321+N321+Q321</f>
        <v>112537</v>
      </c>
      <c r="F321" s="115"/>
      <c r="G321" s="22"/>
      <c r="H321" s="21">
        <v>112537</v>
      </c>
      <c r="I321" s="129"/>
      <c r="J321" s="22"/>
      <c r="K321" s="21"/>
      <c r="L321" s="148"/>
      <c r="M321" s="22"/>
      <c r="N321" s="21"/>
      <c r="O321" s="7"/>
      <c r="P321" s="22"/>
      <c r="Q321" s="21"/>
      <c r="R321" s="7"/>
    </row>
    <row r="322" spans="1:18" ht="40.5" customHeight="1" thickTop="1">
      <c r="A322" s="220" t="s">
        <v>129</v>
      </c>
      <c r="B322" s="265" t="s">
        <v>869</v>
      </c>
      <c r="C322" s="233">
        <f>C325+C330+C332</f>
        <v>1424079</v>
      </c>
      <c r="D322" s="399">
        <f>G322+J322+M322+P322</f>
        <v>689144</v>
      </c>
      <c r="E322" s="223">
        <f>H322+K322+N322+Q322</f>
        <v>746705</v>
      </c>
      <c r="F322" s="109">
        <f>E322/D322*100</f>
        <v>108.35253589960878</v>
      </c>
      <c r="G322" s="223">
        <f>G325+G330+G332+G323</f>
        <v>76144</v>
      </c>
      <c r="H322" s="223">
        <f>H323</f>
        <v>76144</v>
      </c>
      <c r="I322" s="109">
        <f>H322/G322*100</f>
        <v>100</v>
      </c>
      <c r="J322" s="233">
        <f>J325+J330+J332</f>
        <v>5000</v>
      </c>
      <c r="K322" s="223"/>
      <c r="L322" s="447"/>
      <c r="M322" s="233">
        <f>M325+M330+M332</f>
        <v>540000</v>
      </c>
      <c r="N322" s="223">
        <f>N325+N330+N332</f>
        <v>602561</v>
      </c>
      <c r="O322" s="109">
        <f>N322/M322*100</f>
        <v>111.58537037037037</v>
      </c>
      <c r="P322" s="222">
        <f>P325</f>
        <v>68000</v>
      </c>
      <c r="Q322" s="36">
        <f>Q325</f>
        <v>68000</v>
      </c>
      <c r="R322" s="26">
        <f>Q322/P322*100</f>
        <v>100</v>
      </c>
    </row>
    <row r="323" spans="1:18" ht="25.5" customHeight="1">
      <c r="A323" s="119" t="s">
        <v>130</v>
      </c>
      <c r="B323" s="242" t="s">
        <v>872</v>
      </c>
      <c r="C323" s="121"/>
      <c r="D323" s="590">
        <f>D324</f>
        <v>76144</v>
      </c>
      <c r="E323" s="106">
        <f>E324</f>
        <v>76144</v>
      </c>
      <c r="F323" s="124">
        <f>E323/D323*100</f>
        <v>100</v>
      </c>
      <c r="G323" s="591">
        <f>G324</f>
        <v>76144</v>
      </c>
      <c r="H323" s="106">
        <f>H324</f>
        <v>76144</v>
      </c>
      <c r="I323" s="124">
        <f>H323/G323*100</f>
        <v>100</v>
      </c>
      <c r="J323" s="121"/>
      <c r="K323" s="106"/>
      <c r="L323" s="218"/>
      <c r="M323" s="121"/>
      <c r="N323" s="106"/>
      <c r="O323" s="124"/>
      <c r="P323" s="122"/>
      <c r="Q323" s="123"/>
      <c r="R323" s="13"/>
    </row>
    <row r="324" spans="1:18" ht="66" customHeight="1">
      <c r="A324" s="127" t="s">
        <v>943</v>
      </c>
      <c r="B324" s="153" t="s">
        <v>29</v>
      </c>
      <c r="C324" s="128"/>
      <c r="D324" s="401">
        <f>G324</f>
        <v>76144</v>
      </c>
      <c r="E324" s="93">
        <f>H324</f>
        <v>76144</v>
      </c>
      <c r="F324" s="129"/>
      <c r="G324" s="402">
        <v>76144</v>
      </c>
      <c r="H324" s="93">
        <v>76144</v>
      </c>
      <c r="I324" s="151"/>
      <c r="J324" s="128"/>
      <c r="K324" s="93"/>
      <c r="L324" s="270"/>
      <c r="M324" s="128"/>
      <c r="N324" s="93"/>
      <c r="O324" s="129"/>
      <c r="P324" s="22"/>
      <c r="Q324" s="21"/>
      <c r="R324" s="7"/>
    </row>
    <row r="325" spans="1:18" ht="24">
      <c r="A325" s="135" t="s">
        <v>131</v>
      </c>
      <c r="B325" s="243" t="s">
        <v>132</v>
      </c>
      <c r="C325" s="137">
        <f>C328</f>
        <v>1424079</v>
      </c>
      <c r="D325" s="107">
        <f>SUM(D326:D329)</f>
        <v>568000</v>
      </c>
      <c r="E325" s="107">
        <f>SUM(E326:E329)</f>
        <v>630561</v>
      </c>
      <c r="F325" s="108">
        <f>E325/D325*100</f>
        <v>111.01426056338029</v>
      </c>
      <c r="G325" s="138"/>
      <c r="H325" s="139"/>
      <c r="I325" s="108"/>
      <c r="J325" s="138"/>
      <c r="K325" s="139"/>
      <c r="L325" s="398"/>
      <c r="M325" s="138">
        <f>SUM(M327:M329)</f>
        <v>500000</v>
      </c>
      <c r="N325" s="139">
        <f>SUM(N326:N328)</f>
        <v>562561</v>
      </c>
      <c r="O325" s="210">
        <f>N325/M325*100</f>
        <v>112.51219999999999</v>
      </c>
      <c r="P325" s="138">
        <f>P329</f>
        <v>68000</v>
      </c>
      <c r="Q325" s="139">
        <f>Q329</f>
        <v>68000</v>
      </c>
      <c r="R325" s="12">
        <f>Q325/P325*100</f>
        <v>100</v>
      </c>
    </row>
    <row r="326" spans="1:18" ht="38.25" customHeight="1">
      <c r="A326" s="127" t="s">
        <v>939</v>
      </c>
      <c r="B326" s="153" t="s">
        <v>773</v>
      </c>
      <c r="C326" s="128"/>
      <c r="D326" s="93"/>
      <c r="E326" s="93">
        <f>N326</f>
        <v>62561</v>
      </c>
      <c r="F326" s="129"/>
      <c r="G326" s="22"/>
      <c r="H326" s="21"/>
      <c r="I326" s="129"/>
      <c r="J326" s="22"/>
      <c r="K326" s="21"/>
      <c r="L326" s="148"/>
      <c r="M326" s="22"/>
      <c r="N326" s="21">
        <v>62561</v>
      </c>
      <c r="O326" s="268"/>
      <c r="P326" s="145"/>
      <c r="Q326" s="21"/>
      <c r="R326" s="7"/>
    </row>
    <row r="327" spans="1:18" s="209" customFormat="1" ht="48.75" customHeight="1">
      <c r="A327" s="127" t="s">
        <v>995</v>
      </c>
      <c r="B327" s="229" t="s">
        <v>774</v>
      </c>
      <c r="C327" s="128"/>
      <c r="D327" s="93">
        <f>M327</f>
        <v>500000</v>
      </c>
      <c r="E327" s="93">
        <f>N327</f>
        <v>500000</v>
      </c>
      <c r="F327" s="129"/>
      <c r="G327" s="22"/>
      <c r="H327" s="21"/>
      <c r="I327" s="129"/>
      <c r="J327" s="22"/>
      <c r="K327" s="21"/>
      <c r="L327" s="148"/>
      <c r="M327" s="22">
        <v>500000</v>
      </c>
      <c r="N327" s="21">
        <v>500000</v>
      </c>
      <c r="O327" s="270"/>
      <c r="P327" s="22"/>
      <c r="Q327" s="21"/>
      <c r="R327" s="7"/>
    </row>
    <row r="328" spans="1:18" s="209" customFormat="1" ht="49.5" customHeight="1">
      <c r="A328" s="127" t="s">
        <v>935</v>
      </c>
      <c r="B328" s="229" t="s">
        <v>133</v>
      </c>
      <c r="C328" s="128">
        <v>1424079</v>
      </c>
      <c r="D328" s="93"/>
      <c r="E328" s="93"/>
      <c r="F328" s="129"/>
      <c r="G328" s="22"/>
      <c r="H328" s="21"/>
      <c r="I328" s="225"/>
      <c r="J328" s="22"/>
      <c r="K328" s="21"/>
      <c r="L328" s="148"/>
      <c r="M328" s="22"/>
      <c r="N328" s="21"/>
      <c r="O328" s="129"/>
      <c r="P328" s="22"/>
      <c r="Q328" s="21"/>
      <c r="R328" s="7"/>
    </row>
    <row r="329" spans="1:18" s="209" customFormat="1" ht="102" customHeight="1">
      <c r="A329" s="127" t="s">
        <v>775</v>
      </c>
      <c r="B329" s="229" t="s">
        <v>776</v>
      </c>
      <c r="C329" s="128"/>
      <c r="D329" s="93">
        <f>P329</f>
        <v>68000</v>
      </c>
      <c r="E329" s="93">
        <f>Q329</f>
        <v>68000</v>
      </c>
      <c r="F329" s="129"/>
      <c r="G329" s="22"/>
      <c r="H329" s="21"/>
      <c r="I329" s="225"/>
      <c r="J329" s="22"/>
      <c r="K329" s="21"/>
      <c r="L329" s="148"/>
      <c r="M329" s="22"/>
      <c r="N329" s="21"/>
      <c r="O329" s="118"/>
      <c r="P329" s="22">
        <v>68000</v>
      </c>
      <c r="Q329" s="21">
        <v>68000</v>
      </c>
      <c r="R329" s="7"/>
    </row>
    <row r="330" spans="1:18" s="189" customFormat="1" ht="23.25" customHeight="1">
      <c r="A330" s="135" t="s">
        <v>134</v>
      </c>
      <c r="B330" s="250" t="s">
        <v>135</v>
      </c>
      <c r="C330" s="137"/>
      <c r="D330" s="107">
        <f>D331</f>
        <v>5000</v>
      </c>
      <c r="E330" s="173"/>
      <c r="F330" s="108"/>
      <c r="G330" s="138"/>
      <c r="H330" s="139"/>
      <c r="I330" s="108"/>
      <c r="J330" s="138">
        <f>J331</f>
        <v>5000</v>
      </c>
      <c r="K330" s="139"/>
      <c r="L330" s="398"/>
      <c r="M330" s="138"/>
      <c r="N330" s="139"/>
      <c r="O330" s="108"/>
      <c r="P330" s="138"/>
      <c r="Q330" s="139"/>
      <c r="R330" s="12"/>
    </row>
    <row r="331" spans="1:18" ht="72" customHeight="1">
      <c r="A331" s="127" t="s">
        <v>971</v>
      </c>
      <c r="B331" s="130" t="s">
        <v>777</v>
      </c>
      <c r="C331" s="128"/>
      <c r="D331" s="93">
        <f>G331+J331+M331+P331</f>
        <v>5000</v>
      </c>
      <c r="E331" s="93"/>
      <c r="F331" s="129"/>
      <c r="G331" s="34"/>
      <c r="H331" s="21"/>
      <c r="I331" s="225"/>
      <c r="J331" s="22">
        <v>5000</v>
      </c>
      <c r="K331" s="21"/>
      <c r="L331" s="253"/>
      <c r="M331" s="22"/>
      <c r="N331" s="21"/>
      <c r="O331" s="129"/>
      <c r="P331" s="22"/>
      <c r="Q331" s="21"/>
      <c r="R331" s="7"/>
    </row>
    <row r="332" spans="1:18" ht="15.75" customHeight="1">
      <c r="A332" s="201" t="s">
        <v>136</v>
      </c>
      <c r="B332" s="243" t="s">
        <v>894</v>
      </c>
      <c r="C332" s="203"/>
      <c r="D332" s="173">
        <f>SUM(D333:D333)</f>
        <v>40000</v>
      </c>
      <c r="E332" s="173">
        <f>SUM(E333:E333)</f>
        <v>40000</v>
      </c>
      <c r="F332" s="210">
        <f>E332/D332*100</f>
        <v>100</v>
      </c>
      <c r="G332" s="206"/>
      <c r="H332" s="205"/>
      <c r="I332" s="210"/>
      <c r="J332" s="206"/>
      <c r="K332" s="205"/>
      <c r="L332" s="398"/>
      <c r="M332" s="206">
        <f>SUM(M333:M333)</f>
        <v>40000</v>
      </c>
      <c r="N332" s="205">
        <f>SUM(N333:N333)</f>
        <v>40000</v>
      </c>
      <c r="O332" s="210">
        <f>N332/M332*100</f>
        <v>100</v>
      </c>
      <c r="P332" s="206"/>
      <c r="Q332" s="205"/>
      <c r="R332" s="398"/>
    </row>
    <row r="333" spans="1:18" ht="49.5" customHeight="1" thickBot="1">
      <c r="A333" s="127" t="s">
        <v>78</v>
      </c>
      <c r="B333" s="229" t="s">
        <v>79</v>
      </c>
      <c r="C333" s="128"/>
      <c r="D333" s="93">
        <f>G333+J333+M333+P333</f>
        <v>40000</v>
      </c>
      <c r="E333" s="93">
        <f>H333+K333+N333+Q333</f>
        <v>40000</v>
      </c>
      <c r="F333" s="270"/>
      <c r="G333" s="22"/>
      <c r="H333" s="21"/>
      <c r="I333" s="225"/>
      <c r="J333" s="22"/>
      <c r="K333" s="21"/>
      <c r="L333" s="148"/>
      <c r="M333" s="22">
        <v>40000</v>
      </c>
      <c r="N333" s="21">
        <v>40000</v>
      </c>
      <c r="O333" s="129"/>
      <c r="P333" s="22"/>
      <c r="Q333" s="21"/>
      <c r="R333" s="7"/>
    </row>
    <row r="334" spans="1:18" ht="26.25" customHeight="1" thickBot="1" thickTop="1">
      <c r="A334" s="240" t="s">
        <v>137</v>
      </c>
      <c r="B334" s="166" t="s">
        <v>906</v>
      </c>
      <c r="C334" s="105">
        <f>C335</f>
        <v>1332000</v>
      </c>
      <c r="D334" s="76">
        <f>G334+J334+M334+P334</f>
        <v>2416000</v>
      </c>
      <c r="E334" s="76">
        <f>H334+K334+N334+Q334</f>
        <v>3120260</v>
      </c>
      <c r="F334" s="211">
        <f>E334/D334*100</f>
        <v>129.1498344370861</v>
      </c>
      <c r="G334" s="105">
        <f>G335+G341</f>
        <v>2416000</v>
      </c>
      <c r="H334" s="103">
        <f>H335+H341</f>
        <v>3120260</v>
      </c>
      <c r="I334" s="211">
        <f>H334/G334*100</f>
        <v>129.1498344370861</v>
      </c>
      <c r="J334" s="105"/>
      <c r="K334" s="103"/>
      <c r="L334" s="160"/>
      <c r="M334" s="105"/>
      <c r="N334" s="103"/>
      <c r="O334" s="104"/>
      <c r="P334" s="105"/>
      <c r="Q334" s="103"/>
      <c r="R334" s="25"/>
    </row>
    <row r="335" spans="1:18" ht="15.75" customHeight="1" thickTop="1">
      <c r="A335" s="264" t="s">
        <v>30</v>
      </c>
      <c r="B335" s="221" t="s">
        <v>907</v>
      </c>
      <c r="C335" s="178">
        <f>SUM(C339:C340)</f>
        <v>1332000</v>
      </c>
      <c r="D335" s="223">
        <f>D336+D339+D340+D337</f>
        <v>1866000</v>
      </c>
      <c r="E335" s="223">
        <f>E336+E339+E340+E337</f>
        <v>2570260</v>
      </c>
      <c r="F335" s="109">
        <f>E335/D335*100</f>
        <v>137.7416934619507</v>
      </c>
      <c r="G335" s="223">
        <f>G336+G339+G340+G337</f>
        <v>1866000</v>
      </c>
      <c r="H335" s="223">
        <f>H336+H339+H340+H337</f>
        <v>2570260</v>
      </c>
      <c r="I335" s="109">
        <f>H335/G335*100</f>
        <v>137.7416934619507</v>
      </c>
      <c r="J335" s="222"/>
      <c r="K335" s="36"/>
      <c r="L335" s="162"/>
      <c r="M335" s="222"/>
      <c r="N335" s="36"/>
      <c r="O335" s="26"/>
      <c r="P335" s="222"/>
      <c r="Q335" s="36"/>
      <c r="R335" s="26"/>
    </row>
    <row r="336" spans="1:18" s="209" customFormat="1" ht="54.75" customHeight="1">
      <c r="A336" s="5" t="s">
        <v>935</v>
      </c>
      <c r="B336" s="252" t="s">
        <v>31</v>
      </c>
      <c r="C336" s="191"/>
      <c r="D336" s="143"/>
      <c r="E336" s="143">
        <f>H336</f>
        <v>15751</v>
      </c>
      <c r="F336" s="144"/>
      <c r="G336" s="145"/>
      <c r="H336" s="146">
        <v>15751</v>
      </c>
      <c r="I336" s="144"/>
      <c r="J336" s="145"/>
      <c r="K336" s="146"/>
      <c r="L336" s="165"/>
      <c r="M336" s="145"/>
      <c r="N336" s="146"/>
      <c r="O336" s="9"/>
      <c r="P336" s="145"/>
      <c r="Q336" s="146"/>
      <c r="R336" s="9"/>
    </row>
    <row r="337" spans="1:18" s="209" customFormat="1" ht="60.75" customHeight="1">
      <c r="A337" s="1" t="s">
        <v>1057</v>
      </c>
      <c r="B337" s="153" t="s">
        <v>377</v>
      </c>
      <c r="C337" s="187"/>
      <c r="D337" s="93">
        <f>G337</f>
        <v>534000</v>
      </c>
      <c r="E337" s="93">
        <f>H337</f>
        <v>1222509</v>
      </c>
      <c r="F337" s="129">
        <f>E337/D337*100</f>
        <v>228.93426966292134</v>
      </c>
      <c r="G337" s="22">
        <v>534000</v>
      </c>
      <c r="H337" s="21">
        <v>1222509</v>
      </c>
      <c r="I337" s="129">
        <f>H337/G337*100</f>
        <v>228.93426966292134</v>
      </c>
      <c r="J337" s="22"/>
      <c r="K337" s="21"/>
      <c r="L337" s="148"/>
      <c r="M337" s="22"/>
      <c r="N337" s="21"/>
      <c r="O337" s="7"/>
      <c r="P337" s="22"/>
      <c r="Q337" s="21"/>
      <c r="R337" s="7"/>
    </row>
    <row r="338" spans="1:18" s="340" customFormat="1" ht="14.25" customHeight="1">
      <c r="A338" s="386"/>
      <c r="B338" s="592" t="s">
        <v>32</v>
      </c>
      <c r="C338" s="593">
        <f>SUM(C339:C340)</f>
        <v>1332000</v>
      </c>
      <c r="D338" s="594">
        <f>SUM(D339:D340)</f>
        <v>1332000</v>
      </c>
      <c r="E338" s="594">
        <f>E339+E340</f>
        <v>1332000</v>
      </c>
      <c r="F338" s="385">
        <f>E338/D338*100</f>
        <v>100</v>
      </c>
      <c r="G338" s="595">
        <f>SUM(G339:G340)</f>
        <v>1332000</v>
      </c>
      <c r="H338" s="472">
        <f>SUM(H339:H340)</f>
        <v>1332000</v>
      </c>
      <c r="I338" s="403">
        <f>H338/G338*100</f>
        <v>100</v>
      </c>
      <c r="J338" s="393"/>
      <c r="K338" s="391"/>
      <c r="L338" s="330"/>
      <c r="M338" s="393"/>
      <c r="N338" s="391"/>
      <c r="O338" s="14"/>
      <c r="P338" s="393"/>
      <c r="Q338" s="391"/>
      <c r="R338" s="14"/>
    </row>
    <row r="339" spans="1:18" s="209" customFormat="1" ht="63" customHeight="1">
      <c r="A339" s="1" t="s">
        <v>33</v>
      </c>
      <c r="B339" s="153" t="s">
        <v>34</v>
      </c>
      <c r="C339" s="187">
        <v>666000</v>
      </c>
      <c r="D339" s="93">
        <f>G339</f>
        <v>666000</v>
      </c>
      <c r="E339" s="93">
        <f>H339</f>
        <v>666000</v>
      </c>
      <c r="F339" s="129"/>
      <c r="G339" s="22">
        <v>666000</v>
      </c>
      <c r="H339" s="21">
        <v>666000</v>
      </c>
      <c r="I339" s="129"/>
      <c r="J339" s="22"/>
      <c r="K339" s="21"/>
      <c r="L339" s="148"/>
      <c r="M339" s="22"/>
      <c r="N339" s="21"/>
      <c r="O339" s="7"/>
      <c r="P339" s="22"/>
      <c r="Q339" s="21"/>
      <c r="R339" s="7"/>
    </row>
    <row r="340" spans="1:18" s="209" customFormat="1" ht="48.75" customHeight="1">
      <c r="A340" s="246" t="s">
        <v>1057</v>
      </c>
      <c r="B340" s="186" t="s">
        <v>35</v>
      </c>
      <c r="C340" s="188">
        <v>666000</v>
      </c>
      <c r="D340" s="133">
        <f>G340+J340+M340+P340</f>
        <v>666000</v>
      </c>
      <c r="E340" s="596">
        <f>H340+K340+N340+Q340</f>
        <v>666000</v>
      </c>
      <c r="F340" s="118"/>
      <c r="G340" s="34">
        <v>666000</v>
      </c>
      <c r="H340" s="35">
        <v>666000</v>
      </c>
      <c r="I340" s="118"/>
      <c r="J340" s="34"/>
      <c r="K340" s="35"/>
      <c r="L340" s="441"/>
      <c r="M340" s="34"/>
      <c r="N340" s="35"/>
      <c r="O340" s="10"/>
      <c r="P340" s="34"/>
      <c r="Q340" s="35"/>
      <c r="R340" s="10"/>
    </row>
    <row r="341" spans="1:18" s="347" customFormat="1" ht="19.5" customHeight="1">
      <c r="A341" s="4" t="s">
        <v>778</v>
      </c>
      <c r="B341" s="136" t="s">
        <v>233</v>
      </c>
      <c r="C341" s="125"/>
      <c r="D341" s="107">
        <f>SUM(D343:D344)</f>
        <v>550000</v>
      </c>
      <c r="E341" s="466">
        <f>H341</f>
        <v>550000</v>
      </c>
      <c r="F341" s="108">
        <f>E341/D341*100</f>
        <v>100</v>
      </c>
      <c r="G341" s="138">
        <f>SUM(G343:G344)</f>
        <v>550000</v>
      </c>
      <c r="H341" s="139">
        <f>H343+H344</f>
        <v>550000</v>
      </c>
      <c r="I341" s="108">
        <f>H341/G341*100</f>
        <v>100</v>
      </c>
      <c r="J341" s="138"/>
      <c r="K341" s="139"/>
      <c r="L341" s="398"/>
      <c r="M341" s="138"/>
      <c r="N341" s="139"/>
      <c r="O341" s="12"/>
      <c r="P341" s="138"/>
      <c r="Q341" s="139"/>
      <c r="R341" s="12"/>
    </row>
    <row r="342" spans="1:18" s="473" customFormat="1" ht="10.5" customHeight="1">
      <c r="A342" s="467"/>
      <c r="B342" s="468" t="s">
        <v>779</v>
      </c>
      <c r="C342" s="469"/>
      <c r="D342" s="284"/>
      <c r="E342" s="470"/>
      <c r="F342" s="403"/>
      <c r="G342" s="471"/>
      <c r="H342" s="472"/>
      <c r="I342" s="403"/>
      <c r="J342" s="471"/>
      <c r="K342" s="472"/>
      <c r="L342" s="330"/>
      <c r="M342" s="471"/>
      <c r="N342" s="472"/>
      <c r="O342" s="14"/>
      <c r="P342" s="471"/>
      <c r="Q342" s="472"/>
      <c r="R342" s="14"/>
    </row>
    <row r="343" spans="1:18" ht="53.25" customHeight="1">
      <c r="A343" s="1" t="s">
        <v>995</v>
      </c>
      <c r="B343" s="229" t="s">
        <v>774</v>
      </c>
      <c r="C343" s="187"/>
      <c r="D343" s="93">
        <f>G343</f>
        <v>485000</v>
      </c>
      <c r="E343" s="93">
        <f>H343</f>
        <v>485000</v>
      </c>
      <c r="F343" s="129"/>
      <c r="G343" s="22">
        <f>550000-65000</f>
        <v>485000</v>
      </c>
      <c r="H343" s="21">
        <v>485000</v>
      </c>
      <c r="I343" s="129"/>
      <c r="J343" s="22"/>
      <c r="K343" s="21"/>
      <c r="L343" s="148"/>
      <c r="M343" s="22"/>
      <c r="N343" s="21"/>
      <c r="O343" s="7"/>
      <c r="P343" s="22"/>
      <c r="Q343" s="21"/>
      <c r="R343" s="7"/>
    </row>
    <row r="344" spans="1:18" ht="62.25" customHeight="1" thickBot="1">
      <c r="A344" s="1" t="s">
        <v>33</v>
      </c>
      <c r="B344" s="153" t="s">
        <v>34</v>
      </c>
      <c r="C344" s="187"/>
      <c r="D344" s="93">
        <f>G344</f>
        <v>65000</v>
      </c>
      <c r="E344" s="93">
        <f>H344</f>
        <v>65000</v>
      </c>
      <c r="F344" s="129"/>
      <c r="G344" s="22">
        <v>65000</v>
      </c>
      <c r="H344" s="21">
        <v>65000</v>
      </c>
      <c r="I344" s="129"/>
      <c r="J344" s="22"/>
      <c r="K344" s="21"/>
      <c r="L344" s="148"/>
      <c r="M344" s="22"/>
      <c r="N344" s="21"/>
      <c r="O344" s="7"/>
      <c r="P344" s="22"/>
      <c r="Q344" s="21"/>
      <c r="R344" s="7"/>
    </row>
    <row r="345" spans="1:18" ht="27" customHeight="1" thickBot="1" thickTop="1">
      <c r="A345" s="486" t="s">
        <v>138</v>
      </c>
      <c r="B345" s="487"/>
      <c r="C345" s="272">
        <f>C7+C10+C29+C42+C56+C77+C82+C92+C137+C152+C207+C214+C266+C285+C312+C322+C334</f>
        <v>351510313</v>
      </c>
      <c r="D345" s="474">
        <f>D7+D10+D29+D42+D56+D77+D82+D92+D137+D152+D207+D214+D266+D285+D312+D322+D334</f>
        <v>352375065.18</v>
      </c>
      <c r="E345" s="273">
        <f>E7+E10+E29+E42+E56+E77+E82+E92+E137+E152+E207+E214+E266+E285+E312+E322+E334</f>
        <v>338022848</v>
      </c>
      <c r="F345" s="25">
        <f>E345/D345*100</f>
        <v>95.92700545577235</v>
      </c>
      <c r="G345" s="273">
        <f>G7+G10+G29+G42+G56+G77+G82+G92+G137+G152+G207+G214+G266+G285+G312+G322+G334</f>
        <v>230904234</v>
      </c>
      <c r="H345" s="273">
        <f>H7+H10+H29+H42+H56+H77+H82+H92+H137+H152+H207+H214+H266+H285+H312+H322+H334</f>
        <v>219027221</v>
      </c>
      <c r="I345" s="104">
        <f>H345/G345*100</f>
        <v>94.85630350113026</v>
      </c>
      <c r="J345" s="474">
        <f>J7+J10+J29+J42+J56+J77+J82+J92+J137+J152+J207+J214+J266+J285+J312+J322+J334</f>
        <v>19870474.18</v>
      </c>
      <c r="K345" s="273">
        <f>K7+K10+K29+K42+K56+K77+K82+K92+K137+K152+K207+K214+K266+K285+K312+K322+K334</f>
        <v>19801674</v>
      </c>
      <c r="L345" s="450">
        <f>K345/J345*100</f>
        <v>99.65375672781252</v>
      </c>
      <c r="M345" s="273">
        <f>M7+M10+M29+M42+M56+M77+M82+M92+M137+M152+M207+M214+M266+M285+M312+M322+M334</f>
        <v>92008713</v>
      </c>
      <c r="N345" s="273">
        <f>N7+N10+N29+N42+N56+N77+N82+N92+N137+N152+N207+N214+N266+N285+N312+N322+N334</f>
        <v>89604073</v>
      </c>
      <c r="O345" s="104">
        <f>N345/M345*100</f>
        <v>97.38650838426574</v>
      </c>
      <c r="P345" s="273">
        <f>P7+P10+P29+P42+P56+P77+P82+P92+P137+P152+P207+P214+P266+P285+P312+P322+P334</f>
        <v>9591644</v>
      </c>
      <c r="Q345" s="273">
        <f>Q7+Q10+Q29+Q42+Q56+Q77+Q82+Q92+Q137+Q152+Q207+Q214+Q266+Q285+Q312+Q322+Q334</f>
        <v>9589880</v>
      </c>
      <c r="R345" s="104">
        <f>Q345/P345*100</f>
        <v>99.98160899216026</v>
      </c>
    </row>
    <row r="346" spans="1:18" s="189" customFormat="1" ht="15.75" customHeight="1" thickTop="1">
      <c r="A346" s="488" t="s">
        <v>139</v>
      </c>
      <c r="B346" s="489"/>
      <c r="C346" s="276">
        <f>C345-C349-C350</f>
        <v>319795936</v>
      </c>
      <c r="D346" s="275">
        <f>G346+M346</f>
        <v>322912947</v>
      </c>
      <c r="E346" s="275">
        <f aca="true" t="shared" si="43" ref="D346:E348">H346+K346+N346+Q346</f>
        <v>308631294</v>
      </c>
      <c r="F346" s="404">
        <f>E346/D346*100</f>
        <v>95.57724360925052</v>
      </c>
      <c r="G346" s="276">
        <f>G345</f>
        <v>230904234</v>
      </c>
      <c r="H346" s="475">
        <f>H345</f>
        <v>219027221</v>
      </c>
      <c r="I346" s="24">
        <f>H346/G346*100</f>
        <v>94.85630350113026</v>
      </c>
      <c r="J346" s="405"/>
      <c r="K346" s="406"/>
      <c r="L346" s="476"/>
      <c r="M346" s="407">
        <f>M345</f>
        <v>92008713</v>
      </c>
      <c r="N346" s="408">
        <f>N345</f>
        <v>89604073</v>
      </c>
      <c r="O346" s="24">
        <f>N346/M346*100</f>
        <v>97.38650838426574</v>
      </c>
      <c r="P346" s="276"/>
      <c r="Q346" s="277"/>
      <c r="R346" s="8"/>
    </row>
    <row r="347" spans="1:18" s="189" customFormat="1" ht="9.75" customHeight="1">
      <c r="A347" s="279" t="s">
        <v>140</v>
      </c>
      <c r="B347" s="274"/>
      <c r="C347" s="276"/>
      <c r="D347" s="275"/>
      <c r="E347" s="275"/>
      <c r="F347" s="404"/>
      <c r="G347" s="276"/>
      <c r="H347" s="277"/>
      <c r="I347" s="278"/>
      <c r="J347" s="405"/>
      <c r="K347" s="406"/>
      <c r="L347" s="476"/>
      <c r="M347" s="276"/>
      <c r="N347" s="277"/>
      <c r="O347" s="278"/>
      <c r="P347" s="276"/>
      <c r="Q347" s="277"/>
      <c r="R347" s="8"/>
    </row>
    <row r="348" spans="1:18" ht="18" customHeight="1">
      <c r="A348" s="490" t="s">
        <v>141</v>
      </c>
      <c r="B348" s="491"/>
      <c r="C348" s="281">
        <v>1061000</v>
      </c>
      <c r="D348" s="280">
        <f t="shared" si="43"/>
        <v>1670342</v>
      </c>
      <c r="E348" s="280">
        <f t="shared" si="43"/>
        <v>1358251</v>
      </c>
      <c r="F348" s="409">
        <f>E348/D348*100</f>
        <v>81.31574252458479</v>
      </c>
      <c r="G348" s="281"/>
      <c r="H348" s="282"/>
      <c r="I348" s="11"/>
      <c r="J348" s="410"/>
      <c r="K348" s="411"/>
      <c r="L348" s="477"/>
      <c r="M348" s="282">
        <f>M230+M333+M270+M304</f>
        <v>1670342</v>
      </c>
      <c r="N348" s="282">
        <f>N230+N333+N270+N304</f>
        <v>1358251</v>
      </c>
      <c r="O348" s="11">
        <f>N348/M348*100</f>
        <v>81.31574252458479</v>
      </c>
      <c r="P348" s="281"/>
      <c r="Q348" s="282"/>
      <c r="R348" s="2"/>
    </row>
    <row r="349" spans="1:18" s="189" customFormat="1" ht="14.25" customHeight="1">
      <c r="A349" s="492" t="s">
        <v>142</v>
      </c>
      <c r="B349" s="493"/>
      <c r="C349" s="276">
        <v>31692277</v>
      </c>
      <c r="D349" s="478">
        <f>J349+P349</f>
        <v>29314448.18</v>
      </c>
      <c r="E349" s="275">
        <f>K349+Q349</f>
        <v>29248905</v>
      </c>
      <c r="F349" s="404">
        <f>E349/D349*100</f>
        <v>99.7764133931584</v>
      </c>
      <c r="G349" s="276"/>
      <c r="H349" s="282"/>
      <c r="I349" s="278"/>
      <c r="J349" s="405">
        <f>J345-J350</f>
        <v>19846374.18</v>
      </c>
      <c r="K349" s="277">
        <f>K345-K350</f>
        <v>19782579</v>
      </c>
      <c r="L349" s="476">
        <f>K349/J349*100</f>
        <v>99.67855498731709</v>
      </c>
      <c r="M349" s="276"/>
      <c r="N349" s="277"/>
      <c r="O349" s="278"/>
      <c r="P349" s="276">
        <f>P345-P350</f>
        <v>9468074</v>
      </c>
      <c r="Q349" s="277">
        <f>Q345-Q350</f>
        <v>9466326</v>
      </c>
      <c r="R349" s="8">
        <f>Q349/P349*100</f>
        <v>99.98153795587149</v>
      </c>
    </row>
    <row r="350" spans="1:18" ht="21" customHeight="1" thickBot="1">
      <c r="A350" s="480" t="s">
        <v>36</v>
      </c>
      <c r="B350" s="481"/>
      <c r="C350" s="412">
        <v>22100</v>
      </c>
      <c r="D350" s="413">
        <f>J350+P350</f>
        <v>147670</v>
      </c>
      <c r="E350" s="413">
        <f>K350+Q350</f>
        <v>142649</v>
      </c>
      <c r="F350" s="414">
        <f>E350/D350*100</f>
        <v>96.59985101916435</v>
      </c>
      <c r="G350" s="415"/>
      <c r="H350" s="416"/>
      <c r="I350" s="417"/>
      <c r="J350" s="418">
        <f>J53+J331+J194</f>
        <v>24100</v>
      </c>
      <c r="K350" s="418">
        <f>K53+K331+K194</f>
        <v>19095</v>
      </c>
      <c r="L350" s="479">
        <f>K350/J350*100</f>
        <v>79.23236514522821</v>
      </c>
      <c r="M350" s="415"/>
      <c r="N350" s="416"/>
      <c r="O350" s="417"/>
      <c r="P350" s="418">
        <f>P70+P91+P329</f>
        <v>123570</v>
      </c>
      <c r="Q350" s="418">
        <f>Q70+Q91+Q329</f>
        <v>123554</v>
      </c>
      <c r="R350" s="419">
        <f>Q350/P350*100</f>
        <v>99.98705187343207</v>
      </c>
    </row>
    <row r="351" spans="1:18" s="285" customFormat="1" ht="14.25" customHeight="1" thickBot="1" thickTop="1">
      <c r="A351" s="482" t="s">
        <v>143</v>
      </c>
      <c r="B351" s="483"/>
      <c r="C351" s="283">
        <v>244973460</v>
      </c>
      <c r="D351" s="597">
        <f>G345+J345</f>
        <v>250774708.18</v>
      </c>
      <c r="E351" s="284">
        <f>H345+K345</f>
        <v>238828895</v>
      </c>
      <c r="F351" s="420">
        <f>E351/D351*100</f>
        <v>95.23643621531977</v>
      </c>
      <c r="G351" s="421"/>
      <c r="H351" s="422"/>
      <c r="I351" s="423"/>
      <c r="J351" s="424"/>
      <c r="K351" s="425"/>
      <c r="L351" s="427"/>
      <c r="M351" s="421"/>
      <c r="N351" s="422"/>
      <c r="O351" s="16"/>
      <c r="P351" s="426"/>
      <c r="Q351" s="422"/>
      <c r="R351" s="328"/>
    </row>
    <row r="352" spans="1:18" s="285" customFormat="1" ht="12.75" customHeight="1" thickBot="1" thickTop="1">
      <c r="A352" s="484" t="s">
        <v>144</v>
      </c>
      <c r="B352" s="485"/>
      <c r="C352" s="286">
        <v>106536853</v>
      </c>
      <c r="D352" s="287">
        <f>M345+P345</f>
        <v>101600357</v>
      </c>
      <c r="E352" s="287">
        <f>N345+Q345</f>
        <v>99193953</v>
      </c>
      <c r="F352" s="427">
        <f>E352/D352*100</f>
        <v>97.6315004483695</v>
      </c>
      <c r="G352" s="288"/>
      <c r="H352" s="288"/>
      <c r="I352" s="290"/>
      <c r="J352" s="428"/>
      <c r="K352" s="429"/>
      <c r="L352" s="427"/>
      <c r="M352" s="289"/>
      <c r="N352" s="288"/>
      <c r="O352" s="290"/>
      <c r="P352" s="289"/>
      <c r="Q352" s="288"/>
      <c r="R352" s="291"/>
    </row>
    <row r="353" s="232" customFormat="1" ht="13.5" thickTop="1">
      <c r="A353" s="326" t="s">
        <v>378</v>
      </c>
    </row>
    <row r="354" ht="12.75">
      <c r="A354" s="326" t="s">
        <v>379</v>
      </c>
    </row>
    <row r="355" s="232" customFormat="1" ht="12.75">
      <c r="A355" s="326" t="s">
        <v>380</v>
      </c>
    </row>
  </sheetData>
  <mergeCells count="16">
    <mergeCell ref="A350:B350"/>
    <mergeCell ref="A351:B351"/>
    <mergeCell ref="A352:B352"/>
    <mergeCell ref="A345:B345"/>
    <mergeCell ref="A346:B346"/>
    <mergeCell ref="A348:B348"/>
    <mergeCell ref="A349:B349"/>
    <mergeCell ref="A3:A5"/>
    <mergeCell ref="B3:B5"/>
    <mergeCell ref="C3:F4"/>
    <mergeCell ref="G3:L3"/>
    <mergeCell ref="M3:R3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78"/>
  <sheetViews>
    <sheetView zoomScale="80" zoomScaleNormal="80" workbookViewId="0" topLeftCell="A2064">
      <selection activeCell="D2084" sqref="D2084"/>
    </sheetView>
  </sheetViews>
  <sheetFormatPr defaultColWidth="9.00390625" defaultRowHeight="12.75"/>
  <cols>
    <col min="1" max="1" width="5.75390625" style="598" customWidth="1"/>
    <col min="2" max="2" width="18.75390625" style="599" customWidth="1"/>
    <col min="3" max="3" width="12.25390625" style="600" customWidth="1"/>
    <col min="4" max="4" width="13.625" style="600" customWidth="1"/>
    <col min="5" max="5" width="12.75390625" style="600" customWidth="1"/>
    <col min="6" max="6" width="4.25390625" style="601" customWidth="1"/>
    <col min="7" max="8" width="12.00390625" style="600" customWidth="1"/>
    <col min="9" max="9" width="4.875" style="602" customWidth="1"/>
    <col min="10" max="10" width="12.375" style="600" customWidth="1"/>
    <col min="11" max="11" width="11.75390625" style="600" customWidth="1"/>
    <col min="12" max="12" width="5.125" style="603" customWidth="1"/>
    <col min="13" max="13" width="11.875" style="600" customWidth="1"/>
    <col min="14" max="14" width="12.125" style="600" customWidth="1"/>
    <col min="15" max="15" width="4.875" style="602" customWidth="1"/>
    <col min="16" max="16" width="11.375" style="600" customWidth="1"/>
    <col min="17" max="17" width="9.375" style="600" customWidth="1"/>
    <col min="18" max="18" width="5.25390625" style="602" customWidth="1"/>
    <col min="19" max="20" width="9.125" style="605" customWidth="1"/>
    <col min="21" max="16384" width="9.125" style="606" customWidth="1"/>
  </cols>
  <sheetData>
    <row r="1" spans="13:14" ht="12.75" hidden="1">
      <c r="M1" s="604"/>
      <c r="N1" s="604"/>
    </row>
    <row r="2" spans="1:18" ht="15.75">
      <c r="A2" s="607"/>
      <c r="B2" s="608"/>
      <c r="C2" s="609"/>
      <c r="D2" s="609"/>
      <c r="E2" s="609"/>
      <c r="F2" s="610"/>
      <c r="G2" s="609"/>
      <c r="H2" s="609"/>
      <c r="I2" s="611"/>
      <c r="J2" s="609"/>
      <c r="K2" s="609"/>
      <c r="L2" s="612"/>
      <c r="M2" s="609"/>
      <c r="N2" s="609"/>
      <c r="O2" s="613"/>
      <c r="P2" s="614"/>
      <c r="Q2" s="615"/>
      <c r="R2" s="611"/>
    </row>
    <row r="3" spans="1:20" s="625" customFormat="1" ht="29.25" customHeight="1">
      <c r="A3" s="616" t="s">
        <v>381</v>
      </c>
      <c r="B3" s="617"/>
      <c r="C3" s="618"/>
      <c r="D3" s="619"/>
      <c r="E3" s="618"/>
      <c r="F3" s="620"/>
      <c r="G3" s="618"/>
      <c r="H3" s="618"/>
      <c r="I3" s="621"/>
      <c r="J3" s="618"/>
      <c r="K3" s="618"/>
      <c r="L3" s="622"/>
      <c r="M3" s="619"/>
      <c r="N3" s="619"/>
      <c r="O3" s="621"/>
      <c r="P3" s="623"/>
      <c r="Q3" s="623"/>
      <c r="R3" s="621"/>
      <c r="S3" s="624"/>
      <c r="T3" s="624"/>
    </row>
    <row r="4" spans="1:18" ht="12" customHeight="1" thickBot="1">
      <c r="A4" s="626"/>
      <c r="B4" s="627"/>
      <c r="C4" s="619"/>
      <c r="D4" s="619"/>
      <c r="E4" s="619"/>
      <c r="F4" s="620"/>
      <c r="G4" s="619"/>
      <c r="H4" s="619"/>
      <c r="I4" s="621"/>
      <c r="J4" s="619"/>
      <c r="K4" s="619"/>
      <c r="L4" s="628"/>
      <c r="M4" s="629"/>
      <c r="N4" s="629"/>
      <c r="O4" s="630"/>
      <c r="P4" s="623" t="s">
        <v>174</v>
      </c>
      <c r="Q4" s="623"/>
      <c r="R4" s="621"/>
    </row>
    <row r="5" spans="1:20" s="649" customFormat="1" ht="26.25" thickTop="1">
      <c r="A5" s="631" t="s">
        <v>175</v>
      </c>
      <c r="B5" s="632"/>
      <c r="C5" s="633" t="s">
        <v>176</v>
      </c>
      <c r="D5" s="634"/>
      <c r="E5" s="635"/>
      <c r="F5" s="636"/>
      <c r="G5" s="637" t="s">
        <v>177</v>
      </c>
      <c r="H5" s="638"/>
      <c r="I5" s="639"/>
      <c r="J5" s="640" t="s">
        <v>286</v>
      </c>
      <c r="K5" s="641"/>
      <c r="L5" s="642"/>
      <c r="M5" s="643" t="s">
        <v>178</v>
      </c>
      <c r="N5" s="644"/>
      <c r="O5" s="645"/>
      <c r="P5" s="646" t="s">
        <v>287</v>
      </c>
      <c r="Q5" s="644"/>
      <c r="R5" s="647"/>
      <c r="S5" s="648"/>
      <c r="T5" s="648"/>
    </row>
    <row r="6" spans="1:20" s="662" customFormat="1" ht="36" customHeight="1" thickBot="1">
      <c r="A6" s="650" t="s">
        <v>179</v>
      </c>
      <c r="B6" s="651" t="s">
        <v>180</v>
      </c>
      <c r="C6" s="652" t="s">
        <v>181</v>
      </c>
      <c r="D6" s="653" t="s">
        <v>182</v>
      </c>
      <c r="E6" s="653" t="s">
        <v>183</v>
      </c>
      <c r="F6" s="654" t="s">
        <v>184</v>
      </c>
      <c r="G6" s="655" t="s">
        <v>185</v>
      </c>
      <c r="H6" s="656" t="s">
        <v>183</v>
      </c>
      <c r="I6" s="657" t="s">
        <v>186</v>
      </c>
      <c r="J6" s="655" t="s">
        <v>185</v>
      </c>
      <c r="K6" s="658" t="s">
        <v>183</v>
      </c>
      <c r="L6" s="659" t="s">
        <v>187</v>
      </c>
      <c r="M6" s="655" t="s">
        <v>185</v>
      </c>
      <c r="N6" s="660" t="s">
        <v>183</v>
      </c>
      <c r="O6" s="659" t="s">
        <v>187</v>
      </c>
      <c r="P6" s="655" t="s">
        <v>185</v>
      </c>
      <c r="Q6" s="661" t="s">
        <v>183</v>
      </c>
      <c r="R6" s="659" t="s">
        <v>186</v>
      </c>
      <c r="S6" s="607"/>
      <c r="T6" s="607"/>
    </row>
    <row r="7" spans="1:18" s="670" customFormat="1" ht="10.5" customHeight="1" thickBot="1" thickTop="1">
      <c r="A7" s="663">
        <v>1</v>
      </c>
      <c r="B7" s="664">
        <v>2</v>
      </c>
      <c r="C7" s="665">
        <v>3</v>
      </c>
      <c r="D7" s="666">
        <v>4</v>
      </c>
      <c r="E7" s="666">
        <v>5</v>
      </c>
      <c r="F7" s="667">
        <v>6</v>
      </c>
      <c r="G7" s="666">
        <v>7</v>
      </c>
      <c r="H7" s="668">
        <v>8</v>
      </c>
      <c r="I7" s="669">
        <v>9</v>
      </c>
      <c r="J7" s="668">
        <v>10</v>
      </c>
      <c r="K7" s="666">
        <v>11</v>
      </c>
      <c r="L7" s="669">
        <v>12</v>
      </c>
      <c r="M7" s="668">
        <v>13</v>
      </c>
      <c r="N7" s="666">
        <v>14</v>
      </c>
      <c r="O7" s="669">
        <v>15</v>
      </c>
      <c r="P7" s="668">
        <v>16</v>
      </c>
      <c r="Q7" s="668">
        <v>17</v>
      </c>
      <c r="R7" s="669">
        <v>18</v>
      </c>
    </row>
    <row r="8" spans="1:18" s="682" customFormat="1" ht="26.25" customHeight="1" thickBot="1" thickTop="1">
      <c r="A8" s="671" t="s">
        <v>188</v>
      </c>
      <c r="B8" s="672" t="s">
        <v>189</v>
      </c>
      <c r="C8" s="673">
        <f>C11+C29</f>
        <v>3000</v>
      </c>
      <c r="D8" s="674">
        <f aca="true" t="shared" si="0" ref="D8:E10">G8+J8+P8+M8</f>
        <v>39053.18</v>
      </c>
      <c r="E8" s="674">
        <f t="shared" si="0"/>
        <v>27668</v>
      </c>
      <c r="F8" s="675">
        <f>E8/D8*100</f>
        <v>70.84698352349284</v>
      </c>
      <c r="G8" s="676">
        <f>G29+G31</f>
        <v>13915</v>
      </c>
      <c r="H8" s="676">
        <f>H29+H31</f>
        <v>2530</v>
      </c>
      <c r="I8" s="677">
        <f>H8/G8*100</f>
        <v>18.181818181818183</v>
      </c>
      <c r="J8" s="678">
        <f>J31</f>
        <v>25138.18</v>
      </c>
      <c r="K8" s="674">
        <f>K31</f>
        <v>25138</v>
      </c>
      <c r="L8" s="679">
        <f>K8/J8*100</f>
        <v>99.99928395770895</v>
      </c>
      <c r="M8" s="680"/>
      <c r="N8" s="680"/>
      <c r="O8" s="681"/>
      <c r="P8" s="676"/>
      <c r="Q8" s="676"/>
      <c r="R8" s="677"/>
    </row>
    <row r="9" spans="1:18" s="682" customFormat="1" ht="26.25" customHeight="1" hidden="1">
      <c r="A9" s="683" t="s">
        <v>190</v>
      </c>
      <c r="B9" s="684" t="s">
        <v>191</v>
      </c>
      <c r="C9" s="685"/>
      <c r="D9" s="686">
        <f t="shared" si="0"/>
        <v>0</v>
      </c>
      <c r="E9" s="686">
        <f t="shared" si="0"/>
        <v>0</v>
      </c>
      <c r="F9" s="687" t="e">
        <f>E9/D9*100</f>
        <v>#DIV/0!</v>
      </c>
      <c r="G9" s="688"/>
      <c r="H9" s="689"/>
      <c r="I9" s="690"/>
      <c r="J9" s="691"/>
      <c r="K9" s="686"/>
      <c r="L9" s="692"/>
      <c r="M9" s="693"/>
      <c r="N9" s="693"/>
      <c r="O9" s="694"/>
      <c r="P9" s="688">
        <f>SUM(P10)</f>
        <v>0</v>
      </c>
      <c r="Q9" s="688">
        <f>SUM(Q10)</f>
        <v>0</v>
      </c>
      <c r="R9" s="690" t="e">
        <f>Q9/P9*100</f>
        <v>#DIV/0!</v>
      </c>
    </row>
    <row r="10" spans="1:18" s="605" customFormat="1" ht="15.75" customHeight="1" hidden="1">
      <c r="A10" s="695" t="s">
        <v>192</v>
      </c>
      <c r="B10" s="696" t="s">
        <v>193</v>
      </c>
      <c r="C10" s="697"/>
      <c r="D10" s="698">
        <f t="shared" si="0"/>
        <v>0</v>
      </c>
      <c r="E10" s="698">
        <f t="shared" si="0"/>
        <v>0</v>
      </c>
      <c r="F10" s="699" t="e">
        <f>E10/D10*100</f>
        <v>#DIV/0!</v>
      </c>
      <c r="G10" s="700"/>
      <c r="H10" s="701"/>
      <c r="I10" s="702"/>
      <c r="J10" s="703"/>
      <c r="K10" s="698"/>
      <c r="L10" s="704"/>
      <c r="M10" s="705"/>
      <c r="N10" s="705"/>
      <c r="O10" s="706"/>
      <c r="P10" s="700"/>
      <c r="Q10" s="700"/>
      <c r="R10" s="707" t="e">
        <f>Q10/P10*100</f>
        <v>#DIV/0!</v>
      </c>
    </row>
    <row r="11" spans="1:18" s="682" customFormat="1" ht="15" customHeight="1" hidden="1">
      <c r="A11" s="708" t="s">
        <v>194</v>
      </c>
      <c r="B11" s="709" t="s">
        <v>195</v>
      </c>
      <c r="C11" s="710">
        <f>SUM(C12:C28)</f>
        <v>0</v>
      </c>
      <c r="D11" s="711">
        <f>SUM(D12:D28)</f>
        <v>0</v>
      </c>
      <c r="E11" s="712">
        <f aca="true" t="shared" si="1" ref="E11:E28">SUM(H11+K11+N11+Q11)</f>
        <v>0</v>
      </c>
      <c r="F11" s="713" t="e">
        <f>E11/D11*100</f>
        <v>#DIV/0!</v>
      </c>
      <c r="G11" s="714"/>
      <c r="H11" s="715"/>
      <c r="I11" s="716"/>
      <c r="J11" s="717"/>
      <c r="K11" s="712"/>
      <c r="L11" s="718"/>
      <c r="M11" s="714"/>
      <c r="N11" s="714"/>
      <c r="O11" s="716"/>
      <c r="P11" s="711">
        <f>SUM(P12:P28)</f>
        <v>0</v>
      </c>
      <c r="Q11" s="711">
        <f>SUM(Q12:Q28)</f>
        <v>0</v>
      </c>
      <c r="R11" s="719" t="e">
        <f>Q11/P11*100</f>
        <v>#DIV/0!</v>
      </c>
    </row>
    <row r="12" spans="1:18" s="605" customFormat="1" ht="36.75" hidden="1" thickTop="1">
      <c r="A12" s="695" t="s">
        <v>196</v>
      </c>
      <c r="B12" s="696" t="s">
        <v>197</v>
      </c>
      <c r="C12" s="720"/>
      <c r="D12" s="698">
        <f aca="true" t="shared" si="2" ref="D12:E43">G12+J12+P12+M12</f>
        <v>0</v>
      </c>
      <c r="E12" s="698">
        <f t="shared" si="1"/>
        <v>0</v>
      </c>
      <c r="F12" s="721" t="e">
        <f>E12/D12*100</f>
        <v>#DIV/0!</v>
      </c>
      <c r="G12" s="705"/>
      <c r="H12" s="722"/>
      <c r="I12" s="706"/>
      <c r="J12" s="703"/>
      <c r="K12" s="698"/>
      <c r="L12" s="704"/>
      <c r="M12" s="705"/>
      <c r="N12" s="705"/>
      <c r="O12" s="706"/>
      <c r="P12" s="723"/>
      <c r="Q12" s="724"/>
      <c r="R12" s="702" t="e">
        <f>Q12/P12*100</f>
        <v>#DIV/0!</v>
      </c>
    </row>
    <row r="13" spans="1:18" s="605" customFormat="1" ht="24.75" hidden="1" thickTop="1">
      <c r="A13" s="695" t="s">
        <v>198</v>
      </c>
      <c r="B13" s="696" t="s">
        <v>199</v>
      </c>
      <c r="C13" s="720"/>
      <c r="D13" s="698">
        <f t="shared" si="2"/>
        <v>0</v>
      </c>
      <c r="E13" s="698">
        <f t="shared" si="1"/>
        <v>0</v>
      </c>
      <c r="F13" s="699" t="e">
        <f aca="true" t="shared" si="3" ref="F13:F64">E13/D13*100</f>
        <v>#DIV/0!</v>
      </c>
      <c r="G13" s="705"/>
      <c r="H13" s="722"/>
      <c r="I13" s="706"/>
      <c r="J13" s="703"/>
      <c r="K13" s="698"/>
      <c r="L13" s="704"/>
      <c r="M13" s="705"/>
      <c r="N13" s="705"/>
      <c r="O13" s="706"/>
      <c r="P13" s="720"/>
      <c r="Q13" s="700"/>
      <c r="R13" s="702" t="e">
        <f aca="true" t="shared" si="4" ref="R13:R28">Q13/P13*100</f>
        <v>#DIV/0!</v>
      </c>
    </row>
    <row r="14" spans="1:18" s="605" customFormat="1" ht="24.75" customHeight="1" hidden="1">
      <c r="A14" s="695" t="s">
        <v>200</v>
      </c>
      <c r="B14" s="696" t="s">
        <v>201</v>
      </c>
      <c r="C14" s="720"/>
      <c r="D14" s="698">
        <f t="shared" si="2"/>
        <v>0</v>
      </c>
      <c r="E14" s="698">
        <f t="shared" si="1"/>
        <v>0</v>
      </c>
      <c r="F14" s="699" t="e">
        <f t="shared" si="3"/>
        <v>#DIV/0!</v>
      </c>
      <c r="G14" s="705"/>
      <c r="H14" s="722"/>
      <c r="I14" s="706"/>
      <c r="J14" s="703"/>
      <c r="K14" s="698"/>
      <c r="L14" s="704"/>
      <c r="M14" s="705"/>
      <c r="N14" s="705"/>
      <c r="O14" s="706"/>
      <c r="P14" s="720"/>
      <c r="Q14" s="700"/>
      <c r="R14" s="702" t="e">
        <f t="shared" si="4"/>
        <v>#DIV/0!</v>
      </c>
    </row>
    <row r="15" spans="1:18" s="605" customFormat="1" ht="48.75" hidden="1" thickTop="1">
      <c r="A15" s="695" t="s">
        <v>202</v>
      </c>
      <c r="B15" s="696" t="s">
        <v>203</v>
      </c>
      <c r="C15" s="720"/>
      <c r="D15" s="698">
        <f t="shared" si="2"/>
        <v>0</v>
      </c>
      <c r="E15" s="698">
        <f t="shared" si="1"/>
        <v>0</v>
      </c>
      <c r="F15" s="699" t="e">
        <f t="shared" si="3"/>
        <v>#DIV/0!</v>
      </c>
      <c r="G15" s="705"/>
      <c r="H15" s="722"/>
      <c r="I15" s="706"/>
      <c r="J15" s="703"/>
      <c r="K15" s="698"/>
      <c r="L15" s="704"/>
      <c r="M15" s="705"/>
      <c r="N15" s="705"/>
      <c r="O15" s="706"/>
      <c r="P15" s="720"/>
      <c r="Q15" s="700"/>
      <c r="R15" s="702" t="e">
        <f t="shared" si="4"/>
        <v>#DIV/0!</v>
      </c>
    </row>
    <row r="16" spans="1:18" s="605" customFormat="1" ht="24.75" hidden="1" thickTop="1">
      <c r="A16" s="695" t="s">
        <v>204</v>
      </c>
      <c r="B16" s="696" t="s">
        <v>205</v>
      </c>
      <c r="C16" s="720"/>
      <c r="D16" s="698">
        <f t="shared" si="2"/>
        <v>0</v>
      </c>
      <c r="E16" s="698">
        <f t="shared" si="1"/>
        <v>0</v>
      </c>
      <c r="F16" s="699" t="e">
        <f t="shared" si="3"/>
        <v>#DIV/0!</v>
      </c>
      <c r="G16" s="705"/>
      <c r="H16" s="722"/>
      <c r="I16" s="706"/>
      <c r="J16" s="703"/>
      <c r="K16" s="698"/>
      <c r="L16" s="704"/>
      <c r="M16" s="705"/>
      <c r="N16" s="705"/>
      <c r="O16" s="706"/>
      <c r="P16" s="720"/>
      <c r="Q16" s="700"/>
      <c r="R16" s="702" t="e">
        <f t="shared" si="4"/>
        <v>#DIV/0!</v>
      </c>
    </row>
    <row r="17" spans="1:18" ht="36.75" hidden="1" thickTop="1">
      <c r="A17" s="695" t="s">
        <v>206</v>
      </c>
      <c r="B17" s="696" t="s">
        <v>207</v>
      </c>
      <c r="C17" s="720"/>
      <c r="D17" s="698">
        <f t="shared" si="2"/>
        <v>0</v>
      </c>
      <c r="E17" s="698">
        <f t="shared" si="1"/>
        <v>0</v>
      </c>
      <c r="F17" s="699" t="e">
        <f t="shared" si="3"/>
        <v>#DIV/0!</v>
      </c>
      <c r="G17" s="705"/>
      <c r="H17" s="722"/>
      <c r="I17" s="706"/>
      <c r="J17" s="703"/>
      <c r="K17" s="698"/>
      <c r="L17" s="704"/>
      <c r="M17" s="705"/>
      <c r="N17" s="705"/>
      <c r="O17" s="706"/>
      <c r="P17" s="720"/>
      <c r="Q17" s="700"/>
      <c r="R17" s="702" t="e">
        <f t="shared" si="4"/>
        <v>#DIV/0!</v>
      </c>
    </row>
    <row r="18" spans="1:18" ht="24.75" hidden="1" thickTop="1">
      <c r="A18" s="695" t="s">
        <v>208</v>
      </c>
      <c r="B18" s="696" t="s">
        <v>209</v>
      </c>
      <c r="C18" s="720"/>
      <c r="D18" s="698">
        <f t="shared" si="2"/>
        <v>0</v>
      </c>
      <c r="E18" s="698">
        <f t="shared" si="1"/>
        <v>0</v>
      </c>
      <c r="F18" s="699" t="e">
        <f t="shared" si="3"/>
        <v>#DIV/0!</v>
      </c>
      <c r="G18" s="705"/>
      <c r="H18" s="722"/>
      <c r="I18" s="706"/>
      <c r="J18" s="703"/>
      <c r="K18" s="698"/>
      <c r="L18" s="704"/>
      <c r="M18" s="705"/>
      <c r="N18" s="705"/>
      <c r="O18" s="706"/>
      <c r="P18" s="720"/>
      <c r="Q18" s="700"/>
      <c r="R18" s="702" t="e">
        <f t="shared" si="4"/>
        <v>#DIV/0!</v>
      </c>
    </row>
    <row r="19" spans="1:18" ht="24.75" hidden="1" thickTop="1">
      <c r="A19" s="695" t="s">
        <v>210</v>
      </c>
      <c r="B19" s="696" t="s">
        <v>211</v>
      </c>
      <c r="C19" s="720"/>
      <c r="D19" s="698">
        <f t="shared" si="2"/>
        <v>0</v>
      </c>
      <c r="E19" s="698">
        <f t="shared" si="1"/>
        <v>0</v>
      </c>
      <c r="F19" s="699" t="e">
        <f t="shared" si="3"/>
        <v>#DIV/0!</v>
      </c>
      <c r="G19" s="705"/>
      <c r="H19" s="722"/>
      <c r="I19" s="706"/>
      <c r="J19" s="703"/>
      <c r="K19" s="698"/>
      <c r="L19" s="704"/>
      <c r="M19" s="705"/>
      <c r="N19" s="705"/>
      <c r="O19" s="706"/>
      <c r="P19" s="720"/>
      <c r="Q19" s="700"/>
      <c r="R19" s="702" t="e">
        <f t="shared" si="4"/>
        <v>#DIV/0!</v>
      </c>
    </row>
    <row r="20" spans="1:18" ht="36.75" hidden="1" thickTop="1">
      <c r="A20" s="695" t="s">
        <v>212</v>
      </c>
      <c r="B20" s="696" t="s">
        <v>213</v>
      </c>
      <c r="C20" s="720"/>
      <c r="D20" s="698">
        <f t="shared" si="2"/>
        <v>0</v>
      </c>
      <c r="E20" s="698">
        <f t="shared" si="1"/>
        <v>0</v>
      </c>
      <c r="F20" s="699" t="e">
        <f t="shared" si="3"/>
        <v>#DIV/0!</v>
      </c>
      <c r="G20" s="705"/>
      <c r="H20" s="722"/>
      <c r="I20" s="706"/>
      <c r="J20" s="703"/>
      <c r="K20" s="698"/>
      <c r="L20" s="704"/>
      <c r="M20" s="705"/>
      <c r="N20" s="705"/>
      <c r="O20" s="706"/>
      <c r="P20" s="720"/>
      <c r="Q20" s="700"/>
      <c r="R20" s="702" t="e">
        <f t="shared" si="4"/>
        <v>#DIV/0!</v>
      </c>
    </row>
    <row r="21" spans="1:18" ht="13.5" hidden="1" thickTop="1">
      <c r="A21" s="695" t="s">
        <v>214</v>
      </c>
      <c r="B21" s="696" t="s">
        <v>215</v>
      </c>
      <c r="C21" s="720"/>
      <c r="D21" s="698">
        <f t="shared" si="2"/>
        <v>0</v>
      </c>
      <c r="E21" s="698">
        <f t="shared" si="1"/>
        <v>0</v>
      </c>
      <c r="F21" s="699" t="e">
        <f t="shared" si="3"/>
        <v>#DIV/0!</v>
      </c>
      <c r="G21" s="705"/>
      <c r="H21" s="722"/>
      <c r="I21" s="706"/>
      <c r="J21" s="703"/>
      <c r="K21" s="698"/>
      <c r="L21" s="704"/>
      <c r="M21" s="705"/>
      <c r="N21" s="705"/>
      <c r="O21" s="706"/>
      <c r="P21" s="720"/>
      <c r="Q21" s="700"/>
      <c r="R21" s="702" t="e">
        <f t="shared" si="4"/>
        <v>#DIV/0!</v>
      </c>
    </row>
    <row r="22" spans="1:18" ht="24.75" hidden="1" thickTop="1">
      <c r="A22" s="695" t="s">
        <v>216</v>
      </c>
      <c r="B22" s="696" t="s">
        <v>217</v>
      </c>
      <c r="C22" s="720"/>
      <c r="D22" s="698">
        <f t="shared" si="2"/>
        <v>0</v>
      </c>
      <c r="E22" s="698">
        <f t="shared" si="1"/>
        <v>0</v>
      </c>
      <c r="F22" s="699" t="e">
        <f t="shared" si="3"/>
        <v>#DIV/0!</v>
      </c>
      <c r="G22" s="705"/>
      <c r="H22" s="722"/>
      <c r="I22" s="706"/>
      <c r="J22" s="703"/>
      <c r="K22" s="698"/>
      <c r="L22" s="704"/>
      <c r="M22" s="705"/>
      <c r="N22" s="705"/>
      <c r="O22" s="706"/>
      <c r="P22" s="720"/>
      <c r="Q22" s="700"/>
      <c r="R22" s="702" t="e">
        <f t="shared" si="4"/>
        <v>#DIV/0!</v>
      </c>
    </row>
    <row r="23" spans="1:18" ht="24.75" hidden="1" thickTop="1">
      <c r="A23" s="695" t="s">
        <v>218</v>
      </c>
      <c r="B23" s="696" t="s">
        <v>219</v>
      </c>
      <c r="C23" s="720"/>
      <c r="D23" s="698">
        <f t="shared" si="2"/>
        <v>0</v>
      </c>
      <c r="E23" s="698">
        <f t="shared" si="1"/>
        <v>0</v>
      </c>
      <c r="F23" s="699" t="e">
        <f t="shared" si="3"/>
        <v>#DIV/0!</v>
      </c>
      <c r="G23" s="705"/>
      <c r="H23" s="722"/>
      <c r="I23" s="706"/>
      <c r="J23" s="703"/>
      <c r="K23" s="698"/>
      <c r="L23" s="704"/>
      <c r="M23" s="705"/>
      <c r="N23" s="705"/>
      <c r="O23" s="706"/>
      <c r="P23" s="720"/>
      <c r="Q23" s="700"/>
      <c r="R23" s="702" t="e">
        <f t="shared" si="4"/>
        <v>#DIV/0!</v>
      </c>
    </row>
    <row r="24" spans="1:18" ht="24.75" hidden="1" thickTop="1">
      <c r="A24" s="695" t="s">
        <v>192</v>
      </c>
      <c r="B24" s="696" t="s">
        <v>193</v>
      </c>
      <c r="C24" s="720"/>
      <c r="D24" s="698">
        <f t="shared" si="2"/>
        <v>0</v>
      </c>
      <c r="E24" s="698">
        <f t="shared" si="1"/>
        <v>0</v>
      </c>
      <c r="F24" s="699" t="e">
        <f t="shared" si="3"/>
        <v>#DIV/0!</v>
      </c>
      <c r="G24" s="705"/>
      <c r="H24" s="722"/>
      <c r="I24" s="706"/>
      <c r="J24" s="703"/>
      <c r="K24" s="698"/>
      <c r="L24" s="704"/>
      <c r="M24" s="705"/>
      <c r="N24" s="705"/>
      <c r="O24" s="706"/>
      <c r="P24" s="720"/>
      <c r="Q24" s="700"/>
      <c r="R24" s="702" t="e">
        <f t="shared" si="4"/>
        <v>#DIV/0!</v>
      </c>
    </row>
    <row r="25" spans="1:18" ht="13.5" hidden="1" thickTop="1">
      <c r="A25" s="695" t="s">
        <v>220</v>
      </c>
      <c r="B25" s="696" t="s">
        <v>221</v>
      </c>
      <c r="C25" s="720"/>
      <c r="D25" s="698">
        <f t="shared" si="2"/>
        <v>0</v>
      </c>
      <c r="E25" s="698">
        <f t="shared" si="1"/>
        <v>0</v>
      </c>
      <c r="F25" s="699" t="e">
        <f t="shared" si="3"/>
        <v>#DIV/0!</v>
      </c>
      <c r="G25" s="705"/>
      <c r="H25" s="722"/>
      <c r="I25" s="706"/>
      <c r="J25" s="703"/>
      <c r="K25" s="698"/>
      <c r="L25" s="704"/>
      <c r="M25" s="705"/>
      <c r="N25" s="705"/>
      <c r="O25" s="706"/>
      <c r="P25" s="720"/>
      <c r="Q25" s="700"/>
      <c r="R25" s="702" t="e">
        <f t="shared" si="4"/>
        <v>#DIV/0!</v>
      </c>
    </row>
    <row r="26" spans="1:18" ht="13.5" hidden="1" thickTop="1">
      <c r="A26" s="695" t="s">
        <v>222</v>
      </c>
      <c r="B26" s="696" t="s">
        <v>223</v>
      </c>
      <c r="C26" s="720"/>
      <c r="D26" s="698">
        <f t="shared" si="2"/>
        <v>0</v>
      </c>
      <c r="E26" s="698">
        <f t="shared" si="1"/>
        <v>0</v>
      </c>
      <c r="F26" s="699" t="e">
        <f t="shared" si="3"/>
        <v>#DIV/0!</v>
      </c>
      <c r="G26" s="705"/>
      <c r="H26" s="722"/>
      <c r="I26" s="706"/>
      <c r="J26" s="703"/>
      <c r="K26" s="698"/>
      <c r="L26" s="704"/>
      <c r="M26" s="705"/>
      <c r="N26" s="705"/>
      <c r="O26" s="706"/>
      <c r="P26" s="720"/>
      <c r="Q26" s="700"/>
      <c r="R26" s="702" t="e">
        <f t="shared" si="4"/>
        <v>#DIV/0!</v>
      </c>
    </row>
    <row r="27" spans="1:18" ht="24.75" hidden="1" thickTop="1">
      <c r="A27" s="695" t="s">
        <v>224</v>
      </c>
      <c r="B27" s="696" t="s">
        <v>225</v>
      </c>
      <c r="C27" s="720"/>
      <c r="D27" s="698">
        <f t="shared" si="2"/>
        <v>0</v>
      </c>
      <c r="E27" s="698">
        <f t="shared" si="1"/>
        <v>0</v>
      </c>
      <c r="F27" s="699" t="e">
        <f t="shared" si="3"/>
        <v>#DIV/0!</v>
      </c>
      <c r="G27" s="705"/>
      <c r="H27" s="722"/>
      <c r="I27" s="706"/>
      <c r="J27" s="703"/>
      <c r="K27" s="698"/>
      <c r="L27" s="704"/>
      <c r="M27" s="705"/>
      <c r="N27" s="705"/>
      <c r="O27" s="706"/>
      <c r="P27" s="720"/>
      <c r="Q27" s="700"/>
      <c r="R27" s="702" t="e">
        <f t="shared" si="4"/>
        <v>#DIV/0!</v>
      </c>
    </row>
    <row r="28" spans="1:18" ht="36.75" hidden="1" thickTop="1">
      <c r="A28" s="695" t="s">
        <v>226</v>
      </c>
      <c r="B28" s="696" t="s">
        <v>227</v>
      </c>
      <c r="C28" s="720"/>
      <c r="D28" s="698">
        <f t="shared" si="2"/>
        <v>0</v>
      </c>
      <c r="E28" s="698">
        <f t="shared" si="1"/>
        <v>0</v>
      </c>
      <c r="F28" s="699" t="e">
        <f t="shared" si="3"/>
        <v>#DIV/0!</v>
      </c>
      <c r="G28" s="705"/>
      <c r="H28" s="722"/>
      <c r="I28" s="706"/>
      <c r="J28" s="703"/>
      <c r="K28" s="698"/>
      <c r="L28" s="704"/>
      <c r="M28" s="705"/>
      <c r="N28" s="705"/>
      <c r="O28" s="706"/>
      <c r="P28" s="720"/>
      <c r="Q28" s="700"/>
      <c r="R28" s="702" t="e">
        <f t="shared" si="4"/>
        <v>#DIV/0!</v>
      </c>
    </row>
    <row r="29" spans="1:18" s="682" customFormat="1" ht="14.25" customHeight="1" thickTop="1">
      <c r="A29" s="708" t="s">
        <v>228</v>
      </c>
      <c r="B29" s="709" t="s">
        <v>229</v>
      </c>
      <c r="C29" s="725">
        <f>SUM(C30:C30)</f>
        <v>3000</v>
      </c>
      <c r="D29" s="712">
        <f t="shared" si="2"/>
        <v>3000</v>
      </c>
      <c r="E29" s="712">
        <f>H29+K29+Q29+N29</f>
        <v>2530</v>
      </c>
      <c r="F29" s="726">
        <f t="shared" si="3"/>
        <v>84.33333333333334</v>
      </c>
      <c r="G29" s="727">
        <f>SUM(G30:G30)</f>
        <v>3000</v>
      </c>
      <c r="H29" s="712">
        <f>SUM(H30:H30)</f>
        <v>2530</v>
      </c>
      <c r="I29" s="719">
        <f>H29/G29*100</f>
        <v>84.33333333333334</v>
      </c>
      <c r="J29" s="717"/>
      <c r="K29" s="712"/>
      <c r="L29" s="718"/>
      <c r="M29" s="714"/>
      <c r="N29" s="714"/>
      <c r="O29" s="728"/>
      <c r="P29" s="710"/>
      <c r="Q29" s="711"/>
      <c r="R29" s="729"/>
    </row>
    <row r="30" spans="1:18" ht="54.75" customHeight="1">
      <c r="A30" s="730" t="s">
        <v>230</v>
      </c>
      <c r="B30" s="731" t="s">
        <v>231</v>
      </c>
      <c r="C30" s="723">
        <v>3000</v>
      </c>
      <c r="D30" s="732">
        <f t="shared" si="2"/>
        <v>3000</v>
      </c>
      <c r="E30" s="732">
        <f>SUM(H30+K30+N30+Q30)</f>
        <v>2530</v>
      </c>
      <c r="F30" s="733">
        <f t="shared" si="3"/>
        <v>84.33333333333334</v>
      </c>
      <c r="G30" s="734">
        <v>3000</v>
      </c>
      <c r="H30" s="732">
        <v>2530</v>
      </c>
      <c r="I30" s="707">
        <f>H30/G30*100</f>
        <v>84.33333333333334</v>
      </c>
      <c r="J30" s="735"/>
      <c r="K30" s="732"/>
      <c r="L30" s="736"/>
      <c r="M30" s="737"/>
      <c r="N30" s="737"/>
      <c r="O30" s="738"/>
      <c r="P30" s="739"/>
      <c r="Q30" s="724"/>
      <c r="R30" s="740"/>
    </row>
    <row r="31" spans="1:18" ht="12.75" customHeight="1">
      <c r="A31" s="708" t="s">
        <v>232</v>
      </c>
      <c r="B31" s="709" t="s">
        <v>233</v>
      </c>
      <c r="C31" s="725"/>
      <c r="D31" s="712">
        <f t="shared" si="2"/>
        <v>36053.18</v>
      </c>
      <c r="E31" s="712">
        <f>SUM(H31+K31+N31+Q31)</f>
        <v>25138</v>
      </c>
      <c r="F31" s="726">
        <f>E31/D31*100</f>
        <v>69.72477878511687</v>
      </c>
      <c r="G31" s="727">
        <f>SUM(G33:G34)</f>
        <v>10915</v>
      </c>
      <c r="H31" s="712">
        <f>SUM(H33:H34)</f>
        <v>0</v>
      </c>
      <c r="I31" s="741">
        <f>H31/G31*100</f>
        <v>0</v>
      </c>
      <c r="J31" s="717">
        <f>SUM(J32:J34)</f>
        <v>25138.18</v>
      </c>
      <c r="K31" s="712">
        <f>SUM(K32:K34)</f>
        <v>25138</v>
      </c>
      <c r="L31" s="742">
        <f>K31/J31*100</f>
        <v>99.99928395770895</v>
      </c>
      <c r="M31" s="714"/>
      <c r="N31" s="714"/>
      <c r="O31" s="728"/>
      <c r="P31" s="710"/>
      <c r="Q31" s="711"/>
      <c r="R31" s="729"/>
    </row>
    <row r="32" spans="1:18" ht="24">
      <c r="A32" s="695" t="s">
        <v>210</v>
      </c>
      <c r="B32" s="696" t="s">
        <v>211</v>
      </c>
      <c r="C32" s="720"/>
      <c r="D32" s="732">
        <f t="shared" si="2"/>
        <v>250</v>
      </c>
      <c r="E32" s="732">
        <f>SUM(H32+K32+N32+Q32)</f>
        <v>250</v>
      </c>
      <c r="F32" s="733">
        <f>E32/D32*100</f>
        <v>100</v>
      </c>
      <c r="G32" s="743"/>
      <c r="H32" s="698"/>
      <c r="I32" s="744"/>
      <c r="J32" s="703">
        <v>250</v>
      </c>
      <c r="K32" s="698">
        <v>250</v>
      </c>
      <c r="L32" s="745">
        <f>K32/J32*100</f>
        <v>100</v>
      </c>
      <c r="M32" s="705"/>
      <c r="N32" s="705"/>
      <c r="O32" s="706"/>
      <c r="P32" s="697"/>
      <c r="Q32" s="700"/>
      <c r="R32" s="746"/>
    </row>
    <row r="33" spans="1:18" s="605" customFormat="1" ht="12.75">
      <c r="A33" s="695" t="s">
        <v>220</v>
      </c>
      <c r="B33" s="696" t="s">
        <v>221</v>
      </c>
      <c r="C33" s="720"/>
      <c r="D33" s="698">
        <f t="shared" si="2"/>
        <v>35560.28</v>
      </c>
      <c r="E33" s="698">
        <f>SUM(H33+K33+N33+Q33)</f>
        <v>24645</v>
      </c>
      <c r="F33" s="747">
        <f>E33/D33*100</f>
        <v>69.30485361757557</v>
      </c>
      <c r="G33" s="700">
        <v>10915</v>
      </c>
      <c r="H33" s="698"/>
      <c r="I33" s="744">
        <f>H33/G33*100</f>
        <v>0</v>
      </c>
      <c r="J33" s="703">
        <f>2093.67+11637.29+10914.32</f>
        <v>24645.28</v>
      </c>
      <c r="K33" s="698">
        <f>13731+10914</f>
        <v>24645</v>
      </c>
      <c r="L33" s="745">
        <f>K33/J33*100</f>
        <v>99.99886387981796</v>
      </c>
      <c r="M33" s="705"/>
      <c r="N33" s="705"/>
      <c r="O33" s="706"/>
      <c r="P33" s="697"/>
      <c r="Q33" s="700"/>
      <c r="R33" s="746"/>
    </row>
    <row r="34" spans="1:18" s="605" customFormat="1" ht="50.25" customHeight="1" thickBot="1">
      <c r="A34" s="695" t="s">
        <v>234</v>
      </c>
      <c r="B34" s="696" t="s">
        <v>235</v>
      </c>
      <c r="C34" s="720"/>
      <c r="D34" s="698">
        <f t="shared" si="2"/>
        <v>242.9</v>
      </c>
      <c r="E34" s="698">
        <f>SUM(H34+K34+N34+Q34)</f>
        <v>243</v>
      </c>
      <c r="F34" s="747">
        <f>E34/D34*100</f>
        <v>100.04116920543433</v>
      </c>
      <c r="G34" s="743"/>
      <c r="H34" s="748"/>
      <c r="I34" s="702"/>
      <c r="J34" s="703">
        <f>41.87+201.03</f>
        <v>242.9</v>
      </c>
      <c r="K34" s="698">
        <v>243</v>
      </c>
      <c r="L34" s="745">
        <f>K34/J34*100</f>
        <v>100.04116920543433</v>
      </c>
      <c r="M34" s="705"/>
      <c r="N34" s="705"/>
      <c r="O34" s="706"/>
      <c r="P34" s="697"/>
      <c r="Q34" s="700"/>
      <c r="R34" s="746"/>
    </row>
    <row r="35" spans="1:20" s="756" customFormat="1" ht="15.75" customHeight="1" thickBot="1" thickTop="1">
      <c r="A35" s="749">
        <v>500</v>
      </c>
      <c r="B35" s="750" t="s">
        <v>237</v>
      </c>
      <c r="C35" s="751">
        <f>C36</f>
        <v>194000</v>
      </c>
      <c r="D35" s="674">
        <f t="shared" si="2"/>
        <v>194000</v>
      </c>
      <c r="E35" s="674">
        <f>H35+K35+Q35+N35</f>
        <v>188441</v>
      </c>
      <c r="F35" s="675">
        <f t="shared" si="3"/>
        <v>97.13453608247423</v>
      </c>
      <c r="G35" s="674">
        <f>G36</f>
        <v>194000</v>
      </c>
      <c r="H35" s="674">
        <f>H36</f>
        <v>188441</v>
      </c>
      <c r="I35" s="752">
        <f aca="true" t="shared" si="5" ref="I35:I49">H35/G35*100</f>
        <v>97.13453608247423</v>
      </c>
      <c r="J35" s="678"/>
      <c r="K35" s="674"/>
      <c r="L35" s="753"/>
      <c r="M35" s="674"/>
      <c r="N35" s="674"/>
      <c r="O35" s="754"/>
      <c r="P35" s="673"/>
      <c r="Q35" s="676"/>
      <c r="R35" s="755"/>
      <c r="S35" s="682"/>
      <c r="T35" s="682"/>
    </row>
    <row r="36" spans="1:20" s="756" customFormat="1" ht="18" customHeight="1" thickTop="1">
      <c r="A36" s="757">
        <v>50095</v>
      </c>
      <c r="B36" s="758" t="s">
        <v>233</v>
      </c>
      <c r="C36" s="725">
        <f>SUM(C37:C42)</f>
        <v>194000</v>
      </c>
      <c r="D36" s="759">
        <f t="shared" si="2"/>
        <v>194000</v>
      </c>
      <c r="E36" s="712">
        <f>SUM(E37:E42)</f>
        <v>188441</v>
      </c>
      <c r="F36" s="760">
        <f t="shared" si="3"/>
        <v>97.13453608247423</v>
      </c>
      <c r="G36" s="712">
        <f>SUM(G37:G42)</f>
        <v>194000</v>
      </c>
      <c r="H36" s="712">
        <f>SUM(H37:H42)</f>
        <v>188441</v>
      </c>
      <c r="I36" s="761">
        <f t="shared" si="5"/>
        <v>97.13453608247423</v>
      </c>
      <c r="J36" s="717"/>
      <c r="K36" s="712"/>
      <c r="L36" s="718"/>
      <c r="M36" s="712"/>
      <c r="N36" s="712"/>
      <c r="O36" s="762"/>
      <c r="P36" s="710"/>
      <c r="Q36" s="711"/>
      <c r="R36" s="763"/>
      <c r="S36" s="682"/>
      <c r="T36" s="682"/>
    </row>
    <row r="37" spans="1:20" s="649" customFormat="1" ht="24">
      <c r="A37" s="764">
        <v>4210</v>
      </c>
      <c r="B37" s="765" t="s">
        <v>211</v>
      </c>
      <c r="C37" s="720">
        <v>3000</v>
      </c>
      <c r="D37" s="698">
        <f t="shared" si="2"/>
        <v>3000</v>
      </c>
      <c r="E37" s="698">
        <f aca="true" t="shared" si="6" ref="E37:E42">SUM(H37+K37+N37+Q37)</f>
        <v>2032</v>
      </c>
      <c r="F37" s="699">
        <f t="shared" si="3"/>
        <v>67.73333333333333</v>
      </c>
      <c r="G37" s="723">
        <v>3000</v>
      </c>
      <c r="H37" s="732">
        <v>2032</v>
      </c>
      <c r="I37" s="744">
        <f t="shared" si="5"/>
        <v>67.73333333333333</v>
      </c>
      <c r="J37" s="703"/>
      <c r="K37" s="698"/>
      <c r="L37" s="704"/>
      <c r="M37" s="698"/>
      <c r="N37" s="698"/>
      <c r="O37" s="766"/>
      <c r="P37" s="697"/>
      <c r="Q37" s="700"/>
      <c r="R37" s="767"/>
      <c r="S37" s="648"/>
      <c r="T37" s="648"/>
    </row>
    <row r="38" spans="1:20" s="649" customFormat="1" ht="14.25" customHeight="1">
      <c r="A38" s="764">
        <v>4260</v>
      </c>
      <c r="B38" s="765" t="s">
        <v>215</v>
      </c>
      <c r="C38" s="720">
        <v>4000</v>
      </c>
      <c r="D38" s="698">
        <f t="shared" si="2"/>
        <v>4000</v>
      </c>
      <c r="E38" s="698">
        <f t="shared" si="6"/>
        <v>665</v>
      </c>
      <c r="F38" s="699">
        <f t="shared" si="3"/>
        <v>16.625</v>
      </c>
      <c r="G38" s="720">
        <v>4000</v>
      </c>
      <c r="H38" s="698">
        <v>665</v>
      </c>
      <c r="I38" s="744">
        <f t="shared" si="5"/>
        <v>16.625</v>
      </c>
      <c r="J38" s="703"/>
      <c r="K38" s="698"/>
      <c r="L38" s="704"/>
      <c r="M38" s="698"/>
      <c r="N38" s="698"/>
      <c r="O38" s="766"/>
      <c r="P38" s="697"/>
      <c r="Q38" s="700"/>
      <c r="R38" s="767"/>
      <c r="S38" s="648"/>
      <c r="T38" s="648"/>
    </row>
    <row r="39" spans="1:20" s="649" customFormat="1" ht="14.25" customHeight="1">
      <c r="A39" s="764">
        <v>4270</v>
      </c>
      <c r="B39" s="765" t="s">
        <v>217</v>
      </c>
      <c r="C39" s="720">
        <v>25000</v>
      </c>
      <c r="D39" s="698">
        <f t="shared" si="2"/>
        <v>25000</v>
      </c>
      <c r="E39" s="698">
        <f t="shared" si="6"/>
        <v>24931</v>
      </c>
      <c r="F39" s="699">
        <f>E39/D39*100</f>
        <v>99.724</v>
      </c>
      <c r="G39" s="720">
        <v>25000</v>
      </c>
      <c r="H39" s="698">
        <v>24931</v>
      </c>
      <c r="I39" s="744">
        <f t="shared" si="5"/>
        <v>99.724</v>
      </c>
      <c r="J39" s="703"/>
      <c r="K39" s="698"/>
      <c r="L39" s="704"/>
      <c r="M39" s="698"/>
      <c r="N39" s="698"/>
      <c r="O39" s="766"/>
      <c r="P39" s="697"/>
      <c r="Q39" s="700"/>
      <c r="R39" s="767"/>
      <c r="S39" s="648"/>
      <c r="T39" s="648"/>
    </row>
    <row r="40" spans="1:20" s="649" customFormat="1" ht="14.25" customHeight="1">
      <c r="A40" s="764">
        <v>4300</v>
      </c>
      <c r="B40" s="768" t="s">
        <v>219</v>
      </c>
      <c r="C40" s="720">
        <v>142000</v>
      </c>
      <c r="D40" s="698">
        <f t="shared" si="2"/>
        <v>142000</v>
      </c>
      <c r="E40" s="698">
        <f t="shared" si="6"/>
        <v>141854</v>
      </c>
      <c r="F40" s="699">
        <f>E40/D40*100</f>
        <v>99.89718309859154</v>
      </c>
      <c r="G40" s="720">
        <v>142000</v>
      </c>
      <c r="H40" s="698">
        <v>141854</v>
      </c>
      <c r="I40" s="744">
        <f t="shared" si="5"/>
        <v>99.89718309859154</v>
      </c>
      <c r="J40" s="703"/>
      <c r="K40" s="698"/>
      <c r="L40" s="704"/>
      <c r="M40" s="698"/>
      <c r="N40" s="698"/>
      <c r="O40" s="766"/>
      <c r="P40" s="697"/>
      <c r="Q40" s="700"/>
      <c r="R40" s="767"/>
      <c r="S40" s="648"/>
      <c r="T40" s="648"/>
    </row>
    <row r="41" spans="1:20" s="649" customFormat="1" ht="36.75" customHeight="1">
      <c r="A41" s="764">
        <v>6060</v>
      </c>
      <c r="B41" s="768" t="s">
        <v>593</v>
      </c>
      <c r="C41" s="720"/>
      <c r="D41" s="698">
        <f>G41+J41+P41+M41</f>
        <v>11500</v>
      </c>
      <c r="E41" s="698">
        <f t="shared" si="6"/>
        <v>10812</v>
      </c>
      <c r="F41" s="699">
        <f>E41/D41*100</f>
        <v>94.01739130434783</v>
      </c>
      <c r="G41" s="720">
        <v>11500</v>
      </c>
      <c r="H41" s="698">
        <v>10812</v>
      </c>
      <c r="I41" s="744">
        <f t="shared" si="5"/>
        <v>94.01739130434783</v>
      </c>
      <c r="J41" s="703"/>
      <c r="K41" s="698"/>
      <c r="L41" s="704"/>
      <c r="M41" s="698"/>
      <c r="N41" s="698"/>
      <c r="O41" s="766"/>
      <c r="P41" s="697"/>
      <c r="Q41" s="700"/>
      <c r="R41" s="767"/>
      <c r="S41" s="648"/>
      <c r="T41" s="648"/>
    </row>
    <row r="42" spans="1:20" s="649" customFormat="1" ht="25.5" customHeight="1" thickBot="1">
      <c r="A42" s="764">
        <v>6050</v>
      </c>
      <c r="B42" s="768" t="s">
        <v>275</v>
      </c>
      <c r="C42" s="720">
        <v>20000</v>
      </c>
      <c r="D42" s="698">
        <f t="shared" si="2"/>
        <v>8500</v>
      </c>
      <c r="E42" s="698">
        <f t="shared" si="6"/>
        <v>8147</v>
      </c>
      <c r="F42" s="699">
        <f t="shared" si="3"/>
        <v>95.84705882352941</v>
      </c>
      <c r="G42" s="769">
        <f>20000-11500</f>
        <v>8500</v>
      </c>
      <c r="H42" s="748">
        <v>8147</v>
      </c>
      <c r="I42" s="744">
        <f t="shared" si="5"/>
        <v>95.84705882352941</v>
      </c>
      <c r="J42" s="703"/>
      <c r="K42" s="698"/>
      <c r="L42" s="704"/>
      <c r="M42" s="698"/>
      <c r="N42" s="698"/>
      <c r="O42" s="766"/>
      <c r="P42" s="720"/>
      <c r="Q42" s="698"/>
      <c r="R42" s="770"/>
      <c r="S42" s="648"/>
      <c r="T42" s="648"/>
    </row>
    <row r="43" spans="1:20" s="756" customFormat="1" ht="21" customHeight="1" thickBot="1" thickTop="1">
      <c r="A43" s="749">
        <v>600</v>
      </c>
      <c r="B43" s="750" t="s">
        <v>238</v>
      </c>
      <c r="C43" s="751">
        <f>SUM(C47+C50+C93+C123+C129+C131)+C44</f>
        <v>59388900</v>
      </c>
      <c r="D43" s="674">
        <f t="shared" si="2"/>
        <v>51949920</v>
      </c>
      <c r="E43" s="674">
        <f t="shared" si="2"/>
        <v>47427914</v>
      </c>
      <c r="F43" s="771">
        <f t="shared" si="3"/>
        <v>91.2954514655653</v>
      </c>
      <c r="G43" s="674">
        <f>SUM(G93+G131+G50)+G47+G123+G129+G44</f>
        <v>28563920</v>
      </c>
      <c r="H43" s="674">
        <f>SUM(H93+H131+H50)+H47+H123+H129+H44</f>
        <v>26387790</v>
      </c>
      <c r="I43" s="752">
        <f t="shared" si="5"/>
        <v>92.38154286946609</v>
      </c>
      <c r="J43" s="678"/>
      <c r="K43" s="674"/>
      <c r="L43" s="753"/>
      <c r="M43" s="674">
        <f>SUM(M93+M131+M50)</f>
        <v>23386000</v>
      </c>
      <c r="N43" s="674">
        <f>SUM(N93+N131+N50)</f>
        <v>21040124</v>
      </c>
      <c r="O43" s="772">
        <f>N43/M43*100</f>
        <v>89.96888736851108</v>
      </c>
      <c r="P43" s="751"/>
      <c r="Q43" s="674"/>
      <c r="R43" s="773"/>
      <c r="S43" s="682"/>
      <c r="T43" s="682"/>
    </row>
    <row r="44" spans="1:20" s="756" customFormat="1" ht="13.5" thickTop="1">
      <c r="A44" s="774">
        <v>60002</v>
      </c>
      <c r="B44" s="775" t="s">
        <v>288</v>
      </c>
      <c r="C44" s="776">
        <f>SUM(C45)</f>
        <v>100000</v>
      </c>
      <c r="D44" s="777">
        <f aca="true" t="shared" si="7" ref="D44:E75">G44+J44+P44+M44</f>
        <v>330000</v>
      </c>
      <c r="E44" s="777">
        <f t="shared" si="7"/>
        <v>205204</v>
      </c>
      <c r="F44" s="747">
        <f t="shared" si="3"/>
        <v>62.18303030303031</v>
      </c>
      <c r="G44" s="777">
        <f>SUM(G45:G46)</f>
        <v>330000</v>
      </c>
      <c r="H44" s="777">
        <f>SUM(H45:H46)</f>
        <v>205204</v>
      </c>
      <c r="I44" s="744">
        <f t="shared" si="5"/>
        <v>62.18303030303031</v>
      </c>
      <c r="J44" s="778"/>
      <c r="K44" s="777"/>
      <c r="L44" s="779"/>
      <c r="M44" s="780"/>
      <c r="N44" s="781"/>
      <c r="O44" s="782"/>
      <c r="P44" s="776"/>
      <c r="Q44" s="777"/>
      <c r="R44" s="783"/>
      <c r="S44" s="682"/>
      <c r="T44" s="682"/>
    </row>
    <row r="45" spans="1:18" ht="63.75" customHeight="1">
      <c r="A45" s="784">
        <v>2710</v>
      </c>
      <c r="B45" s="785" t="s">
        <v>564</v>
      </c>
      <c r="C45" s="723">
        <v>100000</v>
      </c>
      <c r="D45" s="732">
        <f t="shared" si="7"/>
        <v>330000</v>
      </c>
      <c r="E45" s="732">
        <f t="shared" si="7"/>
        <v>205204</v>
      </c>
      <c r="F45" s="721">
        <f>E45/D45*100</f>
        <v>62.18303030303031</v>
      </c>
      <c r="G45" s="732">
        <f>100000+230000</f>
        <v>330000</v>
      </c>
      <c r="H45" s="732">
        <v>205204</v>
      </c>
      <c r="I45" s="786">
        <f t="shared" si="5"/>
        <v>62.18303030303031</v>
      </c>
      <c r="J45" s="735"/>
      <c r="K45" s="732"/>
      <c r="L45" s="736"/>
      <c r="M45" s="787"/>
      <c r="N45" s="732"/>
      <c r="O45" s="707"/>
      <c r="P45" s="723"/>
      <c r="Q45" s="732"/>
      <c r="R45" s="788"/>
    </row>
    <row r="46" spans="1:20" s="756" customFormat="1" ht="28.5" customHeight="1" hidden="1">
      <c r="A46" s="789">
        <v>6050</v>
      </c>
      <c r="B46" s="790" t="s">
        <v>246</v>
      </c>
      <c r="C46" s="791"/>
      <c r="D46" s="792">
        <f t="shared" si="7"/>
        <v>0</v>
      </c>
      <c r="E46" s="792">
        <f t="shared" si="7"/>
        <v>0</v>
      </c>
      <c r="F46" s="760" t="e">
        <f t="shared" si="3"/>
        <v>#DIV/0!</v>
      </c>
      <c r="G46" s="792"/>
      <c r="H46" s="792"/>
      <c r="I46" s="761" t="e">
        <f t="shared" si="5"/>
        <v>#DIV/0!</v>
      </c>
      <c r="J46" s="793"/>
      <c r="K46" s="792"/>
      <c r="L46" s="794"/>
      <c r="M46" s="795"/>
      <c r="N46" s="792"/>
      <c r="O46" s="796"/>
      <c r="P46" s="791"/>
      <c r="Q46" s="792"/>
      <c r="R46" s="797"/>
      <c r="S46" s="682"/>
      <c r="T46" s="682"/>
    </row>
    <row r="47" spans="1:20" s="756" customFormat="1" ht="27" customHeight="1">
      <c r="A47" s="757">
        <v>60004</v>
      </c>
      <c r="B47" s="798" t="s">
        <v>239</v>
      </c>
      <c r="C47" s="725">
        <f>SUM(C48:C49)</f>
        <v>8100000</v>
      </c>
      <c r="D47" s="712">
        <f t="shared" si="7"/>
        <v>8956070</v>
      </c>
      <c r="E47" s="712">
        <f t="shared" si="7"/>
        <v>8956070</v>
      </c>
      <c r="F47" s="726">
        <f>E47/D47*100</f>
        <v>100</v>
      </c>
      <c r="G47" s="712">
        <f>SUM(G48:G49)</f>
        <v>8956070</v>
      </c>
      <c r="H47" s="712">
        <f>SUM(H48:H49)</f>
        <v>8956070</v>
      </c>
      <c r="I47" s="741">
        <f t="shared" si="5"/>
        <v>100</v>
      </c>
      <c r="J47" s="717"/>
      <c r="K47" s="711"/>
      <c r="L47" s="799"/>
      <c r="M47" s="800"/>
      <c r="N47" s="712"/>
      <c r="O47" s="801"/>
      <c r="P47" s="725"/>
      <c r="Q47" s="712"/>
      <c r="R47" s="802"/>
      <c r="S47" s="682"/>
      <c r="T47" s="682"/>
    </row>
    <row r="48" spans="1:18" ht="15.75" customHeight="1">
      <c r="A48" s="784">
        <v>4300</v>
      </c>
      <c r="B48" s="785" t="s">
        <v>219</v>
      </c>
      <c r="C48" s="723">
        <v>6100000</v>
      </c>
      <c r="D48" s="732">
        <f t="shared" si="7"/>
        <v>6956070</v>
      </c>
      <c r="E48" s="732">
        <f t="shared" si="7"/>
        <v>6956070</v>
      </c>
      <c r="F48" s="786">
        <f>E48/D48*100</f>
        <v>100</v>
      </c>
      <c r="G48" s="732">
        <f>6100000+856000+70</f>
        <v>6956070</v>
      </c>
      <c r="H48" s="735">
        <v>6956070</v>
      </c>
      <c r="I48" s="786">
        <f t="shared" si="5"/>
        <v>100</v>
      </c>
      <c r="J48" s="735"/>
      <c r="K48" s="724"/>
      <c r="L48" s="707"/>
      <c r="M48" s="787"/>
      <c r="N48" s="732"/>
      <c r="O48" s="803"/>
      <c r="P48" s="723"/>
      <c r="Q48" s="732"/>
      <c r="R48" s="788"/>
    </row>
    <row r="49" spans="1:18" ht="53.25" customHeight="1">
      <c r="A49" s="789">
        <v>6010</v>
      </c>
      <c r="B49" s="804" t="s">
        <v>240</v>
      </c>
      <c r="C49" s="791">
        <v>2000000</v>
      </c>
      <c r="D49" s="792">
        <f t="shared" si="7"/>
        <v>2000000</v>
      </c>
      <c r="E49" s="792">
        <f t="shared" si="7"/>
        <v>2000000</v>
      </c>
      <c r="F49" s="761">
        <f>E49/D49*100</f>
        <v>100</v>
      </c>
      <c r="G49" s="792">
        <v>2000000</v>
      </c>
      <c r="H49" s="793">
        <v>2000000</v>
      </c>
      <c r="I49" s="761">
        <f t="shared" si="5"/>
        <v>100</v>
      </c>
      <c r="J49" s="793"/>
      <c r="K49" s="805"/>
      <c r="L49" s="796"/>
      <c r="M49" s="795"/>
      <c r="N49" s="792"/>
      <c r="O49" s="806"/>
      <c r="P49" s="791"/>
      <c r="Q49" s="792"/>
      <c r="R49" s="797"/>
    </row>
    <row r="50" spans="1:20" s="756" customFormat="1" ht="39" customHeight="1">
      <c r="A50" s="757">
        <v>60015</v>
      </c>
      <c r="B50" s="758" t="s">
        <v>241</v>
      </c>
      <c r="C50" s="710">
        <f>SUM(C51:C61)+SUM(C89:C92)</f>
        <v>28972000</v>
      </c>
      <c r="D50" s="712">
        <f t="shared" si="7"/>
        <v>23386000</v>
      </c>
      <c r="E50" s="712">
        <f t="shared" si="7"/>
        <v>21040124</v>
      </c>
      <c r="F50" s="726">
        <f t="shared" si="3"/>
        <v>89.96888736851108</v>
      </c>
      <c r="G50" s="711"/>
      <c r="H50" s="807"/>
      <c r="I50" s="808"/>
      <c r="J50" s="807"/>
      <c r="K50" s="711"/>
      <c r="L50" s="799"/>
      <c r="M50" s="727">
        <f>SUM(M51:M61)+SUM(M89:M92)</f>
        <v>23386000</v>
      </c>
      <c r="N50" s="711">
        <f>SUM(N51:N61)+SUM(N89:N92)</f>
        <v>21040124</v>
      </c>
      <c r="O50" s="799">
        <f aca="true" t="shared" si="8" ref="O50:O92">N50/M50*100</f>
        <v>89.96888736851108</v>
      </c>
      <c r="P50" s="710"/>
      <c r="Q50" s="711"/>
      <c r="R50" s="729"/>
      <c r="S50" s="682"/>
      <c r="T50" s="682"/>
    </row>
    <row r="51" spans="1:18" ht="26.25" customHeight="1">
      <c r="A51" s="764">
        <v>4110</v>
      </c>
      <c r="B51" s="765" t="s">
        <v>207</v>
      </c>
      <c r="C51" s="720"/>
      <c r="D51" s="698">
        <f t="shared" si="7"/>
        <v>530</v>
      </c>
      <c r="E51" s="698">
        <f aca="true" t="shared" si="9" ref="E51:E114">SUM(H51+K51+N51+Q51)</f>
        <v>529</v>
      </c>
      <c r="F51" s="699">
        <f t="shared" si="3"/>
        <v>99.81132075471699</v>
      </c>
      <c r="G51" s="700"/>
      <c r="H51" s="701"/>
      <c r="I51" s="809"/>
      <c r="J51" s="701"/>
      <c r="K51" s="700"/>
      <c r="L51" s="702"/>
      <c r="M51" s="810">
        <v>530</v>
      </c>
      <c r="N51" s="700">
        <f>528+1</f>
        <v>529</v>
      </c>
      <c r="O51" s="744">
        <f t="shared" si="8"/>
        <v>99.81132075471699</v>
      </c>
      <c r="P51" s="697"/>
      <c r="Q51" s="700"/>
      <c r="R51" s="767"/>
    </row>
    <row r="52" spans="1:18" ht="12.75">
      <c r="A52" s="764">
        <v>4120</v>
      </c>
      <c r="B52" s="765" t="s">
        <v>584</v>
      </c>
      <c r="C52" s="720"/>
      <c r="D52" s="698">
        <f t="shared" si="7"/>
        <v>90</v>
      </c>
      <c r="E52" s="698">
        <f t="shared" si="9"/>
        <v>86</v>
      </c>
      <c r="F52" s="699">
        <f>E52/D52*100</f>
        <v>95.55555555555556</v>
      </c>
      <c r="G52" s="700"/>
      <c r="H52" s="701"/>
      <c r="I52" s="809"/>
      <c r="J52" s="701"/>
      <c r="K52" s="700"/>
      <c r="L52" s="702"/>
      <c r="M52" s="810">
        <v>90</v>
      </c>
      <c r="N52" s="700">
        <v>86</v>
      </c>
      <c r="O52" s="744">
        <f t="shared" si="8"/>
        <v>95.55555555555556</v>
      </c>
      <c r="P52" s="697"/>
      <c r="Q52" s="700"/>
      <c r="R52" s="767"/>
    </row>
    <row r="53" spans="1:18" ht="24">
      <c r="A53" s="764">
        <v>4170</v>
      </c>
      <c r="B53" s="765" t="s">
        <v>242</v>
      </c>
      <c r="C53" s="720"/>
      <c r="D53" s="698">
        <f t="shared" si="7"/>
        <v>3500</v>
      </c>
      <c r="E53" s="698">
        <f t="shared" si="9"/>
        <v>3500</v>
      </c>
      <c r="F53" s="699">
        <f>E53/D53*100</f>
        <v>100</v>
      </c>
      <c r="G53" s="700"/>
      <c r="H53" s="701"/>
      <c r="I53" s="809"/>
      <c r="J53" s="701"/>
      <c r="K53" s="700"/>
      <c r="L53" s="702"/>
      <c r="M53" s="810">
        <v>3500</v>
      </c>
      <c r="N53" s="700">
        <v>3500</v>
      </c>
      <c r="O53" s="744">
        <f t="shared" si="8"/>
        <v>100</v>
      </c>
      <c r="P53" s="697"/>
      <c r="Q53" s="700"/>
      <c r="R53" s="767"/>
    </row>
    <row r="54" spans="1:18" ht="24">
      <c r="A54" s="764">
        <v>4210</v>
      </c>
      <c r="B54" s="765" t="s">
        <v>211</v>
      </c>
      <c r="C54" s="720">
        <v>51000</v>
      </c>
      <c r="D54" s="698">
        <f t="shared" si="7"/>
        <v>25700</v>
      </c>
      <c r="E54" s="698">
        <f t="shared" si="9"/>
        <v>25648</v>
      </c>
      <c r="F54" s="699">
        <f>E54/D54*100</f>
        <v>99.7976653696498</v>
      </c>
      <c r="G54" s="700"/>
      <c r="H54" s="701"/>
      <c r="I54" s="809"/>
      <c r="J54" s="701"/>
      <c r="K54" s="700"/>
      <c r="L54" s="702"/>
      <c r="M54" s="810">
        <f>51000-25300</f>
        <v>25700</v>
      </c>
      <c r="N54" s="700">
        <v>25648</v>
      </c>
      <c r="O54" s="744">
        <f t="shared" si="8"/>
        <v>99.7976653696498</v>
      </c>
      <c r="P54" s="697"/>
      <c r="Q54" s="700"/>
      <c r="R54" s="767"/>
    </row>
    <row r="55" spans="1:18" ht="15.75" customHeight="1">
      <c r="A55" s="764">
        <v>4260</v>
      </c>
      <c r="B55" s="765" t="s">
        <v>215</v>
      </c>
      <c r="C55" s="720">
        <v>67000</v>
      </c>
      <c r="D55" s="698">
        <f t="shared" si="7"/>
        <v>69300</v>
      </c>
      <c r="E55" s="698">
        <f t="shared" si="9"/>
        <v>69126</v>
      </c>
      <c r="F55" s="699">
        <f t="shared" si="3"/>
        <v>99.74891774891775</v>
      </c>
      <c r="G55" s="700"/>
      <c r="H55" s="701"/>
      <c r="I55" s="809"/>
      <c r="J55" s="701"/>
      <c r="K55" s="700"/>
      <c r="L55" s="702"/>
      <c r="M55" s="810">
        <f>67000+2300</f>
        <v>69300</v>
      </c>
      <c r="N55" s="700">
        <v>69126</v>
      </c>
      <c r="O55" s="744">
        <f t="shared" si="8"/>
        <v>99.74891774891775</v>
      </c>
      <c r="P55" s="697"/>
      <c r="Q55" s="700"/>
      <c r="R55" s="767"/>
    </row>
    <row r="56" spans="1:18" ht="15.75" customHeight="1">
      <c r="A56" s="764">
        <v>4270</v>
      </c>
      <c r="B56" s="768" t="s">
        <v>217</v>
      </c>
      <c r="C56" s="720">
        <v>670000</v>
      </c>
      <c r="D56" s="698">
        <f t="shared" si="7"/>
        <v>1038580</v>
      </c>
      <c r="E56" s="698">
        <f t="shared" si="9"/>
        <v>994911</v>
      </c>
      <c r="F56" s="699">
        <f t="shared" si="3"/>
        <v>95.79531668239328</v>
      </c>
      <c r="G56" s="698"/>
      <c r="H56" s="703"/>
      <c r="I56" s="766"/>
      <c r="J56" s="703"/>
      <c r="K56" s="698"/>
      <c r="L56" s="704"/>
      <c r="M56" s="810">
        <f>670000-3500-620-35000+200000+200000+7700</f>
        <v>1038580</v>
      </c>
      <c r="N56" s="698">
        <v>994911</v>
      </c>
      <c r="O56" s="744">
        <f t="shared" si="8"/>
        <v>95.79531668239328</v>
      </c>
      <c r="P56" s="720"/>
      <c r="Q56" s="698"/>
      <c r="R56" s="767"/>
    </row>
    <row r="57" spans="1:18" ht="15.75" customHeight="1">
      <c r="A57" s="764">
        <v>4300</v>
      </c>
      <c r="B57" s="768" t="s">
        <v>219</v>
      </c>
      <c r="C57" s="720">
        <v>21000</v>
      </c>
      <c r="D57" s="698">
        <f t="shared" si="7"/>
        <v>88700</v>
      </c>
      <c r="E57" s="698">
        <f t="shared" si="9"/>
        <v>88645</v>
      </c>
      <c r="F57" s="699">
        <f t="shared" si="3"/>
        <v>99.9379932356257</v>
      </c>
      <c r="G57" s="698"/>
      <c r="H57" s="703"/>
      <c r="I57" s="766"/>
      <c r="J57" s="703"/>
      <c r="K57" s="698"/>
      <c r="L57" s="704"/>
      <c r="M57" s="810">
        <f>21000+50000+17700</f>
        <v>88700</v>
      </c>
      <c r="N57" s="698">
        <v>88645</v>
      </c>
      <c r="O57" s="744">
        <f t="shared" si="8"/>
        <v>99.9379932356257</v>
      </c>
      <c r="P57" s="720"/>
      <c r="Q57" s="698"/>
      <c r="R57" s="767"/>
    </row>
    <row r="58" spans="1:18" ht="39.75" customHeight="1">
      <c r="A58" s="764">
        <v>4390</v>
      </c>
      <c r="B58" s="768" t="s">
        <v>243</v>
      </c>
      <c r="C58" s="720">
        <v>3000</v>
      </c>
      <c r="D58" s="698">
        <f t="shared" si="7"/>
        <v>35600</v>
      </c>
      <c r="E58" s="698">
        <f>SUM(H58+K58+N58+Q58)</f>
        <v>35502</v>
      </c>
      <c r="F58" s="699">
        <f>E58/D58*100</f>
        <v>99.7247191011236</v>
      </c>
      <c r="G58" s="698"/>
      <c r="H58" s="703"/>
      <c r="I58" s="766"/>
      <c r="J58" s="703"/>
      <c r="K58" s="698"/>
      <c r="L58" s="704"/>
      <c r="M58" s="810">
        <f>3000+35000-2400</f>
        <v>35600</v>
      </c>
      <c r="N58" s="698">
        <v>35502</v>
      </c>
      <c r="O58" s="744">
        <f t="shared" si="8"/>
        <v>99.7247191011236</v>
      </c>
      <c r="P58" s="720"/>
      <c r="Q58" s="698"/>
      <c r="R58" s="767"/>
    </row>
    <row r="59" spans="1:18" ht="12.75" hidden="1">
      <c r="A59" s="764">
        <v>4580</v>
      </c>
      <c r="B59" s="768" t="s">
        <v>244</v>
      </c>
      <c r="C59" s="720"/>
      <c r="D59" s="698">
        <f t="shared" si="7"/>
        <v>0</v>
      </c>
      <c r="E59" s="698">
        <f>SUM(H59+K59+N59+Q59)</f>
        <v>0</v>
      </c>
      <c r="F59" s="699" t="e">
        <f>E59/D59*100</f>
        <v>#DIV/0!</v>
      </c>
      <c r="G59" s="698"/>
      <c r="H59" s="703"/>
      <c r="I59" s="766"/>
      <c r="J59" s="703"/>
      <c r="K59" s="698"/>
      <c r="L59" s="704"/>
      <c r="M59" s="810"/>
      <c r="N59" s="698"/>
      <c r="O59" s="744" t="e">
        <f t="shared" si="8"/>
        <v>#DIV/0!</v>
      </c>
      <c r="P59" s="720"/>
      <c r="Q59" s="698"/>
      <c r="R59" s="767"/>
    </row>
    <row r="60" spans="1:18" ht="60" hidden="1">
      <c r="A60" s="764">
        <v>4600</v>
      </c>
      <c r="B60" s="768" t="s">
        <v>578</v>
      </c>
      <c r="C60" s="720"/>
      <c r="D60" s="698">
        <f t="shared" si="7"/>
        <v>0</v>
      </c>
      <c r="E60" s="698">
        <f>SUM(H60+K60+N60+Q60)</f>
        <v>0</v>
      </c>
      <c r="F60" s="699" t="e">
        <f>E60/D60*100</f>
        <v>#DIV/0!</v>
      </c>
      <c r="G60" s="698"/>
      <c r="H60" s="703"/>
      <c r="I60" s="766"/>
      <c r="J60" s="703"/>
      <c r="K60" s="698"/>
      <c r="L60" s="704"/>
      <c r="M60" s="810"/>
      <c r="N60" s="698"/>
      <c r="O60" s="744" t="e">
        <f t="shared" si="8"/>
        <v>#DIV/0!</v>
      </c>
      <c r="P60" s="720"/>
      <c r="Q60" s="698"/>
      <c r="R60" s="767"/>
    </row>
    <row r="61" spans="1:18" ht="26.25" customHeight="1">
      <c r="A61" s="764">
        <v>6050</v>
      </c>
      <c r="B61" s="768" t="s">
        <v>246</v>
      </c>
      <c r="C61" s="720">
        <f>SUM(C62:C86)</f>
        <v>28160000</v>
      </c>
      <c r="D61" s="698">
        <f t="shared" si="7"/>
        <v>22124000</v>
      </c>
      <c r="E61" s="698">
        <f t="shared" si="9"/>
        <v>19822177</v>
      </c>
      <c r="F61" s="699">
        <f t="shared" si="3"/>
        <v>89.5958099801121</v>
      </c>
      <c r="G61" s="698"/>
      <c r="H61" s="703"/>
      <c r="I61" s="766"/>
      <c r="J61" s="703"/>
      <c r="K61" s="698"/>
      <c r="L61" s="704"/>
      <c r="M61" s="810">
        <f>SUM(M62:M86)</f>
        <v>22124000</v>
      </c>
      <c r="N61" s="698">
        <f>SUM(N62:N86)</f>
        <v>19822177</v>
      </c>
      <c r="O61" s="744">
        <f t="shared" si="8"/>
        <v>89.5958099801121</v>
      </c>
      <c r="P61" s="720"/>
      <c r="Q61" s="698"/>
      <c r="R61" s="746"/>
    </row>
    <row r="62" spans="1:20" s="818" customFormat="1" ht="24" hidden="1">
      <c r="A62" s="811"/>
      <c r="B62" s="812" t="s">
        <v>247</v>
      </c>
      <c r="C62" s="813"/>
      <c r="D62" s="814">
        <f t="shared" si="7"/>
        <v>0</v>
      </c>
      <c r="E62" s="814">
        <f t="shared" si="9"/>
        <v>0</v>
      </c>
      <c r="F62" s="699" t="e">
        <f t="shared" si="3"/>
        <v>#DIV/0!</v>
      </c>
      <c r="G62" s="814"/>
      <c r="H62" s="815"/>
      <c r="I62" s="704"/>
      <c r="J62" s="815"/>
      <c r="K62" s="814"/>
      <c r="L62" s="704"/>
      <c r="M62" s="816"/>
      <c r="N62" s="814"/>
      <c r="O62" s="744" t="e">
        <f t="shared" si="8"/>
        <v>#DIV/0!</v>
      </c>
      <c r="P62" s="813"/>
      <c r="Q62" s="814"/>
      <c r="R62" s="746"/>
      <c r="S62" s="817"/>
      <c r="T62" s="817"/>
    </row>
    <row r="63" spans="1:20" s="818" customFormat="1" ht="24">
      <c r="A63" s="811"/>
      <c r="B63" s="812" t="s">
        <v>248</v>
      </c>
      <c r="C63" s="813">
        <v>70000</v>
      </c>
      <c r="D63" s="814">
        <f t="shared" si="7"/>
        <v>61000</v>
      </c>
      <c r="E63" s="814">
        <f t="shared" si="9"/>
        <v>60618</v>
      </c>
      <c r="F63" s="699">
        <f t="shared" si="3"/>
        <v>99.37377049180328</v>
      </c>
      <c r="G63" s="814"/>
      <c r="H63" s="815"/>
      <c r="I63" s="704"/>
      <c r="J63" s="815"/>
      <c r="K63" s="814"/>
      <c r="L63" s="704"/>
      <c r="M63" s="816">
        <f>70000-9000</f>
        <v>61000</v>
      </c>
      <c r="N63" s="814">
        <v>60618</v>
      </c>
      <c r="O63" s="744">
        <f t="shared" si="8"/>
        <v>99.37377049180328</v>
      </c>
      <c r="P63" s="813"/>
      <c r="Q63" s="814"/>
      <c r="R63" s="746"/>
      <c r="S63" s="817"/>
      <c r="T63" s="817"/>
    </row>
    <row r="64" spans="1:20" s="818" customFormat="1" ht="36">
      <c r="A64" s="811"/>
      <c r="B64" s="812" t="s">
        <v>780</v>
      </c>
      <c r="C64" s="813"/>
      <c r="D64" s="814">
        <f t="shared" si="7"/>
        <v>100000</v>
      </c>
      <c r="E64" s="814">
        <f t="shared" si="9"/>
        <v>100000</v>
      </c>
      <c r="F64" s="699">
        <f t="shared" si="3"/>
        <v>100</v>
      </c>
      <c r="G64" s="814"/>
      <c r="H64" s="815"/>
      <c r="I64" s="704"/>
      <c r="J64" s="815"/>
      <c r="K64" s="814"/>
      <c r="L64" s="704"/>
      <c r="M64" s="816">
        <f>400000-300000</f>
        <v>100000</v>
      </c>
      <c r="N64" s="814">
        <v>100000</v>
      </c>
      <c r="O64" s="744">
        <f t="shared" si="8"/>
        <v>100</v>
      </c>
      <c r="P64" s="813"/>
      <c r="Q64" s="814"/>
      <c r="R64" s="746"/>
      <c r="S64" s="817"/>
      <c r="T64" s="817"/>
    </row>
    <row r="65" spans="1:20" s="818" customFormat="1" ht="12.75">
      <c r="A65" s="811"/>
      <c r="B65" s="812" t="s">
        <v>289</v>
      </c>
      <c r="C65" s="813">
        <v>300000</v>
      </c>
      <c r="D65" s="814">
        <f t="shared" si="7"/>
        <v>0</v>
      </c>
      <c r="E65" s="814">
        <f>SUM(H65+K65+N65+Q65)</f>
        <v>0</v>
      </c>
      <c r="F65" s="699"/>
      <c r="G65" s="814"/>
      <c r="H65" s="815"/>
      <c r="I65" s="704"/>
      <c r="J65" s="815"/>
      <c r="K65" s="814"/>
      <c r="L65" s="704"/>
      <c r="M65" s="816">
        <f>300000-200000-100000</f>
        <v>0</v>
      </c>
      <c r="N65" s="814"/>
      <c r="O65" s="702"/>
      <c r="P65" s="813"/>
      <c r="Q65" s="814"/>
      <c r="R65" s="746"/>
      <c r="S65" s="817"/>
      <c r="T65" s="817"/>
    </row>
    <row r="66" spans="1:20" s="818" customFormat="1" ht="48" hidden="1">
      <c r="A66" s="811"/>
      <c r="B66" s="812" t="s">
        <v>249</v>
      </c>
      <c r="C66" s="813"/>
      <c r="D66" s="814">
        <f t="shared" si="7"/>
        <v>0</v>
      </c>
      <c r="E66" s="814">
        <f t="shared" si="9"/>
        <v>0</v>
      </c>
      <c r="F66" s="699" t="e">
        <f>E66/D66*100</f>
        <v>#DIV/0!</v>
      </c>
      <c r="G66" s="814"/>
      <c r="H66" s="815"/>
      <c r="I66" s="704"/>
      <c r="J66" s="815"/>
      <c r="K66" s="814"/>
      <c r="L66" s="704"/>
      <c r="M66" s="816"/>
      <c r="N66" s="814"/>
      <c r="O66" s="702" t="e">
        <f t="shared" si="8"/>
        <v>#DIV/0!</v>
      </c>
      <c r="P66" s="813"/>
      <c r="Q66" s="814"/>
      <c r="R66" s="746"/>
      <c r="S66" s="817"/>
      <c r="T66" s="817"/>
    </row>
    <row r="67" spans="1:20" s="818" customFormat="1" ht="36" hidden="1">
      <c r="A67" s="811"/>
      <c r="B67" s="812" t="s">
        <v>250</v>
      </c>
      <c r="C67" s="813"/>
      <c r="D67" s="814">
        <f t="shared" si="7"/>
        <v>0</v>
      </c>
      <c r="E67" s="814">
        <f t="shared" si="9"/>
        <v>0</v>
      </c>
      <c r="F67" s="699" t="e">
        <f aca="true" t="shared" si="10" ref="F67:F93">E67/D67*100</f>
        <v>#DIV/0!</v>
      </c>
      <c r="G67" s="814"/>
      <c r="H67" s="815"/>
      <c r="I67" s="704"/>
      <c r="J67" s="815"/>
      <c r="K67" s="814"/>
      <c r="L67" s="704"/>
      <c r="M67" s="816"/>
      <c r="N67" s="814"/>
      <c r="O67" s="702"/>
      <c r="P67" s="813"/>
      <c r="Q67" s="814"/>
      <c r="R67" s="746"/>
      <c r="S67" s="817"/>
      <c r="T67" s="817"/>
    </row>
    <row r="68" spans="1:20" s="818" customFormat="1" ht="36" hidden="1">
      <c r="A68" s="811"/>
      <c r="B68" s="812" t="s">
        <v>251</v>
      </c>
      <c r="C68" s="813"/>
      <c r="D68" s="814">
        <f t="shared" si="7"/>
        <v>0</v>
      </c>
      <c r="E68" s="814">
        <f>SUM(H68+K68+N68+Q68)</f>
        <v>0</v>
      </c>
      <c r="F68" s="699" t="e">
        <f>E68/D68*100</f>
        <v>#DIV/0!</v>
      </c>
      <c r="G68" s="814"/>
      <c r="H68" s="815"/>
      <c r="I68" s="704"/>
      <c r="J68" s="815"/>
      <c r="K68" s="814"/>
      <c r="L68" s="704"/>
      <c r="M68" s="816"/>
      <c r="N68" s="814"/>
      <c r="O68" s="702" t="e">
        <f t="shared" si="8"/>
        <v>#DIV/0!</v>
      </c>
      <c r="P68" s="813"/>
      <c r="Q68" s="814"/>
      <c r="R68" s="746"/>
      <c r="S68" s="817"/>
      <c r="T68" s="817"/>
    </row>
    <row r="69" spans="1:20" s="818" customFormat="1" ht="12.75">
      <c r="A69" s="811"/>
      <c r="B69" s="812" t="s">
        <v>252</v>
      </c>
      <c r="C69" s="813">
        <v>3900000</v>
      </c>
      <c r="D69" s="814">
        <f t="shared" si="7"/>
        <v>3550000</v>
      </c>
      <c r="E69" s="814">
        <f t="shared" si="9"/>
        <v>3475024</v>
      </c>
      <c r="F69" s="699">
        <f t="shared" si="10"/>
        <v>97.88799999999999</v>
      </c>
      <c r="G69" s="814"/>
      <c r="H69" s="815"/>
      <c r="I69" s="704"/>
      <c r="J69" s="815"/>
      <c r="K69" s="814"/>
      <c r="L69" s="704"/>
      <c r="M69" s="816">
        <f>3900000-300000-50000</f>
        <v>3550000</v>
      </c>
      <c r="N69" s="814">
        <v>3475024</v>
      </c>
      <c r="O69" s="702">
        <f t="shared" si="8"/>
        <v>97.88799999999999</v>
      </c>
      <c r="P69" s="813"/>
      <c r="Q69" s="814"/>
      <c r="R69" s="746"/>
      <c r="S69" s="817"/>
      <c r="T69" s="817"/>
    </row>
    <row r="70" spans="1:20" s="818" customFormat="1" ht="12.75">
      <c r="A70" s="811"/>
      <c r="B70" s="812" t="s">
        <v>781</v>
      </c>
      <c r="C70" s="813">
        <v>10000000</v>
      </c>
      <c r="D70" s="814">
        <f t="shared" si="7"/>
        <v>8500000</v>
      </c>
      <c r="E70" s="814">
        <f t="shared" si="9"/>
        <v>8186457</v>
      </c>
      <c r="F70" s="699">
        <f t="shared" si="10"/>
        <v>96.31125882352941</v>
      </c>
      <c r="G70" s="814"/>
      <c r="H70" s="815"/>
      <c r="I70" s="704"/>
      <c r="J70" s="815"/>
      <c r="K70" s="814"/>
      <c r="L70" s="704"/>
      <c r="M70" s="816">
        <f>10000000-1500000</f>
        <v>8500000</v>
      </c>
      <c r="N70" s="814">
        <v>8186457</v>
      </c>
      <c r="O70" s="702">
        <f t="shared" si="8"/>
        <v>96.31125882352941</v>
      </c>
      <c r="P70" s="813"/>
      <c r="Q70" s="814"/>
      <c r="R70" s="746"/>
      <c r="S70" s="817"/>
      <c r="T70" s="817"/>
    </row>
    <row r="71" spans="1:20" s="818" customFormat="1" ht="12.75" hidden="1">
      <c r="A71" s="811"/>
      <c r="B71" s="812" t="s">
        <v>253</v>
      </c>
      <c r="C71" s="813"/>
      <c r="D71" s="814">
        <f t="shared" si="7"/>
        <v>0</v>
      </c>
      <c r="E71" s="814">
        <f t="shared" si="9"/>
        <v>0</v>
      </c>
      <c r="F71" s="699" t="e">
        <f t="shared" si="10"/>
        <v>#DIV/0!</v>
      </c>
      <c r="G71" s="814"/>
      <c r="H71" s="815"/>
      <c r="I71" s="704"/>
      <c r="J71" s="815"/>
      <c r="K71" s="814"/>
      <c r="L71" s="704"/>
      <c r="M71" s="816"/>
      <c r="N71" s="814"/>
      <c r="O71" s="702" t="e">
        <f t="shared" si="8"/>
        <v>#DIV/0!</v>
      </c>
      <c r="P71" s="813"/>
      <c r="Q71" s="814"/>
      <c r="R71" s="746"/>
      <c r="S71" s="817"/>
      <c r="T71" s="817"/>
    </row>
    <row r="72" spans="1:20" s="818" customFormat="1" ht="24" hidden="1">
      <c r="A72" s="811"/>
      <c r="B72" s="812" t="s">
        <v>254</v>
      </c>
      <c r="C72" s="813"/>
      <c r="D72" s="814">
        <f t="shared" si="7"/>
        <v>0</v>
      </c>
      <c r="E72" s="814">
        <f t="shared" si="9"/>
        <v>0</v>
      </c>
      <c r="F72" s="699" t="e">
        <f t="shared" si="10"/>
        <v>#DIV/0!</v>
      </c>
      <c r="G72" s="814"/>
      <c r="H72" s="815"/>
      <c r="I72" s="704"/>
      <c r="J72" s="815"/>
      <c r="K72" s="814"/>
      <c r="L72" s="704"/>
      <c r="M72" s="816"/>
      <c r="N72" s="814"/>
      <c r="O72" s="702"/>
      <c r="P72" s="813"/>
      <c r="Q72" s="814"/>
      <c r="R72" s="746"/>
      <c r="S72" s="817"/>
      <c r="T72" s="817"/>
    </row>
    <row r="73" spans="1:20" s="818" customFormat="1" ht="36" hidden="1">
      <c r="A73" s="811"/>
      <c r="B73" s="812" t="s">
        <v>290</v>
      </c>
      <c r="C73" s="813"/>
      <c r="D73" s="814">
        <f t="shared" si="7"/>
        <v>0</v>
      </c>
      <c r="E73" s="814">
        <f>SUM(H73+K73+N73+Q73)</f>
        <v>0</v>
      </c>
      <c r="F73" s="699" t="e">
        <f>E73/D73*100</f>
        <v>#DIV/0!</v>
      </c>
      <c r="G73" s="814"/>
      <c r="H73" s="815"/>
      <c r="I73" s="704"/>
      <c r="J73" s="815"/>
      <c r="K73" s="814"/>
      <c r="L73" s="704"/>
      <c r="M73" s="816"/>
      <c r="N73" s="814"/>
      <c r="O73" s="702"/>
      <c r="P73" s="813"/>
      <c r="Q73" s="814"/>
      <c r="R73" s="746" t="e">
        <f>Q73/P73*100</f>
        <v>#DIV/0!</v>
      </c>
      <c r="S73" s="817"/>
      <c r="T73" s="817"/>
    </row>
    <row r="74" spans="1:20" s="818" customFormat="1" ht="36" hidden="1">
      <c r="A74" s="811"/>
      <c r="B74" s="812" t="s">
        <v>255</v>
      </c>
      <c r="C74" s="813"/>
      <c r="D74" s="814">
        <f t="shared" si="7"/>
        <v>0</v>
      </c>
      <c r="E74" s="814">
        <f t="shared" si="9"/>
        <v>0</v>
      </c>
      <c r="F74" s="699" t="e">
        <f t="shared" si="10"/>
        <v>#DIV/0!</v>
      </c>
      <c r="G74" s="814"/>
      <c r="H74" s="815"/>
      <c r="I74" s="704"/>
      <c r="J74" s="815"/>
      <c r="K74" s="814"/>
      <c r="L74" s="704"/>
      <c r="M74" s="816"/>
      <c r="N74" s="814"/>
      <c r="O74" s="702" t="e">
        <f t="shared" si="8"/>
        <v>#DIV/0!</v>
      </c>
      <c r="P74" s="813"/>
      <c r="Q74" s="814"/>
      <c r="R74" s="746"/>
      <c r="S74" s="817"/>
      <c r="T74" s="817"/>
    </row>
    <row r="75" spans="1:20" s="818" customFormat="1" ht="36">
      <c r="A75" s="811"/>
      <c r="B75" s="812" t="s">
        <v>256</v>
      </c>
      <c r="C75" s="813">
        <v>4500000</v>
      </c>
      <c r="D75" s="814">
        <f t="shared" si="7"/>
        <v>3600000</v>
      </c>
      <c r="E75" s="814">
        <f t="shared" si="9"/>
        <v>3523913</v>
      </c>
      <c r="F75" s="699">
        <f t="shared" si="10"/>
        <v>97.88647222222222</v>
      </c>
      <c r="G75" s="814"/>
      <c r="H75" s="815"/>
      <c r="I75" s="704"/>
      <c r="J75" s="815"/>
      <c r="K75" s="814"/>
      <c r="L75" s="704"/>
      <c r="M75" s="816">
        <f>4500000-900000</f>
        <v>3600000</v>
      </c>
      <c r="N75" s="814">
        <v>3523913</v>
      </c>
      <c r="O75" s="702">
        <f t="shared" si="8"/>
        <v>97.88647222222222</v>
      </c>
      <c r="P75" s="813"/>
      <c r="Q75" s="814"/>
      <c r="R75" s="746"/>
      <c r="S75" s="817"/>
      <c r="T75" s="817"/>
    </row>
    <row r="76" spans="1:20" s="818" customFormat="1" ht="60">
      <c r="A76" s="811"/>
      <c r="B76" s="812" t="s">
        <v>291</v>
      </c>
      <c r="C76" s="813">
        <v>4700000</v>
      </c>
      <c r="D76" s="814">
        <f aca="true" t="shared" si="11" ref="D76:D139">G76+J76+P76+M76</f>
        <v>2500000</v>
      </c>
      <c r="E76" s="814">
        <f t="shared" si="9"/>
        <v>2217641</v>
      </c>
      <c r="F76" s="699">
        <f>E76/D76*100</f>
        <v>88.70564</v>
      </c>
      <c r="G76" s="814"/>
      <c r="H76" s="815"/>
      <c r="I76" s="704"/>
      <c r="J76" s="815"/>
      <c r="K76" s="814"/>
      <c r="L76" s="704"/>
      <c r="M76" s="816">
        <f>4700000-1700000-500000</f>
        <v>2500000</v>
      </c>
      <c r="N76" s="814">
        <v>2217641</v>
      </c>
      <c r="O76" s="702">
        <f t="shared" si="8"/>
        <v>88.70564</v>
      </c>
      <c r="P76" s="813"/>
      <c r="Q76" s="814"/>
      <c r="R76" s="746"/>
      <c r="S76" s="817"/>
      <c r="T76" s="817"/>
    </row>
    <row r="77" spans="1:20" s="818" customFormat="1" ht="24">
      <c r="A77" s="811"/>
      <c r="B77" s="812" t="s">
        <v>257</v>
      </c>
      <c r="C77" s="813">
        <v>1600000</v>
      </c>
      <c r="D77" s="814">
        <f t="shared" si="11"/>
        <v>1300000</v>
      </c>
      <c r="E77" s="814">
        <f t="shared" si="9"/>
        <v>1028085</v>
      </c>
      <c r="F77" s="699">
        <f t="shared" si="10"/>
        <v>79.08346153846153</v>
      </c>
      <c r="G77" s="814"/>
      <c r="H77" s="815"/>
      <c r="I77" s="704"/>
      <c r="J77" s="815"/>
      <c r="K77" s="814"/>
      <c r="L77" s="704"/>
      <c r="M77" s="816">
        <f>1600000-300000</f>
        <v>1300000</v>
      </c>
      <c r="N77" s="814">
        <v>1028085</v>
      </c>
      <c r="O77" s="744">
        <f t="shared" si="8"/>
        <v>79.08346153846153</v>
      </c>
      <c r="P77" s="813"/>
      <c r="Q77" s="814"/>
      <c r="R77" s="746"/>
      <c r="S77" s="817"/>
      <c r="T77" s="817"/>
    </row>
    <row r="78" spans="1:20" s="818" customFormat="1" ht="24">
      <c r="A78" s="811"/>
      <c r="B78" s="812" t="s">
        <v>782</v>
      </c>
      <c r="C78" s="813"/>
      <c r="D78" s="814">
        <f t="shared" si="11"/>
        <v>10000</v>
      </c>
      <c r="E78" s="814">
        <f t="shared" si="9"/>
        <v>9760</v>
      </c>
      <c r="F78" s="699">
        <f t="shared" si="10"/>
        <v>97.6</v>
      </c>
      <c r="G78" s="814"/>
      <c r="H78" s="815"/>
      <c r="I78" s="704"/>
      <c r="J78" s="815"/>
      <c r="K78" s="814"/>
      <c r="L78" s="704"/>
      <c r="M78" s="816">
        <v>10000</v>
      </c>
      <c r="N78" s="814">
        <v>9760</v>
      </c>
      <c r="O78" s="744">
        <f t="shared" si="8"/>
        <v>97.6</v>
      </c>
      <c r="P78" s="813"/>
      <c r="Q78" s="814"/>
      <c r="R78" s="746"/>
      <c r="S78" s="817"/>
      <c r="T78" s="817"/>
    </row>
    <row r="79" spans="1:20" s="818" customFormat="1" ht="24">
      <c r="A79" s="811"/>
      <c r="B79" s="812" t="s">
        <v>783</v>
      </c>
      <c r="C79" s="813"/>
      <c r="D79" s="814">
        <f t="shared" si="11"/>
        <v>10000</v>
      </c>
      <c r="E79" s="814">
        <f t="shared" si="9"/>
        <v>207</v>
      </c>
      <c r="F79" s="699">
        <f t="shared" si="10"/>
        <v>2.07</v>
      </c>
      <c r="G79" s="814"/>
      <c r="H79" s="815"/>
      <c r="I79" s="704"/>
      <c r="J79" s="815"/>
      <c r="K79" s="814"/>
      <c r="L79" s="704"/>
      <c r="M79" s="816">
        <f>100000-90000</f>
        <v>10000</v>
      </c>
      <c r="N79" s="814">
        <v>207</v>
      </c>
      <c r="O79" s="744">
        <f t="shared" si="8"/>
        <v>2.07</v>
      </c>
      <c r="P79" s="813"/>
      <c r="Q79" s="814"/>
      <c r="R79" s="746"/>
      <c r="S79" s="817"/>
      <c r="T79" s="817"/>
    </row>
    <row r="80" spans="1:20" s="818" customFormat="1" ht="25.5" customHeight="1">
      <c r="A80" s="811"/>
      <c r="B80" s="812" t="s">
        <v>292</v>
      </c>
      <c r="C80" s="813">
        <v>300000</v>
      </c>
      <c r="D80" s="814">
        <f t="shared" si="11"/>
        <v>10000</v>
      </c>
      <c r="E80" s="814">
        <f t="shared" si="9"/>
        <v>6710</v>
      </c>
      <c r="F80" s="699">
        <f t="shared" si="10"/>
        <v>67.10000000000001</v>
      </c>
      <c r="G80" s="814"/>
      <c r="H80" s="815"/>
      <c r="I80" s="704"/>
      <c r="J80" s="815"/>
      <c r="K80" s="814"/>
      <c r="L80" s="704"/>
      <c r="M80" s="816">
        <f>300000-280000-10000</f>
        <v>10000</v>
      </c>
      <c r="N80" s="814">
        <v>6710</v>
      </c>
      <c r="O80" s="744">
        <f t="shared" si="8"/>
        <v>67.10000000000001</v>
      </c>
      <c r="P80" s="813"/>
      <c r="Q80" s="814"/>
      <c r="R80" s="746"/>
      <c r="S80" s="817"/>
      <c r="T80" s="817"/>
    </row>
    <row r="81" spans="1:20" s="818" customFormat="1" ht="24">
      <c r="A81" s="811"/>
      <c r="B81" s="812" t="s">
        <v>293</v>
      </c>
      <c r="C81" s="813">
        <v>50000</v>
      </c>
      <c r="D81" s="814">
        <f t="shared" si="11"/>
        <v>43000</v>
      </c>
      <c r="E81" s="814">
        <f t="shared" si="9"/>
        <v>42220</v>
      </c>
      <c r="F81" s="699">
        <f t="shared" si="10"/>
        <v>98.18604651162791</v>
      </c>
      <c r="G81" s="814"/>
      <c r="H81" s="815"/>
      <c r="I81" s="704"/>
      <c r="J81" s="815"/>
      <c r="K81" s="814"/>
      <c r="L81" s="704"/>
      <c r="M81" s="816">
        <f>50000-7000</f>
        <v>43000</v>
      </c>
      <c r="N81" s="814">
        <v>42220</v>
      </c>
      <c r="O81" s="744">
        <f t="shared" si="8"/>
        <v>98.18604651162791</v>
      </c>
      <c r="P81" s="813"/>
      <c r="Q81" s="814"/>
      <c r="R81" s="746"/>
      <c r="S81" s="817"/>
      <c r="T81" s="817"/>
    </row>
    <row r="82" spans="1:20" s="818" customFormat="1" ht="15.75" customHeight="1">
      <c r="A82" s="811"/>
      <c r="B82" s="812" t="s">
        <v>258</v>
      </c>
      <c r="C82" s="813">
        <v>300000</v>
      </c>
      <c r="D82" s="814">
        <f t="shared" si="11"/>
        <v>200000</v>
      </c>
      <c r="E82" s="814">
        <f t="shared" si="9"/>
        <v>196928</v>
      </c>
      <c r="F82" s="699">
        <f t="shared" si="10"/>
        <v>98.464</v>
      </c>
      <c r="G82" s="814"/>
      <c r="H82" s="815"/>
      <c r="I82" s="704"/>
      <c r="J82" s="815"/>
      <c r="K82" s="814"/>
      <c r="L82" s="704"/>
      <c r="M82" s="816">
        <f>300000-100000</f>
        <v>200000</v>
      </c>
      <c r="N82" s="814">
        <f>196928</f>
        <v>196928</v>
      </c>
      <c r="O82" s="744">
        <f t="shared" si="8"/>
        <v>98.464</v>
      </c>
      <c r="P82" s="813"/>
      <c r="Q82" s="814"/>
      <c r="R82" s="746"/>
      <c r="S82" s="817"/>
      <c r="T82" s="817"/>
    </row>
    <row r="83" spans="1:20" s="818" customFormat="1" ht="48">
      <c r="A83" s="811"/>
      <c r="B83" s="812" t="s">
        <v>259</v>
      </c>
      <c r="C83" s="813">
        <v>2000000</v>
      </c>
      <c r="D83" s="814">
        <f t="shared" si="11"/>
        <v>1023000</v>
      </c>
      <c r="E83" s="814">
        <f t="shared" si="9"/>
        <v>600817</v>
      </c>
      <c r="F83" s="699">
        <f t="shared" si="10"/>
        <v>58.730889540566956</v>
      </c>
      <c r="G83" s="814"/>
      <c r="H83" s="815"/>
      <c r="I83" s="704"/>
      <c r="J83" s="815"/>
      <c r="K83" s="814"/>
      <c r="L83" s="704"/>
      <c r="M83" s="816">
        <f>2000000-977000</f>
        <v>1023000</v>
      </c>
      <c r="N83" s="814">
        <v>600817</v>
      </c>
      <c r="O83" s="744">
        <f t="shared" si="8"/>
        <v>58.730889540566956</v>
      </c>
      <c r="P83" s="813"/>
      <c r="Q83" s="814"/>
      <c r="R83" s="746"/>
      <c r="S83" s="817"/>
      <c r="T83" s="817"/>
    </row>
    <row r="84" spans="1:20" s="818" customFormat="1" ht="48">
      <c r="A84" s="811"/>
      <c r="B84" s="812" t="s">
        <v>784</v>
      </c>
      <c r="C84" s="813"/>
      <c r="D84" s="814">
        <f t="shared" si="11"/>
        <v>977000</v>
      </c>
      <c r="E84" s="814">
        <f>SUM(H84+K84+N84+Q84)</f>
        <v>134200</v>
      </c>
      <c r="F84" s="699">
        <f>E84/D84*100</f>
        <v>13.735926305015353</v>
      </c>
      <c r="G84" s="814"/>
      <c r="H84" s="815"/>
      <c r="I84" s="704"/>
      <c r="J84" s="815"/>
      <c r="K84" s="814"/>
      <c r="L84" s="704"/>
      <c r="M84" s="816">
        <v>977000</v>
      </c>
      <c r="N84" s="814">
        <v>134200</v>
      </c>
      <c r="O84" s="744">
        <f t="shared" si="8"/>
        <v>13.735926305015353</v>
      </c>
      <c r="P84" s="813"/>
      <c r="Q84" s="814"/>
      <c r="R84" s="746"/>
      <c r="S84" s="817"/>
      <c r="T84" s="817"/>
    </row>
    <row r="85" spans="1:20" s="818" customFormat="1" ht="24">
      <c r="A85" s="811"/>
      <c r="B85" s="819" t="s">
        <v>294</v>
      </c>
      <c r="C85" s="813">
        <v>390000</v>
      </c>
      <c r="D85" s="814">
        <f t="shared" si="11"/>
        <v>190000</v>
      </c>
      <c r="E85" s="814">
        <f>SUM(H85+K85+N85+Q85)</f>
        <v>189597</v>
      </c>
      <c r="F85" s="699">
        <f>E85/D85*100</f>
        <v>99.7878947368421</v>
      </c>
      <c r="G85" s="814"/>
      <c r="H85" s="815"/>
      <c r="I85" s="704"/>
      <c r="J85" s="815"/>
      <c r="K85" s="814"/>
      <c r="L85" s="704"/>
      <c r="M85" s="816">
        <f>390000-200000</f>
        <v>190000</v>
      </c>
      <c r="N85" s="814">
        <v>189597</v>
      </c>
      <c r="O85" s="744">
        <f t="shared" si="8"/>
        <v>99.7878947368421</v>
      </c>
      <c r="P85" s="813"/>
      <c r="Q85" s="814"/>
      <c r="R85" s="746"/>
      <c r="S85" s="817"/>
      <c r="T85" s="817"/>
    </row>
    <row r="86" spans="1:20" s="818" customFormat="1" ht="12" customHeight="1">
      <c r="A86" s="820"/>
      <c r="B86" s="821" t="s">
        <v>273</v>
      </c>
      <c r="C86" s="822">
        <v>50000</v>
      </c>
      <c r="D86" s="823">
        <f t="shared" si="11"/>
        <v>50000</v>
      </c>
      <c r="E86" s="823">
        <f t="shared" si="9"/>
        <v>50000</v>
      </c>
      <c r="F86" s="760">
        <f t="shared" si="10"/>
        <v>100</v>
      </c>
      <c r="G86" s="823"/>
      <c r="H86" s="824"/>
      <c r="I86" s="794"/>
      <c r="J86" s="824"/>
      <c r="K86" s="823"/>
      <c r="L86" s="794"/>
      <c r="M86" s="825">
        <v>50000</v>
      </c>
      <c r="N86" s="823">
        <v>50000</v>
      </c>
      <c r="O86" s="761">
        <f t="shared" si="8"/>
        <v>100</v>
      </c>
      <c r="P86" s="822"/>
      <c r="Q86" s="823"/>
      <c r="R86" s="826"/>
      <c r="S86" s="817"/>
      <c r="T86" s="817"/>
    </row>
    <row r="87" spans="1:18" ht="48" hidden="1">
      <c r="A87" s="764">
        <v>6058</v>
      </c>
      <c r="B87" s="768" t="s">
        <v>382</v>
      </c>
      <c r="C87" s="720"/>
      <c r="D87" s="698">
        <f t="shared" si="11"/>
        <v>0</v>
      </c>
      <c r="E87" s="698">
        <f t="shared" si="9"/>
        <v>0</v>
      </c>
      <c r="F87" s="699" t="e">
        <f t="shared" si="10"/>
        <v>#DIV/0!</v>
      </c>
      <c r="G87" s="698"/>
      <c r="H87" s="703"/>
      <c r="I87" s="766"/>
      <c r="J87" s="703"/>
      <c r="K87" s="698"/>
      <c r="L87" s="704"/>
      <c r="M87" s="810"/>
      <c r="N87" s="698"/>
      <c r="O87" s="702" t="e">
        <f t="shared" si="8"/>
        <v>#DIV/0!</v>
      </c>
      <c r="P87" s="720"/>
      <c r="Q87" s="698"/>
      <c r="R87" s="767"/>
    </row>
    <row r="88" spans="1:18" ht="48" hidden="1">
      <c r="A88" s="764">
        <v>6059</v>
      </c>
      <c r="B88" s="768" t="s">
        <v>382</v>
      </c>
      <c r="C88" s="720"/>
      <c r="D88" s="698">
        <f t="shared" si="11"/>
        <v>0</v>
      </c>
      <c r="E88" s="698">
        <f t="shared" si="9"/>
        <v>0</v>
      </c>
      <c r="F88" s="699" t="e">
        <f t="shared" si="10"/>
        <v>#DIV/0!</v>
      </c>
      <c r="G88" s="698"/>
      <c r="H88" s="703"/>
      <c r="I88" s="766"/>
      <c r="J88" s="703"/>
      <c r="K88" s="698"/>
      <c r="L88" s="704"/>
      <c r="M88" s="810"/>
      <c r="N88" s="698"/>
      <c r="O88" s="702" t="e">
        <f t="shared" si="8"/>
        <v>#DIV/0!</v>
      </c>
      <c r="P88" s="720"/>
      <c r="Q88" s="698"/>
      <c r="R88" s="767"/>
    </row>
    <row r="89" spans="1:18" ht="48" hidden="1">
      <c r="A89" s="764">
        <v>6058</v>
      </c>
      <c r="B89" s="768" t="s">
        <v>260</v>
      </c>
      <c r="C89" s="720"/>
      <c r="D89" s="698">
        <f t="shared" si="11"/>
        <v>0</v>
      </c>
      <c r="E89" s="698">
        <f t="shared" si="9"/>
        <v>0</v>
      </c>
      <c r="F89" s="699" t="e">
        <f t="shared" si="10"/>
        <v>#DIV/0!</v>
      </c>
      <c r="G89" s="698"/>
      <c r="H89" s="703"/>
      <c r="I89" s="766"/>
      <c r="J89" s="703"/>
      <c r="K89" s="698"/>
      <c r="L89" s="704"/>
      <c r="M89" s="810"/>
      <c r="N89" s="698"/>
      <c r="O89" s="702" t="e">
        <f t="shared" si="8"/>
        <v>#DIV/0!</v>
      </c>
      <c r="P89" s="720"/>
      <c r="Q89" s="698"/>
      <c r="R89" s="767"/>
    </row>
    <row r="90" spans="1:18" ht="48" hidden="1">
      <c r="A90" s="764">
        <v>6059</v>
      </c>
      <c r="B90" s="768" t="s">
        <v>260</v>
      </c>
      <c r="C90" s="720"/>
      <c r="D90" s="698">
        <f t="shared" si="11"/>
        <v>0</v>
      </c>
      <c r="E90" s="698">
        <f t="shared" si="9"/>
        <v>0</v>
      </c>
      <c r="F90" s="699" t="e">
        <f t="shared" si="10"/>
        <v>#DIV/0!</v>
      </c>
      <c r="G90" s="698"/>
      <c r="H90" s="703"/>
      <c r="I90" s="766"/>
      <c r="J90" s="703"/>
      <c r="K90" s="698"/>
      <c r="L90" s="704"/>
      <c r="M90" s="810"/>
      <c r="N90" s="698"/>
      <c r="O90" s="702" t="e">
        <f t="shared" si="8"/>
        <v>#DIV/0!</v>
      </c>
      <c r="P90" s="720"/>
      <c r="Q90" s="698"/>
      <c r="R90" s="767"/>
    </row>
    <row r="91" spans="1:18" ht="48" hidden="1">
      <c r="A91" s="764">
        <v>6051</v>
      </c>
      <c r="B91" s="768" t="s">
        <v>383</v>
      </c>
      <c r="C91" s="720"/>
      <c r="D91" s="698">
        <f t="shared" si="11"/>
        <v>0</v>
      </c>
      <c r="E91" s="698">
        <f t="shared" si="9"/>
        <v>0</v>
      </c>
      <c r="F91" s="699" t="e">
        <f t="shared" si="10"/>
        <v>#DIV/0!</v>
      </c>
      <c r="G91" s="698"/>
      <c r="H91" s="703"/>
      <c r="I91" s="766"/>
      <c r="J91" s="703"/>
      <c r="K91" s="698"/>
      <c r="L91" s="704"/>
      <c r="M91" s="810"/>
      <c r="N91" s="698"/>
      <c r="O91" s="702" t="e">
        <f t="shared" si="8"/>
        <v>#DIV/0!</v>
      </c>
      <c r="P91" s="720"/>
      <c r="Q91" s="698"/>
      <c r="R91" s="767"/>
    </row>
    <row r="92" spans="1:18" ht="60" hidden="1">
      <c r="A92" s="764">
        <v>6053</v>
      </c>
      <c r="B92" s="768" t="s">
        <v>384</v>
      </c>
      <c r="C92" s="720"/>
      <c r="D92" s="698">
        <f t="shared" si="11"/>
        <v>0</v>
      </c>
      <c r="E92" s="698">
        <f t="shared" si="9"/>
        <v>0</v>
      </c>
      <c r="F92" s="699" t="e">
        <f t="shared" si="10"/>
        <v>#DIV/0!</v>
      </c>
      <c r="G92" s="698"/>
      <c r="H92" s="703"/>
      <c r="I92" s="766"/>
      <c r="J92" s="703"/>
      <c r="K92" s="698"/>
      <c r="L92" s="704"/>
      <c r="M92" s="810"/>
      <c r="N92" s="792"/>
      <c r="O92" s="702" t="e">
        <f t="shared" si="8"/>
        <v>#DIV/0!</v>
      </c>
      <c r="P92" s="720"/>
      <c r="Q92" s="698"/>
      <c r="R92" s="767"/>
    </row>
    <row r="93" spans="1:20" s="756" customFormat="1" ht="12.75">
      <c r="A93" s="757">
        <v>60016</v>
      </c>
      <c r="B93" s="758" t="s">
        <v>261</v>
      </c>
      <c r="C93" s="710">
        <f>SUM(C95:C101)</f>
        <v>16370000</v>
      </c>
      <c r="D93" s="712">
        <f t="shared" si="11"/>
        <v>12860830</v>
      </c>
      <c r="E93" s="712">
        <f>H93+K93+Q93+N93</f>
        <v>11713520</v>
      </c>
      <c r="F93" s="713">
        <f t="shared" si="10"/>
        <v>91.07903611197722</v>
      </c>
      <c r="G93" s="711">
        <f>SUM(G94:G101)</f>
        <v>12860830</v>
      </c>
      <c r="H93" s="711">
        <f>SUM(H94:H101)</f>
        <v>11713520</v>
      </c>
      <c r="I93" s="719">
        <f aca="true" t="shared" si="12" ref="I93:I156">H93/G93*100</f>
        <v>91.07903611197722</v>
      </c>
      <c r="J93" s="807"/>
      <c r="K93" s="711"/>
      <c r="L93" s="799"/>
      <c r="M93" s="711"/>
      <c r="N93" s="711"/>
      <c r="O93" s="827"/>
      <c r="P93" s="710"/>
      <c r="Q93" s="711"/>
      <c r="R93" s="763"/>
      <c r="S93" s="682"/>
      <c r="T93" s="682"/>
    </row>
    <row r="94" spans="1:18" ht="24" hidden="1">
      <c r="A94" s="764">
        <v>4170</v>
      </c>
      <c r="B94" s="765" t="s">
        <v>242</v>
      </c>
      <c r="C94" s="720"/>
      <c r="D94" s="698">
        <f t="shared" si="11"/>
        <v>0</v>
      </c>
      <c r="E94" s="698">
        <f>SUM(H94+K94+N94+Q94)</f>
        <v>0</v>
      </c>
      <c r="F94" s="699"/>
      <c r="G94" s="720"/>
      <c r="H94" s="700"/>
      <c r="I94" s="702" t="e">
        <f>H94/G94*100</f>
        <v>#DIV/0!</v>
      </c>
      <c r="J94" s="701"/>
      <c r="K94" s="700"/>
      <c r="L94" s="702"/>
      <c r="M94" s="700"/>
      <c r="N94" s="700"/>
      <c r="O94" s="809"/>
      <c r="P94" s="697"/>
      <c r="Q94" s="700"/>
      <c r="R94" s="767"/>
    </row>
    <row r="95" spans="1:18" ht="24" hidden="1">
      <c r="A95" s="764">
        <v>4210</v>
      </c>
      <c r="B95" s="765" t="s">
        <v>211</v>
      </c>
      <c r="C95" s="720"/>
      <c r="D95" s="698">
        <f t="shared" si="11"/>
        <v>0</v>
      </c>
      <c r="E95" s="698">
        <f t="shared" si="9"/>
        <v>0</v>
      </c>
      <c r="F95" s="699" t="e">
        <f aca="true" t="shared" si="13" ref="F95:F105">E95/D95*100</f>
        <v>#DIV/0!</v>
      </c>
      <c r="G95" s="720"/>
      <c r="H95" s="700"/>
      <c r="I95" s="702" t="e">
        <f t="shared" si="12"/>
        <v>#DIV/0!</v>
      </c>
      <c r="J95" s="701"/>
      <c r="K95" s="700"/>
      <c r="L95" s="702"/>
      <c r="M95" s="700"/>
      <c r="N95" s="700"/>
      <c r="O95" s="809"/>
      <c r="P95" s="697"/>
      <c r="Q95" s="700"/>
      <c r="R95" s="767"/>
    </row>
    <row r="96" spans="1:18" ht="16.5" customHeight="1">
      <c r="A96" s="764">
        <v>4270</v>
      </c>
      <c r="B96" s="768" t="s">
        <v>217</v>
      </c>
      <c r="C96" s="720">
        <v>720000</v>
      </c>
      <c r="D96" s="698">
        <f t="shared" si="11"/>
        <v>763900</v>
      </c>
      <c r="E96" s="698">
        <f t="shared" si="9"/>
        <v>762353</v>
      </c>
      <c r="F96" s="699">
        <f t="shared" si="13"/>
        <v>99.79748658201335</v>
      </c>
      <c r="G96" s="720">
        <f>720000-24000-35300-1100-6700-9000+100000+20000</f>
        <v>763900</v>
      </c>
      <c r="H96" s="698">
        <v>762353</v>
      </c>
      <c r="I96" s="702">
        <f t="shared" si="12"/>
        <v>99.79748658201335</v>
      </c>
      <c r="J96" s="703"/>
      <c r="K96" s="700"/>
      <c r="L96" s="702"/>
      <c r="M96" s="698"/>
      <c r="N96" s="698"/>
      <c r="O96" s="766"/>
      <c r="P96" s="720"/>
      <c r="Q96" s="698"/>
      <c r="R96" s="770"/>
    </row>
    <row r="97" spans="1:18" ht="14.25" customHeight="1">
      <c r="A97" s="764">
        <v>4300</v>
      </c>
      <c r="B97" s="768" t="s">
        <v>219</v>
      </c>
      <c r="C97" s="720">
        <v>45000</v>
      </c>
      <c r="D97" s="698">
        <f t="shared" si="11"/>
        <v>30500</v>
      </c>
      <c r="E97" s="698">
        <f t="shared" si="9"/>
        <v>24341</v>
      </c>
      <c r="F97" s="699">
        <f t="shared" si="13"/>
        <v>79.80655737704919</v>
      </c>
      <c r="G97" s="720">
        <f>45000-14500</f>
        <v>30500</v>
      </c>
      <c r="H97" s="698">
        <v>24341</v>
      </c>
      <c r="I97" s="702">
        <f t="shared" si="12"/>
        <v>79.80655737704919</v>
      </c>
      <c r="J97" s="703"/>
      <c r="K97" s="700"/>
      <c r="L97" s="702"/>
      <c r="M97" s="698"/>
      <c r="N97" s="698"/>
      <c r="O97" s="766"/>
      <c r="P97" s="720"/>
      <c r="Q97" s="698"/>
      <c r="R97" s="770"/>
    </row>
    <row r="98" spans="1:18" ht="39" customHeight="1">
      <c r="A98" s="764">
        <v>4390</v>
      </c>
      <c r="B98" s="768" t="s">
        <v>243</v>
      </c>
      <c r="C98" s="720">
        <v>5000</v>
      </c>
      <c r="D98" s="698">
        <f t="shared" si="11"/>
        <v>8500</v>
      </c>
      <c r="E98" s="698">
        <f t="shared" si="9"/>
        <v>8418</v>
      </c>
      <c r="F98" s="699">
        <f t="shared" si="13"/>
        <v>99.03529411764706</v>
      </c>
      <c r="G98" s="720">
        <f>5000+9000-5500</f>
        <v>8500</v>
      </c>
      <c r="H98" s="698">
        <v>8418</v>
      </c>
      <c r="I98" s="702">
        <f t="shared" si="12"/>
        <v>99.03529411764706</v>
      </c>
      <c r="J98" s="703"/>
      <c r="K98" s="700"/>
      <c r="L98" s="702"/>
      <c r="M98" s="698"/>
      <c r="N98" s="698"/>
      <c r="O98" s="766"/>
      <c r="P98" s="720"/>
      <c r="Q98" s="698"/>
      <c r="R98" s="770"/>
    </row>
    <row r="99" spans="1:18" ht="12.75" hidden="1">
      <c r="A99" s="764">
        <v>4580</v>
      </c>
      <c r="B99" s="768" t="s">
        <v>244</v>
      </c>
      <c r="C99" s="720"/>
      <c r="D99" s="698">
        <f t="shared" si="11"/>
        <v>0</v>
      </c>
      <c r="E99" s="698">
        <f>SUM(H99+K99+N99+Q99)</f>
        <v>0</v>
      </c>
      <c r="F99" s="699" t="e">
        <f>E99/D99*100</f>
        <v>#DIV/0!</v>
      </c>
      <c r="G99" s="720"/>
      <c r="H99" s="698"/>
      <c r="I99" s="744" t="e">
        <f t="shared" si="12"/>
        <v>#DIV/0!</v>
      </c>
      <c r="J99" s="703"/>
      <c r="K99" s="700"/>
      <c r="L99" s="702"/>
      <c r="M99" s="698"/>
      <c r="N99" s="698"/>
      <c r="O99" s="766"/>
      <c r="P99" s="720"/>
      <c r="Q99" s="698"/>
      <c r="R99" s="770"/>
    </row>
    <row r="100" spans="1:18" ht="36" hidden="1">
      <c r="A100" s="764">
        <v>4610</v>
      </c>
      <c r="B100" s="828" t="s">
        <v>245</v>
      </c>
      <c r="C100" s="720"/>
      <c r="D100" s="698">
        <f t="shared" si="11"/>
        <v>0</v>
      </c>
      <c r="E100" s="698">
        <f t="shared" si="9"/>
        <v>0</v>
      </c>
      <c r="F100" s="699" t="e">
        <f t="shared" si="13"/>
        <v>#DIV/0!</v>
      </c>
      <c r="G100" s="720"/>
      <c r="H100" s="698"/>
      <c r="I100" s="744" t="e">
        <f t="shared" si="12"/>
        <v>#DIV/0!</v>
      </c>
      <c r="J100" s="703"/>
      <c r="K100" s="700"/>
      <c r="L100" s="702"/>
      <c r="M100" s="698"/>
      <c r="N100" s="698"/>
      <c r="O100" s="766"/>
      <c r="P100" s="720"/>
      <c r="Q100" s="698"/>
      <c r="R100" s="766"/>
    </row>
    <row r="101" spans="1:18" ht="26.25" customHeight="1">
      <c r="A101" s="764">
        <v>6050</v>
      </c>
      <c r="B101" s="828" t="s">
        <v>246</v>
      </c>
      <c r="C101" s="720">
        <f>SUM(C102:C122)</f>
        <v>15600000</v>
      </c>
      <c r="D101" s="698">
        <f t="shared" si="11"/>
        <v>12057930</v>
      </c>
      <c r="E101" s="698">
        <f>SUM(H101+K101+N101+Q101)</f>
        <v>10918408</v>
      </c>
      <c r="F101" s="699">
        <f>E101/D101*100</f>
        <v>90.54960511464239</v>
      </c>
      <c r="G101" s="720">
        <f>SUM(G102:G122)</f>
        <v>12057930</v>
      </c>
      <c r="H101" s="698">
        <f>SUM(H102:H122)</f>
        <v>10918408</v>
      </c>
      <c r="I101" s="702">
        <f t="shared" si="12"/>
        <v>90.54960511464239</v>
      </c>
      <c r="J101" s="703"/>
      <c r="K101" s="700"/>
      <c r="L101" s="702"/>
      <c r="M101" s="698"/>
      <c r="N101" s="698"/>
      <c r="O101" s="766"/>
      <c r="P101" s="720"/>
      <c r="Q101" s="698"/>
      <c r="R101" s="770"/>
    </row>
    <row r="102" spans="1:20" s="818" customFormat="1" ht="12.75">
      <c r="A102" s="811"/>
      <c r="B102" s="829" t="s">
        <v>262</v>
      </c>
      <c r="C102" s="813">
        <v>100000</v>
      </c>
      <c r="D102" s="814">
        <f t="shared" si="11"/>
        <v>147000</v>
      </c>
      <c r="E102" s="814">
        <f t="shared" si="9"/>
        <v>0</v>
      </c>
      <c r="F102" s="699">
        <f t="shared" si="13"/>
        <v>0</v>
      </c>
      <c r="G102" s="813">
        <f>100000+247000-200000</f>
        <v>147000</v>
      </c>
      <c r="H102" s="814"/>
      <c r="I102" s="702">
        <f t="shared" si="12"/>
        <v>0</v>
      </c>
      <c r="J102" s="815"/>
      <c r="K102" s="830"/>
      <c r="L102" s="702"/>
      <c r="M102" s="814"/>
      <c r="N102" s="814"/>
      <c r="O102" s="704"/>
      <c r="P102" s="813"/>
      <c r="Q102" s="814"/>
      <c r="R102" s="831"/>
      <c r="S102" s="817"/>
      <c r="T102" s="817"/>
    </row>
    <row r="103" spans="1:20" s="818" customFormat="1" ht="24">
      <c r="A103" s="811"/>
      <c r="B103" s="829" t="s">
        <v>263</v>
      </c>
      <c r="C103" s="813">
        <v>1900000</v>
      </c>
      <c r="D103" s="814">
        <f t="shared" si="11"/>
        <v>1800000</v>
      </c>
      <c r="E103" s="814">
        <f t="shared" si="9"/>
        <v>1479694</v>
      </c>
      <c r="F103" s="699">
        <f t="shared" si="13"/>
        <v>82.20522222222222</v>
      </c>
      <c r="G103" s="813">
        <f>1900000-100000</f>
        <v>1800000</v>
      </c>
      <c r="H103" s="814">
        <f>5189+114837-1+56682+135352+168198+189186+210064+160602-1+359066+80520+1-1</f>
        <v>1479694</v>
      </c>
      <c r="I103" s="702">
        <f t="shared" si="12"/>
        <v>82.20522222222222</v>
      </c>
      <c r="J103" s="815"/>
      <c r="K103" s="830"/>
      <c r="L103" s="702"/>
      <c r="M103" s="814"/>
      <c r="N103" s="814"/>
      <c r="O103" s="704"/>
      <c r="P103" s="813"/>
      <c r="Q103" s="814"/>
      <c r="R103" s="831"/>
      <c r="S103" s="817"/>
      <c r="T103" s="817"/>
    </row>
    <row r="104" spans="1:20" s="818" customFormat="1" ht="36">
      <c r="A104" s="811"/>
      <c r="B104" s="829" t="s">
        <v>264</v>
      </c>
      <c r="C104" s="813">
        <v>300000</v>
      </c>
      <c r="D104" s="814">
        <f t="shared" si="11"/>
        <v>0</v>
      </c>
      <c r="E104" s="814">
        <f t="shared" si="9"/>
        <v>0</v>
      </c>
      <c r="F104" s="699"/>
      <c r="G104" s="813">
        <f>300000-200000-90000-10000</f>
        <v>0</v>
      </c>
      <c r="H104" s="814"/>
      <c r="I104" s="702"/>
      <c r="J104" s="815"/>
      <c r="K104" s="830"/>
      <c r="L104" s="702"/>
      <c r="M104" s="814"/>
      <c r="N104" s="814"/>
      <c r="O104" s="704"/>
      <c r="P104" s="813"/>
      <c r="Q104" s="814"/>
      <c r="R104" s="831"/>
      <c r="S104" s="817"/>
      <c r="T104" s="817"/>
    </row>
    <row r="105" spans="1:20" s="818" customFormat="1" ht="36">
      <c r="A105" s="811"/>
      <c r="B105" s="829" t="s">
        <v>295</v>
      </c>
      <c r="C105" s="813">
        <v>500000</v>
      </c>
      <c r="D105" s="814">
        <f t="shared" si="11"/>
        <v>500000</v>
      </c>
      <c r="E105" s="814">
        <f t="shared" si="9"/>
        <v>141454</v>
      </c>
      <c r="F105" s="699">
        <f t="shared" si="13"/>
        <v>28.2908</v>
      </c>
      <c r="G105" s="813">
        <v>500000</v>
      </c>
      <c r="H105" s="814">
        <f>14884+120875+5199+1+495</f>
        <v>141454</v>
      </c>
      <c r="I105" s="702">
        <f t="shared" si="12"/>
        <v>28.2908</v>
      </c>
      <c r="J105" s="815"/>
      <c r="K105" s="830"/>
      <c r="L105" s="702"/>
      <c r="M105" s="814"/>
      <c r="N105" s="814"/>
      <c r="O105" s="704"/>
      <c r="P105" s="813"/>
      <c r="Q105" s="814"/>
      <c r="R105" s="831"/>
      <c r="S105" s="817"/>
      <c r="T105" s="817"/>
    </row>
    <row r="106" spans="1:20" s="818" customFormat="1" ht="24" customHeight="1">
      <c r="A106" s="811"/>
      <c r="B106" s="829" t="s">
        <v>265</v>
      </c>
      <c r="C106" s="813">
        <v>100000</v>
      </c>
      <c r="D106" s="814">
        <f t="shared" si="11"/>
        <v>0</v>
      </c>
      <c r="E106" s="814">
        <f>SUM(H106+K106+N106+Q106)</f>
        <v>0</v>
      </c>
      <c r="F106" s="699"/>
      <c r="G106" s="813">
        <f>100000-90000-10000</f>
        <v>0</v>
      </c>
      <c r="H106" s="814"/>
      <c r="I106" s="702"/>
      <c r="J106" s="815"/>
      <c r="K106" s="830"/>
      <c r="L106" s="702"/>
      <c r="M106" s="814"/>
      <c r="N106" s="814"/>
      <c r="O106" s="704"/>
      <c r="P106" s="813"/>
      <c r="Q106" s="814"/>
      <c r="R106" s="831"/>
      <c r="S106" s="817"/>
      <c r="T106" s="817"/>
    </row>
    <row r="107" spans="1:20" s="818" customFormat="1" ht="12.75">
      <c r="A107" s="811"/>
      <c r="B107" s="829" t="s">
        <v>266</v>
      </c>
      <c r="C107" s="813">
        <v>100000</v>
      </c>
      <c r="D107" s="814">
        <f t="shared" si="11"/>
        <v>0</v>
      </c>
      <c r="E107" s="814">
        <f t="shared" si="9"/>
        <v>0</v>
      </c>
      <c r="F107" s="699"/>
      <c r="G107" s="813">
        <f>100000-50000-50000</f>
        <v>0</v>
      </c>
      <c r="H107" s="814"/>
      <c r="I107" s="704"/>
      <c r="J107" s="815"/>
      <c r="K107" s="830"/>
      <c r="L107" s="702"/>
      <c r="M107" s="814"/>
      <c r="N107" s="814"/>
      <c r="O107" s="704"/>
      <c r="P107" s="813"/>
      <c r="Q107" s="814"/>
      <c r="R107" s="831"/>
      <c r="S107" s="817"/>
      <c r="T107" s="817"/>
    </row>
    <row r="108" spans="1:20" s="818" customFormat="1" ht="15" customHeight="1">
      <c r="A108" s="811"/>
      <c r="B108" s="829" t="s">
        <v>267</v>
      </c>
      <c r="C108" s="813">
        <v>600000</v>
      </c>
      <c r="D108" s="814">
        <f t="shared" si="11"/>
        <v>680000</v>
      </c>
      <c r="E108" s="814">
        <f t="shared" si="9"/>
        <v>594292</v>
      </c>
      <c r="F108" s="699">
        <f>E108/D108*100</f>
        <v>87.39588235294119</v>
      </c>
      <c r="G108" s="813">
        <f>600000+100000-20000</f>
        <v>680000</v>
      </c>
      <c r="H108" s="814">
        <f>2919+285635+1-1+305252+1+484+1</f>
        <v>594292</v>
      </c>
      <c r="I108" s="704">
        <f t="shared" si="12"/>
        <v>87.39588235294119</v>
      </c>
      <c r="J108" s="815"/>
      <c r="K108" s="830"/>
      <c r="L108" s="702"/>
      <c r="M108" s="814"/>
      <c r="N108" s="814"/>
      <c r="O108" s="704"/>
      <c r="P108" s="813"/>
      <c r="Q108" s="814"/>
      <c r="R108" s="831"/>
      <c r="S108" s="817"/>
      <c r="T108" s="817"/>
    </row>
    <row r="109" spans="1:20" s="818" customFormat="1" ht="39.75" customHeight="1">
      <c r="A109" s="811"/>
      <c r="B109" s="829" t="s">
        <v>268</v>
      </c>
      <c r="C109" s="813">
        <v>850000</v>
      </c>
      <c r="D109" s="814">
        <f t="shared" si="11"/>
        <v>650000</v>
      </c>
      <c r="E109" s="814">
        <f>SUM(H109+K109+N109+Q109)</f>
        <v>611514</v>
      </c>
      <c r="F109" s="699">
        <f>E109/D109*100</f>
        <v>94.07907692307693</v>
      </c>
      <c r="G109" s="813">
        <f>850000-200000</f>
        <v>650000</v>
      </c>
      <c r="H109" s="814">
        <v>611514</v>
      </c>
      <c r="I109" s="704">
        <f t="shared" si="12"/>
        <v>94.07907692307693</v>
      </c>
      <c r="J109" s="815"/>
      <c r="K109" s="830"/>
      <c r="L109" s="702"/>
      <c r="M109" s="814"/>
      <c r="N109" s="814"/>
      <c r="O109" s="704"/>
      <c r="P109" s="813"/>
      <c r="Q109" s="814"/>
      <c r="R109" s="831"/>
      <c r="S109" s="817"/>
      <c r="T109" s="817"/>
    </row>
    <row r="110" spans="1:20" s="818" customFormat="1" ht="36">
      <c r="A110" s="811"/>
      <c r="B110" s="829" t="s">
        <v>296</v>
      </c>
      <c r="C110" s="813">
        <v>1000000</v>
      </c>
      <c r="D110" s="814">
        <f t="shared" si="11"/>
        <v>1200000</v>
      </c>
      <c r="E110" s="814">
        <f t="shared" si="9"/>
        <v>1199910</v>
      </c>
      <c r="F110" s="699">
        <f aca="true" t="shared" si="14" ref="F110:F168">E110/D110*100</f>
        <v>99.99249999999999</v>
      </c>
      <c r="G110" s="813">
        <f>1000000+200000</f>
        <v>1200000</v>
      </c>
      <c r="H110" s="814">
        <v>1199910</v>
      </c>
      <c r="I110" s="745">
        <f t="shared" si="12"/>
        <v>99.99249999999999</v>
      </c>
      <c r="J110" s="815"/>
      <c r="K110" s="830"/>
      <c r="L110" s="702"/>
      <c r="M110" s="814"/>
      <c r="N110" s="814"/>
      <c r="O110" s="704"/>
      <c r="P110" s="813"/>
      <c r="Q110" s="814"/>
      <c r="R110" s="831"/>
      <c r="S110" s="817"/>
      <c r="T110" s="817"/>
    </row>
    <row r="111" spans="1:20" s="818" customFormat="1" ht="24">
      <c r="A111" s="811"/>
      <c r="B111" s="829" t="s">
        <v>269</v>
      </c>
      <c r="C111" s="813">
        <v>1300000</v>
      </c>
      <c r="D111" s="814">
        <f t="shared" si="11"/>
        <v>1141300</v>
      </c>
      <c r="E111" s="814">
        <f t="shared" si="9"/>
        <v>1141208</v>
      </c>
      <c r="F111" s="699">
        <f t="shared" si="14"/>
        <v>99.99193901691054</v>
      </c>
      <c r="G111" s="813">
        <f>1300000-100000-30000-30000+1300</f>
        <v>1141300</v>
      </c>
      <c r="H111" s="814">
        <v>1141208</v>
      </c>
      <c r="I111" s="745">
        <f t="shared" si="12"/>
        <v>99.99193901691054</v>
      </c>
      <c r="J111" s="815"/>
      <c r="K111" s="830"/>
      <c r="L111" s="702"/>
      <c r="M111" s="814"/>
      <c r="N111" s="814"/>
      <c r="O111" s="704"/>
      <c r="P111" s="813"/>
      <c r="Q111" s="814"/>
      <c r="R111" s="831"/>
      <c r="S111" s="817"/>
      <c r="T111" s="817"/>
    </row>
    <row r="112" spans="1:20" s="818" customFormat="1" ht="39" customHeight="1">
      <c r="A112" s="811"/>
      <c r="B112" s="832" t="s">
        <v>270</v>
      </c>
      <c r="C112" s="813">
        <v>3500000</v>
      </c>
      <c r="D112" s="814">
        <f t="shared" si="11"/>
        <v>3500000</v>
      </c>
      <c r="E112" s="814">
        <f t="shared" si="9"/>
        <v>3497405</v>
      </c>
      <c r="F112" s="699">
        <f t="shared" si="14"/>
        <v>99.92585714285714</v>
      </c>
      <c r="G112" s="813">
        <v>3500000</v>
      </c>
      <c r="H112" s="814">
        <v>3497405</v>
      </c>
      <c r="I112" s="704">
        <f t="shared" si="12"/>
        <v>99.92585714285714</v>
      </c>
      <c r="J112" s="815"/>
      <c r="K112" s="830"/>
      <c r="L112" s="702"/>
      <c r="M112" s="814"/>
      <c r="N112" s="814"/>
      <c r="O112" s="704"/>
      <c r="P112" s="813"/>
      <c r="Q112" s="814"/>
      <c r="R112" s="831"/>
      <c r="S112" s="817"/>
      <c r="T112" s="817"/>
    </row>
    <row r="113" spans="1:20" s="818" customFormat="1" ht="24">
      <c r="A113" s="811"/>
      <c r="B113" s="832" t="s">
        <v>271</v>
      </c>
      <c r="C113" s="813">
        <v>2100000</v>
      </c>
      <c r="D113" s="814">
        <f t="shared" si="11"/>
        <v>1548700</v>
      </c>
      <c r="E113" s="814">
        <f t="shared" si="9"/>
        <v>1526635</v>
      </c>
      <c r="F113" s="699">
        <f t="shared" si="14"/>
        <v>98.5752566668819</v>
      </c>
      <c r="G113" s="813">
        <f>2100000-400000-80000-70000-1300</f>
        <v>1548700</v>
      </c>
      <c r="H113" s="814">
        <f>1526635</f>
        <v>1526635</v>
      </c>
      <c r="I113" s="704">
        <f t="shared" si="12"/>
        <v>98.5752566668819</v>
      </c>
      <c r="J113" s="815"/>
      <c r="K113" s="830"/>
      <c r="L113" s="702"/>
      <c r="M113" s="814"/>
      <c r="N113" s="814"/>
      <c r="O113" s="704"/>
      <c r="P113" s="813"/>
      <c r="Q113" s="814"/>
      <c r="R113" s="831"/>
      <c r="S113" s="817"/>
      <c r="T113" s="817"/>
    </row>
    <row r="114" spans="1:20" s="818" customFormat="1" ht="36">
      <c r="A114" s="811"/>
      <c r="B114" s="832" t="s">
        <v>297</v>
      </c>
      <c r="C114" s="813">
        <v>1150000</v>
      </c>
      <c r="D114" s="814">
        <f t="shared" si="11"/>
        <v>273000</v>
      </c>
      <c r="E114" s="814">
        <f t="shared" si="9"/>
        <v>269663</v>
      </c>
      <c r="F114" s="699">
        <f t="shared" si="14"/>
        <v>98.77765567765567</v>
      </c>
      <c r="G114" s="813">
        <f>1150000+600000-900000-400000-177000</f>
        <v>273000</v>
      </c>
      <c r="H114" s="814">
        <f>49593+93+16531+81245+55730+162+67079-1234+463+1</f>
        <v>269663</v>
      </c>
      <c r="I114" s="704">
        <f t="shared" si="12"/>
        <v>98.77765567765567</v>
      </c>
      <c r="J114" s="815"/>
      <c r="K114" s="830"/>
      <c r="L114" s="702"/>
      <c r="M114" s="814"/>
      <c r="N114" s="814"/>
      <c r="O114" s="704"/>
      <c r="P114" s="813"/>
      <c r="Q114" s="814"/>
      <c r="R114" s="831"/>
      <c r="S114" s="817"/>
      <c r="T114" s="817"/>
    </row>
    <row r="115" spans="1:20" s="818" customFormat="1" ht="12.75">
      <c r="A115" s="811"/>
      <c r="B115" s="832" t="s">
        <v>298</v>
      </c>
      <c r="C115" s="813"/>
      <c r="D115" s="814">
        <f t="shared" si="11"/>
        <v>3904</v>
      </c>
      <c r="E115" s="814">
        <f aca="true" t="shared" si="15" ref="E115:E122">SUM(H115+K115+N115+Q115)</f>
        <v>3200</v>
      </c>
      <c r="F115" s="699">
        <f t="shared" si="14"/>
        <v>81.9672131147541</v>
      </c>
      <c r="G115" s="813">
        <v>3904</v>
      </c>
      <c r="H115" s="814">
        <f>3904-704</f>
        <v>3200</v>
      </c>
      <c r="I115" s="745">
        <f t="shared" si="12"/>
        <v>81.9672131147541</v>
      </c>
      <c r="J115" s="815"/>
      <c r="K115" s="830"/>
      <c r="L115" s="702"/>
      <c r="M115" s="814"/>
      <c r="N115" s="814"/>
      <c r="O115" s="704"/>
      <c r="P115" s="813"/>
      <c r="Q115" s="814"/>
      <c r="R115" s="831"/>
      <c r="S115" s="817"/>
      <c r="T115" s="817"/>
    </row>
    <row r="116" spans="1:20" s="818" customFormat="1" ht="24">
      <c r="A116" s="811"/>
      <c r="B116" s="832" t="s">
        <v>385</v>
      </c>
      <c r="C116" s="813"/>
      <c r="D116" s="814">
        <f t="shared" si="11"/>
        <v>4026</v>
      </c>
      <c r="E116" s="814">
        <f t="shared" si="15"/>
        <v>4026</v>
      </c>
      <c r="F116" s="699">
        <f t="shared" si="14"/>
        <v>100</v>
      </c>
      <c r="G116" s="813">
        <v>4026</v>
      </c>
      <c r="H116" s="814">
        <v>4026</v>
      </c>
      <c r="I116" s="745">
        <f t="shared" si="12"/>
        <v>100</v>
      </c>
      <c r="J116" s="815"/>
      <c r="K116" s="830"/>
      <c r="L116" s="702"/>
      <c r="M116" s="814"/>
      <c r="N116" s="814"/>
      <c r="O116" s="704"/>
      <c r="P116" s="813"/>
      <c r="Q116" s="814"/>
      <c r="R116" s="831"/>
      <c r="S116" s="817"/>
      <c r="T116" s="817"/>
    </row>
    <row r="117" spans="1:20" s="818" customFormat="1" ht="36">
      <c r="A117" s="811"/>
      <c r="B117" s="832" t="s">
        <v>299</v>
      </c>
      <c r="C117" s="813">
        <v>1200000</v>
      </c>
      <c r="D117" s="814">
        <f t="shared" si="11"/>
        <v>0</v>
      </c>
      <c r="E117" s="814">
        <f t="shared" si="15"/>
        <v>0</v>
      </c>
      <c r="F117" s="699"/>
      <c r="G117" s="813">
        <f>1200000-500000-200000-100000-390000-10000</f>
        <v>0</v>
      </c>
      <c r="H117" s="814"/>
      <c r="I117" s="704"/>
      <c r="J117" s="815"/>
      <c r="K117" s="830"/>
      <c r="L117" s="702"/>
      <c r="M117" s="814"/>
      <c r="N117" s="814"/>
      <c r="O117" s="704"/>
      <c r="P117" s="813"/>
      <c r="Q117" s="814"/>
      <c r="R117" s="831"/>
      <c r="S117" s="817"/>
      <c r="T117" s="817"/>
    </row>
    <row r="118" spans="1:20" s="818" customFormat="1" ht="24">
      <c r="A118" s="811"/>
      <c r="B118" s="812" t="s">
        <v>300</v>
      </c>
      <c r="C118" s="813">
        <v>200000</v>
      </c>
      <c r="D118" s="814">
        <f>G118+J118+P118+M118</f>
        <v>50000</v>
      </c>
      <c r="E118" s="814">
        <f t="shared" si="15"/>
        <v>48198</v>
      </c>
      <c r="F118" s="699">
        <f>E118/D118*100</f>
        <v>96.396</v>
      </c>
      <c r="G118" s="813">
        <f>200000-150000</f>
        <v>50000</v>
      </c>
      <c r="H118" s="814">
        <v>48198</v>
      </c>
      <c r="I118" s="704">
        <f t="shared" si="12"/>
        <v>96.396</v>
      </c>
      <c r="J118" s="815"/>
      <c r="K118" s="830"/>
      <c r="L118" s="702"/>
      <c r="M118" s="814"/>
      <c r="N118" s="814"/>
      <c r="O118" s="704"/>
      <c r="P118" s="813"/>
      <c r="Q118" s="814"/>
      <c r="R118" s="831"/>
      <c r="S118" s="817"/>
      <c r="T118" s="817"/>
    </row>
    <row r="119" spans="1:20" s="818" customFormat="1" ht="24">
      <c r="A119" s="811"/>
      <c r="B119" s="812" t="s">
        <v>272</v>
      </c>
      <c r="C119" s="813">
        <v>200000</v>
      </c>
      <c r="D119" s="814">
        <f>G119+J119+P119+M119</f>
        <v>110000</v>
      </c>
      <c r="E119" s="814">
        <f t="shared" si="15"/>
        <v>106236</v>
      </c>
      <c r="F119" s="699">
        <f>E119/D119*100</f>
        <v>96.57818181818182</v>
      </c>
      <c r="G119" s="813">
        <f>200000-100000+10000</f>
        <v>110000</v>
      </c>
      <c r="H119" s="814">
        <v>106236</v>
      </c>
      <c r="I119" s="704">
        <f t="shared" si="12"/>
        <v>96.57818181818182</v>
      </c>
      <c r="J119" s="815"/>
      <c r="K119" s="830"/>
      <c r="L119" s="702"/>
      <c r="M119" s="814"/>
      <c r="N119" s="814"/>
      <c r="O119" s="704"/>
      <c r="P119" s="813"/>
      <c r="Q119" s="814"/>
      <c r="R119" s="831"/>
      <c r="S119" s="817"/>
      <c r="T119" s="817"/>
    </row>
    <row r="120" spans="1:20" s="818" customFormat="1" ht="12.75">
      <c r="A120" s="811"/>
      <c r="B120" s="819" t="s">
        <v>301</v>
      </c>
      <c r="C120" s="813">
        <v>200000</v>
      </c>
      <c r="D120" s="814">
        <f>G120+J120+P120+M120</f>
        <v>200000</v>
      </c>
      <c r="E120" s="814">
        <f t="shared" si="15"/>
        <v>45140</v>
      </c>
      <c r="F120" s="699">
        <f>E120/D120*100</f>
        <v>22.57</v>
      </c>
      <c r="G120" s="813">
        <v>200000</v>
      </c>
      <c r="H120" s="814">
        <v>45140</v>
      </c>
      <c r="I120" s="704">
        <f t="shared" si="12"/>
        <v>22.57</v>
      </c>
      <c r="J120" s="815"/>
      <c r="K120" s="830"/>
      <c r="L120" s="702"/>
      <c r="M120" s="814"/>
      <c r="N120" s="814"/>
      <c r="O120" s="704"/>
      <c r="P120" s="813"/>
      <c r="Q120" s="814"/>
      <c r="R120" s="831"/>
      <c r="S120" s="817"/>
      <c r="T120" s="817"/>
    </row>
    <row r="121" spans="1:20" s="818" customFormat="1" ht="24">
      <c r="A121" s="811"/>
      <c r="B121" s="819" t="s">
        <v>294</v>
      </c>
      <c r="C121" s="813">
        <v>250000</v>
      </c>
      <c r="D121" s="814">
        <f>G121+J121+P121+M121</f>
        <v>200000</v>
      </c>
      <c r="E121" s="814">
        <f t="shared" si="15"/>
        <v>199900</v>
      </c>
      <c r="F121" s="699">
        <f>E121/D121*100</f>
        <v>99.95</v>
      </c>
      <c r="G121" s="813">
        <f>250000-50000</f>
        <v>200000</v>
      </c>
      <c r="H121" s="814">
        <v>199900</v>
      </c>
      <c r="I121" s="745">
        <f t="shared" si="12"/>
        <v>99.95</v>
      </c>
      <c r="J121" s="815"/>
      <c r="K121" s="830"/>
      <c r="L121" s="702"/>
      <c r="M121" s="814"/>
      <c r="N121" s="814"/>
      <c r="O121" s="704"/>
      <c r="P121" s="813"/>
      <c r="Q121" s="814"/>
      <c r="R121" s="831"/>
      <c r="S121" s="817"/>
      <c r="T121" s="817"/>
    </row>
    <row r="122" spans="1:20" s="818" customFormat="1" ht="12.75">
      <c r="A122" s="811"/>
      <c r="B122" s="832" t="s">
        <v>273</v>
      </c>
      <c r="C122" s="813">
        <v>50000</v>
      </c>
      <c r="D122" s="814">
        <f t="shared" si="11"/>
        <v>50000</v>
      </c>
      <c r="E122" s="814">
        <f t="shared" si="15"/>
        <v>49933</v>
      </c>
      <c r="F122" s="699">
        <f>E122/D122*100</f>
        <v>99.866</v>
      </c>
      <c r="G122" s="813">
        <v>50000</v>
      </c>
      <c r="H122" s="814">
        <v>49933</v>
      </c>
      <c r="I122" s="704">
        <f t="shared" si="12"/>
        <v>99.866</v>
      </c>
      <c r="J122" s="815"/>
      <c r="K122" s="830"/>
      <c r="L122" s="702"/>
      <c r="M122" s="814"/>
      <c r="N122" s="814"/>
      <c r="O122" s="704"/>
      <c r="P122" s="813"/>
      <c r="Q122" s="814"/>
      <c r="R122" s="831"/>
      <c r="S122" s="817"/>
      <c r="T122" s="817"/>
    </row>
    <row r="123" spans="1:20" s="756" customFormat="1" ht="14.25" customHeight="1">
      <c r="A123" s="757">
        <v>60017</v>
      </c>
      <c r="B123" s="833" t="s">
        <v>274</v>
      </c>
      <c r="C123" s="725">
        <f>SUM(C124:C128)</f>
        <v>2130200</v>
      </c>
      <c r="D123" s="712">
        <f t="shared" si="11"/>
        <v>2621230</v>
      </c>
      <c r="E123" s="712">
        <f>H123+K123+Q123+N123</f>
        <v>2344905</v>
      </c>
      <c r="F123" s="713">
        <f t="shared" si="14"/>
        <v>89.45819329093594</v>
      </c>
      <c r="G123" s="725">
        <f>SUM(G124:G128)</f>
        <v>2621230</v>
      </c>
      <c r="H123" s="712">
        <f>SUM(H124:H128)</f>
        <v>2344905</v>
      </c>
      <c r="I123" s="719">
        <f t="shared" si="12"/>
        <v>89.45819329093594</v>
      </c>
      <c r="J123" s="717"/>
      <c r="K123" s="711"/>
      <c r="L123" s="799"/>
      <c r="M123" s="712"/>
      <c r="N123" s="712"/>
      <c r="O123" s="801"/>
      <c r="P123" s="725"/>
      <c r="Q123" s="712"/>
      <c r="R123" s="802"/>
      <c r="S123" s="682"/>
      <c r="T123" s="682"/>
    </row>
    <row r="124" spans="1:18" ht="27" customHeight="1">
      <c r="A124" s="764">
        <v>4270</v>
      </c>
      <c r="B124" s="834" t="s">
        <v>386</v>
      </c>
      <c r="C124" s="720">
        <f>504000+358700</f>
        <v>862700</v>
      </c>
      <c r="D124" s="698">
        <f t="shared" si="11"/>
        <v>1780230</v>
      </c>
      <c r="E124" s="698">
        <f aca="true" t="shared" si="16" ref="E124:E130">SUM(H124+K124+N124+Q124)</f>
        <v>1720381</v>
      </c>
      <c r="F124" s="699">
        <f t="shared" si="14"/>
        <v>96.63813102801323</v>
      </c>
      <c r="G124" s="720">
        <f>504000+358700-3700-2000+31900+116500+63000-50000-3000+150000+500000-20000-17000-600-2000+100000+18000+36500-70</f>
        <v>1780230</v>
      </c>
      <c r="H124" s="698">
        <v>1720381</v>
      </c>
      <c r="I124" s="702">
        <f t="shared" si="12"/>
        <v>96.63813102801323</v>
      </c>
      <c r="J124" s="703"/>
      <c r="K124" s="700"/>
      <c r="L124" s="702"/>
      <c r="M124" s="698"/>
      <c r="N124" s="698"/>
      <c r="O124" s="766"/>
      <c r="P124" s="720"/>
      <c r="Q124" s="698"/>
      <c r="R124" s="770"/>
    </row>
    <row r="125" spans="1:18" ht="25.5" customHeight="1">
      <c r="A125" s="764">
        <v>4300</v>
      </c>
      <c r="B125" s="834" t="s">
        <v>387</v>
      </c>
      <c r="C125" s="720">
        <v>5000</v>
      </c>
      <c r="D125" s="698">
        <f t="shared" si="11"/>
        <v>22100</v>
      </c>
      <c r="E125" s="698">
        <f t="shared" si="16"/>
        <v>19085</v>
      </c>
      <c r="F125" s="699">
        <f t="shared" si="14"/>
        <v>86.35746606334843</v>
      </c>
      <c r="G125" s="720">
        <f>5000+50000+3000-35900</f>
        <v>22100</v>
      </c>
      <c r="H125" s="698">
        <v>19085</v>
      </c>
      <c r="I125" s="702">
        <f t="shared" si="12"/>
        <v>86.35746606334843</v>
      </c>
      <c r="J125" s="703"/>
      <c r="K125" s="700"/>
      <c r="L125" s="702"/>
      <c r="M125" s="698"/>
      <c r="N125" s="698"/>
      <c r="O125" s="766"/>
      <c r="P125" s="720"/>
      <c r="Q125" s="698"/>
      <c r="R125" s="770"/>
    </row>
    <row r="126" spans="1:18" ht="36.75" customHeight="1">
      <c r="A126" s="764">
        <v>4390</v>
      </c>
      <c r="B126" s="768" t="s">
        <v>243</v>
      </c>
      <c r="C126" s="720">
        <v>500</v>
      </c>
      <c r="D126" s="698">
        <f>G126+J126+P126+M126</f>
        <v>16900</v>
      </c>
      <c r="E126" s="698">
        <f>SUM(H126+K126+N126+Q126)</f>
        <v>16836</v>
      </c>
      <c r="F126" s="699">
        <f>E126/D126*100</f>
        <v>99.62130177514793</v>
      </c>
      <c r="G126" s="720">
        <f>500+17000-600</f>
        <v>16900</v>
      </c>
      <c r="H126" s="698">
        <v>16836</v>
      </c>
      <c r="I126" s="702">
        <f t="shared" si="12"/>
        <v>99.62130177514793</v>
      </c>
      <c r="J126" s="703"/>
      <c r="K126" s="700"/>
      <c r="L126" s="702"/>
      <c r="M126" s="698"/>
      <c r="N126" s="698"/>
      <c r="O126" s="766"/>
      <c r="P126" s="720"/>
      <c r="Q126" s="698"/>
      <c r="R126" s="770"/>
    </row>
    <row r="127" spans="1:18" ht="14.25" customHeight="1">
      <c r="A127" s="764">
        <v>4430</v>
      </c>
      <c r="B127" s="834" t="s">
        <v>221</v>
      </c>
      <c r="C127" s="720">
        <v>2000</v>
      </c>
      <c r="D127" s="698">
        <f t="shared" si="11"/>
        <v>2000</v>
      </c>
      <c r="E127" s="698">
        <f t="shared" si="16"/>
        <v>2000</v>
      </c>
      <c r="F127" s="699">
        <f t="shared" si="14"/>
        <v>100</v>
      </c>
      <c r="G127" s="720">
        <v>2000</v>
      </c>
      <c r="H127" s="698">
        <v>2000</v>
      </c>
      <c r="I127" s="744">
        <f t="shared" si="12"/>
        <v>100</v>
      </c>
      <c r="J127" s="703"/>
      <c r="K127" s="700"/>
      <c r="L127" s="702"/>
      <c r="M127" s="698"/>
      <c r="N127" s="698"/>
      <c r="O127" s="766"/>
      <c r="P127" s="720"/>
      <c r="Q127" s="698"/>
      <c r="R127" s="770"/>
    </row>
    <row r="128" spans="1:18" ht="36.75" customHeight="1">
      <c r="A128" s="789">
        <v>6050</v>
      </c>
      <c r="B128" s="804" t="s">
        <v>388</v>
      </c>
      <c r="C128" s="791">
        <v>1260000</v>
      </c>
      <c r="D128" s="792">
        <f t="shared" si="11"/>
        <v>800000</v>
      </c>
      <c r="E128" s="792">
        <f t="shared" si="16"/>
        <v>586603</v>
      </c>
      <c r="F128" s="760">
        <f t="shared" si="14"/>
        <v>73.32537500000001</v>
      </c>
      <c r="G128" s="791">
        <f>1260000-180000+20000-100000-200000</f>
        <v>800000</v>
      </c>
      <c r="H128" s="792">
        <v>586603</v>
      </c>
      <c r="I128" s="796">
        <f t="shared" si="12"/>
        <v>73.32537500000001</v>
      </c>
      <c r="J128" s="793"/>
      <c r="K128" s="805"/>
      <c r="L128" s="796"/>
      <c r="M128" s="792"/>
      <c r="N128" s="792"/>
      <c r="O128" s="806"/>
      <c r="P128" s="791"/>
      <c r="Q128" s="792"/>
      <c r="R128" s="797"/>
    </row>
    <row r="129" spans="1:20" s="756" customFormat="1" ht="24">
      <c r="A129" s="835">
        <v>60053</v>
      </c>
      <c r="B129" s="836" t="s">
        <v>276</v>
      </c>
      <c r="C129" s="837">
        <f>C130</f>
        <v>1000000</v>
      </c>
      <c r="D129" s="759">
        <f t="shared" si="11"/>
        <v>1000000</v>
      </c>
      <c r="E129" s="759">
        <f t="shared" si="16"/>
        <v>464017</v>
      </c>
      <c r="F129" s="838">
        <f t="shared" si="14"/>
        <v>46.4017</v>
      </c>
      <c r="G129" s="837">
        <f>G130</f>
        <v>1000000</v>
      </c>
      <c r="H129" s="759">
        <f>H130</f>
        <v>464017</v>
      </c>
      <c r="I129" s="796">
        <f t="shared" si="12"/>
        <v>46.4017</v>
      </c>
      <c r="J129" s="839"/>
      <c r="K129" s="840"/>
      <c r="L129" s="841"/>
      <c r="M129" s="759"/>
      <c r="N129" s="759"/>
      <c r="O129" s="842"/>
      <c r="P129" s="837"/>
      <c r="Q129" s="759"/>
      <c r="R129" s="843"/>
      <c r="S129" s="682"/>
      <c r="T129" s="682"/>
    </row>
    <row r="130" spans="1:18" ht="28.5" customHeight="1">
      <c r="A130" s="789">
        <v>6050</v>
      </c>
      <c r="B130" s="804" t="s">
        <v>275</v>
      </c>
      <c r="C130" s="791">
        <v>1000000</v>
      </c>
      <c r="D130" s="792">
        <f t="shared" si="11"/>
        <v>1000000</v>
      </c>
      <c r="E130" s="792">
        <f t="shared" si="16"/>
        <v>464017</v>
      </c>
      <c r="F130" s="760">
        <f t="shared" si="14"/>
        <v>46.4017</v>
      </c>
      <c r="G130" s="791">
        <f>1000000-10000+10000</f>
        <v>1000000</v>
      </c>
      <c r="H130" s="792">
        <v>464017</v>
      </c>
      <c r="I130" s="796">
        <f t="shared" si="12"/>
        <v>46.4017</v>
      </c>
      <c r="J130" s="793"/>
      <c r="K130" s="805"/>
      <c r="L130" s="796"/>
      <c r="M130" s="792"/>
      <c r="N130" s="792"/>
      <c r="O130" s="806"/>
      <c r="P130" s="791"/>
      <c r="Q130" s="792"/>
      <c r="R130" s="797"/>
    </row>
    <row r="131" spans="1:18" ht="12.75">
      <c r="A131" s="757">
        <v>60095</v>
      </c>
      <c r="B131" s="844" t="s">
        <v>233</v>
      </c>
      <c r="C131" s="725">
        <f>C133+C132</f>
        <v>2716700</v>
      </c>
      <c r="D131" s="712">
        <f t="shared" si="11"/>
        <v>2795790</v>
      </c>
      <c r="E131" s="712">
        <f>H131+K131+Q131+N131</f>
        <v>2704074</v>
      </c>
      <c r="F131" s="713">
        <f t="shared" si="14"/>
        <v>96.71949609949245</v>
      </c>
      <c r="G131" s="845">
        <f>SUM(G132:G133)</f>
        <v>2795790</v>
      </c>
      <c r="H131" s="712">
        <f>SUM(H132:H133)</f>
        <v>2704074</v>
      </c>
      <c r="I131" s="719">
        <f t="shared" si="12"/>
        <v>96.71949609949245</v>
      </c>
      <c r="J131" s="717"/>
      <c r="K131" s="712"/>
      <c r="L131" s="718"/>
      <c r="M131" s="712"/>
      <c r="N131" s="712"/>
      <c r="O131" s="762"/>
      <c r="P131" s="725"/>
      <c r="Q131" s="712"/>
      <c r="R131" s="846"/>
    </row>
    <row r="132" spans="1:18" ht="72" hidden="1">
      <c r="A132" s="784">
        <v>4300</v>
      </c>
      <c r="B132" s="847" t="s">
        <v>277</v>
      </c>
      <c r="C132" s="723"/>
      <c r="D132" s="732">
        <f t="shared" si="11"/>
        <v>0</v>
      </c>
      <c r="E132" s="732">
        <f>H132+K132+Q132+N132</f>
        <v>0</v>
      </c>
      <c r="F132" s="721"/>
      <c r="G132" s="723">
        <f>100000-100000</f>
        <v>0</v>
      </c>
      <c r="H132" s="732"/>
      <c r="I132" s="707"/>
      <c r="J132" s="735"/>
      <c r="K132" s="732"/>
      <c r="L132" s="736"/>
      <c r="M132" s="732"/>
      <c r="N132" s="732"/>
      <c r="O132" s="803"/>
      <c r="P132" s="723"/>
      <c r="Q132" s="732"/>
      <c r="R132" s="788"/>
    </row>
    <row r="133" spans="1:20" s="756" customFormat="1" ht="12.75">
      <c r="A133" s="774"/>
      <c r="B133" s="848" t="s">
        <v>278</v>
      </c>
      <c r="C133" s="776">
        <f>SUM(C134:C162)</f>
        <v>2716700</v>
      </c>
      <c r="D133" s="777">
        <f t="shared" si="11"/>
        <v>2795790</v>
      </c>
      <c r="E133" s="777">
        <f>H133+K133+Q133+N133</f>
        <v>2704074</v>
      </c>
      <c r="F133" s="699">
        <f t="shared" si="14"/>
        <v>96.71949609949245</v>
      </c>
      <c r="G133" s="776">
        <f>SUM(G134:G162)</f>
        <v>2795790</v>
      </c>
      <c r="H133" s="777">
        <f>SUM(H134:H162)</f>
        <v>2704074</v>
      </c>
      <c r="I133" s="702">
        <f t="shared" si="12"/>
        <v>96.71949609949245</v>
      </c>
      <c r="J133" s="778"/>
      <c r="K133" s="777"/>
      <c r="L133" s="779"/>
      <c r="M133" s="777"/>
      <c r="N133" s="777"/>
      <c r="O133" s="766"/>
      <c r="P133" s="776"/>
      <c r="Q133" s="777"/>
      <c r="R133" s="770"/>
      <c r="S133" s="682"/>
      <c r="T133" s="682"/>
    </row>
    <row r="134" spans="1:18" ht="36">
      <c r="A134" s="764">
        <v>3020</v>
      </c>
      <c r="B134" s="768" t="s">
        <v>279</v>
      </c>
      <c r="C134" s="720">
        <v>4000</v>
      </c>
      <c r="D134" s="698">
        <f t="shared" si="11"/>
        <v>4000</v>
      </c>
      <c r="E134" s="698">
        <f>SUM(H134+K134+N134+Q134)</f>
        <v>3646</v>
      </c>
      <c r="F134" s="699">
        <f t="shared" si="14"/>
        <v>91.14999999999999</v>
      </c>
      <c r="G134" s="720">
        <v>4000</v>
      </c>
      <c r="H134" s="698">
        <v>3646</v>
      </c>
      <c r="I134" s="702">
        <f t="shared" si="12"/>
        <v>91.14999999999999</v>
      </c>
      <c r="J134" s="703"/>
      <c r="K134" s="698"/>
      <c r="L134" s="704"/>
      <c r="M134" s="698"/>
      <c r="N134" s="698"/>
      <c r="O134" s="766"/>
      <c r="P134" s="720"/>
      <c r="Q134" s="698"/>
      <c r="R134" s="770"/>
    </row>
    <row r="135" spans="1:18" ht="27.75" customHeight="1">
      <c r="A135" s="764">
        <v>4010</v>
      </c>
      <c r="B135" s="768" t="s">
        <v>201</v>
      </c>
      <c r="C135" s="720">
        <v>1454600</v>
      </c>
      <c r="D135" s="698">
        <f t="shared" si="11"/>
        <v>1463600</v>
      </c>
      <c r="E135" s="698">
        <f>SUM(H135+K135+N135+Q135)</f>
        <v>1422117</v>
      </c>
      <c r="F135" s="699">
        <f t="shared" si="14"/>
        <v>97.16568734626946</v>
      </c>
      <c r="G135" s="720">
        <f>1454600+9000</f>
        <v>1463600</v>
      </c>
      <c r="H135" s="698">
        <v>1422117</v>
      </c>
      <c r="I135" s="702">
        <f t="shared" si="12"/>
        <v>97.16568734626946</v>
      </c>
      <c r="J135" s="703"/>
      <c r="K135" s="698"/>
      <c r="L135" s="704"/>
      <c r="M135" s="698"/>
      <c r="N135" s="698"/>
      <c r="O135" s="766"/>
      <c r="P135" s="720"/>
      <c r="Q135" s="698"/>
      <c r="R135" s="770"/>
    </row>
    <row r="136" spans="1:18" ht="24">
      <c r="A136" s="849">
        <v>4040</v>
      </c>
      <c r="B136" s="768" t="s">
        <v>280</v>
      </c>
      <c r="C136" s="720">
        <v>108000</v>
      </c>
      <c r="D136" s="698">
        <f t="shared" si="11"/>
        <v>93000</v>
      </c>
      <c r="E136" s="698">
        <f>SUM(H136+K136+N136+Q136)</f>
        <v>92945</v>
      </c>
      <c r="F136" s="699">
        <f t="shared" si="14"/>
        <v>99.94086021505376</v>
      </c>
      <c r="G136" s="720">
        <f>108000-15000</f>
        <v>93000</v>
      </c>
      <c r="H136" s="698">
        <f>92945-1+1</f>
        <v>92945</v>
      </c>
      <c r="I136" s="744">
        <f t="shared" si="12"/>
        <v>99.94086021505376</v>
      </c>
      <c r="J136" s="703"/>
      <c r="K136" s="698"/>
      <c r="L136" s="704"/>
      <c r="M136" s="698"/>
      <c r="N136" s="698"/>
      <c r="O136" s="766"/>
      <c r="P136" s="720"/>
      <c r="Q136" s="698"/>
      <c r="R136" s="770"/>
    </row>
    <row r="137" spans="1:18" ht="25.5" customHeight="1">
      <c r="A137" s="764">
        <v>4110</v>
      </c>
      <c r="B137" s="768" t="s">
        <v>281</v>
      </c>
      <c r="C137" s="720">
        <v>215700</v>
      </c>
      <c r="D137" s="698">
        <f t="shared" si="11"/>
        <v>218130</v>
      </c>
      <c r="E137" s="698">
        <f aca="true" t="shared" si="17" ref="E137:E162">SUM(H137+K137+N137+Q137)</f>
        <v>212186</v>
      </c>
      <c r="F137" s="699">
        <f t="shared" si="14"/>
        <v>97.27501948379407</v>
      </c>
      <c r="G137" s="720">
        <f>215700+2430</f>
        <v>218130</v>
      </c>
      <c r="H137" s="698">
        <v>212186</v>
      </c>
      <c r="I137" s="702">
        <f t="shared" si="12"/>
        <v>97.27501948379407</v>
      </c>
      <c r="J137" s="703"/>
      <c r="K137" s="698"/>
      <c r="L137" s="704"/>
      <c r="M137" s="698"/>
      <c r="N137" s="698"/>
      <c r="O137" s="766"/>
      <c r="P137" s="720"/>
      <c r="Q137" s="698"/>
      <c r="R137" s="770"/>
    </row>
    <row r="138" spans="1:18" ht="12.75">
      <c r="A138" s="764">
        <v>4120</v>
      </c>
      <c r="B138" s="768" t="s">
        <v>282</v>
      </c>
      <c r="C138" s="720">
        <v>34700</v>
      </c>
      <c r="D138" s="698">
        <f t="shared" si="11"/>
        <v>34930</v>
      </c>
      <c r="E138" s="698">
        <f t="shared" si="17"/>
        <v>31767</v>
      </c>
      <c r="F138" s="699">
        <f t="shared" si="14"/>
        <v>90.94474663612941</v>
      </c>
      <c r="G138" s="720">
        <f>34700+230</f>
        <v>34930</v>
      </c>
      <c r="H138" s="698">
        <v>31767</v>
      </c>
      <c r="I138" s="702">
        <f t="shared" si="12"/>
        <v>90.94474663612941</v>
      </c>
      <c r="J138" s="703"/>
      <c r="K138" s="698"/>
      <c r="L138" s="704"/>
      <c r="M138" s="698"/>
      <c r="N138" s="698"/>
      <c r="O138" s="766"/>
      <c r="P138" s="720"/>
      <c r="Q138" s="698"/>
      <c r="R138" s="770"/>
    </row>
    <row r="139" spans="1:18" ht="12.75">
      <c r="A139" s="764">
        <v>4140</v>
      </c>
      <c r="B139" s="768" t="s">
        <v>283</v>
      </c>
      <c r="C139" s="720">
        <v>26000</v>
      </c>
      <c r="D139" s="698">
        <f t="shared" si="11"/>
        <v>15330</v>
      </c>
      <c r="E139" s="698">
        <f t="shared" si="17"/>
        <v>15197</v>
      </c>
      <c r="F139" s="699">
        <f t="shared" si="14"/>
        <v>99.1324200913242</v>
      </c>
      <c r="G139" s="720">
        <f>26000+230-10900</f>
        <v>15330</v>
      </c>
      <c r="H139" s="698">
        <v>15197</v>
      </c>
      <c r="I139" s="702">
        <f t="shared" si="12"/>
        <v>99.1324200913242</v>
      </c>
      <c r="J139" s="703"/>
      <c r="K139" s="698"/>
      <c r="L139" s="704"/>
      <c r="M139" s="698"/>
      <c r="N139" s="698"/>
      <c r="O139" s="766"/>
      <c r="P139" s="720"/>
      <c r="Q139" s="698"/>
      <c r="R139" s="770"/>
    </row>
    <row r="140" spans="1:18" ht="24">
      <c r="A140" s="764">
        <v>4170</v>
      </c>
      <c r="B140" s="768" t="s">
        <v>242</v>
      </c>
      <c r="C140" s="720">
        <v>8000</v>
      </c>
      <c r="D140" s="698">
        <f aca="true" t="shared" si="18" ref="D140:D208">G140+J140+P140+M140</f>
        <v>31050</v>
      </c>
      <c r="E140" s="698">
        <f t="shared" si="17"/>
        <v>29607</v>
      </c>
      <c r="F140" s="699">
        <f t="shared" si="14"/>
        <v>95.35265700483092</v>
      </c>
      <c r="G140" s="720">
        <f>8000+16150+1100+5800</f>
        <v>31050</v>
      </c>
      <c r="H140" s="698">
        <v>29607</v>
      </c>
      <c r="I140" s="702">
        <f t="shared" si="12"/>
        <v>95.35265700483092</v>
      </c>
      <c r="J140" s="703"/>
      <c r="K140" s="698"/>
      <c r="L140" s="704"/>
      <c r="M140" s="698"/>
      <c r="N140" s="698"/>
      <c r="O140" s="766"/>
      <c r="P140" s="720"/>
      <c r="Q140" s="698"/>
      <c r="R140" s="770"/>
    </row>
    <row r="141" spans="1:18" ht="24">
      <c r="A141" s="764">
        <v>4210</v>
      </c>
      <c r="B141" s="765" t="s">
        <v>211</v>
      </c>
      <c r="C141" s="720">
        <v>87000</v>
      </c>
      <c r="D141" s="698">
        <f t="shared" si="18"/>
        <v>108640</v>
      </c>
      <c r="E141" s="698">
        <f t="shared" si="17"/>
        <v>108097</v>
      </c>
      <c r="F141" s="699">
        <f t="shared" si="14"/>
        <v>99.50018409425626</v>
      </c>
      <c r="G141" s="720">
        <f>87000-600+22240</f>
        <v>108640</v>
      </c>
      <c r="H141" s="698">
        <v>108097</v>
      </c>
      <c r="I141" s="702">
        <f t="shared" si="12"/>
        <v>99.50018409425626</v>
      </c>
      <c r="J141" s="703"/>
      <c r="K141" s="698"/>
      <c r="L141" s="704"/>
      <c r="M141" s="698"/>
      <c r="N141" s="698"/>
      <c r="O141" s="766"/>
      <c r="P141" s="720"/>
      <c r="Q141" s="698"/>
      <c r="R141" s="770"/>
    </row>
    <row r="142" spans="1:18" ht="12.75">
      <c r="A142" s="764">
        <v>4260</v>
      </c>
      <c r="B142" s="765" t="s">
        <v>215</v>
      </c>
      <c r="C142" s="720">
        <v>45000</v>
      </c>
      <c r="D142" s="698">
        <f t="shared" si="18"/>
        <v>45000</v>
      </c>
      <c r="E142" s="698">
        <f t="shared" si="17"/>
        <v>44436</v>
      </c>
      <c r="F142" s="699">
        <f t="shared" si="14"/>
        <v>98.74666666666667</v>
      </c>
      <c r="G142" s="720">
        <v>45000</v>
      </c>
      <c r="H142" s="698">
        <v>44436</v>
      </c>
      <c r="I142" s="702">
        <f t="shared" si="12"/>
        <v>98.74666666666667</v>
      </c>
      <c r="J142" s="703"/>
      <c r="K142" s="698"/>
      <c r="L142" s="704"/>
      <c r="M142" s="698"/>
      <c r="N142" s="698"/>
      <c r="O142" s="766"/>
      <c r="P142" s="720"/>
      <c r="Q142" s="698"/>
      <c r="R142" s="770"/>
    </row>
    <row r="143" spans="1:18" ht="14.25" customHeight="1">
      <c r="A143" s="764">
        <v>4270</v>
      </c>
      <c r="B143" s="768" t="s">
        <v>217</v>
      </c>
      <c r="C143" s="720">
        <v>53000</v>
      </c>
      <c r="D143" s="698">
        <f t="shared" si="18"/>
        <v>25000</v>
      </c>
      <c r="E143" s="698">
        <f t="shared" si="17"/>
        <v>19567</v>
      </c>
      <c r="F143" s="699">
        <f t="shared" si="14"/>
        <v>78.268</v>
      </c>
      <c r="G143" s="720">
        <f>53000-28000</f>
        <v>25000</v>
      </c>
      <c r="H143" s="698">
        <v>19567</v>
      </c>
      <c r="I143" s="702">
        <f t="shared" si="12"/>
        <v>78.268</v>
      </c>
      <c r="J143" s="703"/>
      <c r="K143" s="698"/>
      <c r="L143" s="704"/>
      <c r="M143" s="698"/>
      <c r="N143" s="698"/>
      <c r="O143" s="766"/>
      <c r="P143" s="720"/>
      <c r="Q143" s="698"/>
      <c r="R143" s="770"/>
    </row>
    <row r="144" spans="1:18" ht="15" customHeight="1">
      <c r="A144" s="764">
        <v>4280</v>
      </c>
      <c r="B144" s="768" t="s">
        <v>542</v>
      </c>
      <c r="C144" s="720">
        <v>1700</v>
      </c>
      <c r="D144" s="698">
        <f t="shared" si="18"/>
        <v>2300</v>
      </c>
      <c r="E144" s="698">
        <f t="shared" si="17"/>
        <v>2085</v>
      </c>
      <c r="F144" s="699">
        <f t="shared" si="14"/>
        <v>90.65217391304347</v>
      </c>
      <c r="G144" s="720">
        <f>1700+600</f>
        <v>2300</v>
      </c>
      <c r="H144" s="698">
        <v>2085</v>
      </c>
      <c r="I144" s="702">
        <f t="shared" si="12"/>
        <v>90.65217391304347</v>
      </c>
      <c r="J144" s="703"/>
      <c r="K144" s="698"/>
      <c r="L144" s="704"/>
      <c r="M144" s="698"/>
      <c r="N144" s="698"/>
      <c r="O144" s="766"/>
      <c r="P144" s="720"/>
      <c r="Q144" s="698"/>
      <c r="R144" s="770"/>
    </row>
    <row r="145" spans="1:18" ht="16.5" customHeight="1">
      <c r="A145" s="764">
        <v>4300</v>
      </c>
      <c r="B145" s="768" t="s">
        <v>543</v>
      </c>
      <c r="C145" s="720">
        <v>450000</v>
      </c>
      <c r="D145" s="698">
        <f t="shared" si="18"/>
        <v>518300</v>
      </c>
      <c r="E145" s="698">
        <f t="shared" si="17"/>
        <v>498141</v>
      </c>
      <c r="F145" s="699">
        <f t="shared" si="14"/>
        <v>96.11055373335905</v>
      </c>
      <c r="G145" s="720">
        <f>450000+15000+35300+18000</f>
        <v>518300</v>
      </c>
      <c r="H145" s="698">
        <v>498141</v>
      </c>
      <c r="I145" s="702">
        <f t="shared" si="12"/>
        <v>96.11055373335905</v>
      </c>
      <c r="J145" s="703"/>
      <c r="K145" s="698"/>
      <c r="L145" s="704"/>
      <c r="M145" s="698"/>
      <c r="N145" s="698"/>
      <c r="O145" s="766"/>
      <c r="P145" s="720"/>
      <c r="Q145" s="698"/>
      <c r="R145" s="770"/>
    </row>
    <row r="146" spans="1:18" ht="24">
      <c r="A146" s="764">
        <v>4350</v>
      </c>
      <c r="B146" s="768" t="s">
        <v>544</v>
      </c>
      <c r="C146" s="720">
        <v>5500</v>
      </c>
      <c r="D146" s="698">
        <f t="shared" si="18"/>
        <v>5500</v>
      </c>
      <c r="E146" s="698">
        <f t="shared" si="17"/>
        <v>5402</v>
      </c>
      <c r="F146" s="699">
        <f t="shared" si="14"/>
        <v>98.21818181818182</v>
      </c>
      <c r="G146" s="720">
        <v>5500</v>
      </c>
      <c r="H146" s="698">
        <v>5402</v>
      </c>
      <c r="I146" s="702">
        <f t="shared" si="12"/>
        <v>98.21818181818182</v>
      </c>
      <c r="J146" s="703"/>
      <c r="K146" s="698"/>
      <c r="L146" s="704"/>
      <c r="M146" s="698"/>
      <c r="N146" s="698"/>
      <c r="O146" s="766"/>
      <c r="P146" s="720"/>
      <c r="Q146" s="698"/>
      <c r="R146" s="770"/>
    </row>
    <row r="147" spans="1:18" ht="40.5" customHeight="1">
      <c r="A147" s="764">
        <v>4360</v>
      </c>
      <c r="B147" s="828" t="s">
        <v>545</v>
      </c>
      <c r="C147" s="720">
        <v>18500</v>
      </c>
      <c r="D147" s="698">
        <f t="shared" si="18"/>
        <v>18500</v>
      </c>
      <c r="E147" s="698">
        <f>SUM(H147+K147+N147+Q147)</f>
        <v>18030</v>
      </c>
      <c r="F147" s="699">
        <f>E147/D147*100</f>
        <v>97.45945945945947</v>
      </c>
      <c r="G147" s="720">
        <v>18500</v>
      </c>
      <c r="H147" s="698">
        <v>18030</v>
      </c>
      <c r="I147" s="702">
        <f t="shared" si="12"/>
        <v>97.45945945945947</v>
      </c>
      <c r="J147" s="703"/>
      <c r="K147" s="698"/>
      <c r="L147" s="704"/>
      <c r="M147" s="698"/>
      <c r="N147" s="698"/>
      <c r="O147" s="766"/>
      <c r="P147" s="720"/>
      <c r="Q147" s="698"/>
      <c r="R147" s="770"/>
    </row>
    <row r="148" spans="1:18" ht="36.75" customHeight="1">
      <c r="A148" s="764">
        <v>4370</v>
      </c>
      <c r="B148" s="828" t="s">
        <v>546</v>
      </c>
      <c r="C148" s="720">
        <v>16000</v>
      </c>
      <c r="D148" s="698">
        <f t="shared" si="18"/>
        <v>12000</v>
      </c>
      <c r="E148" s="698">
        <f>SUM(H148+K148+N148+Q148)</f>
        <v>11433</v>
      </c>
      <c r="F148" s="699">
        <f>E148/D148*100</f>
        <v>95.275</v>
      </c>
      <c r="G148" s="720">
        <f>16000-4000</f>
        <v>12000</v>
      </c>
      <c r="H148" s="698">
        <v>11433</v>
      </c>
      <c r="I148" s="702">
        <f t="shared" si="12"/>
        <v>95.275</v>
      </c>
      <c r="J148" s="703"/>
      <c r="K148" s="698"/>
      <c r="L148" s="704"/>
      <c r="M148" s="698"/>
      <c r="N148" s="698"/>
      <c r="O148" s="766"/>
      <c r="P148" s="720"/>
      <c r="Q148" s="698"/>
      <c r="R148" s="770"/>
    </row>
    <row r="149" spans="1:18" ht="36.75" customHeight="1">
      <c r="A149" s="764">
        <v>4390</v>
      </c>
      <c r="B149" s="768" t="s">
        <v>243</v>
      </c>
      <c r="C149" s="720">
        <v>500</v>
      </c>
      <c r="D149" s="698">
        <f t="shared" si="18"/>
        <v>500</v>
      </c>
      <c r="E149" s="698">
        <f>SUM(H149+K149+N149+Q149)</f>
        <v>0</v>
      </c>
      <c r="F149" s="699">
        <f>E149/D149*100</f>
        <v>0</v>
      </c>
      <c r="G149" s="720">
        <v>500</v>
      </c>
      <c r="H149" s="698"/>
      <c r="I149" s="702">
        <f t="shared" si="12"/>
        <v>0</v>
      </c>
      <c r="J149" s="703"/>
      <c r="K149" s="698"/>
      <c r="L149" s="704"/>
      <c r="M149" s="698"/>
      <c r="N149" s="698"/>
      <c r="O149" s="766"/>
      <c r="P149" s="720"/>
      <c r="Q149" s="698"/>
      <c r="R149" s="770"/>
    </row>
    <row r="150" spans="1:18" ht="27" customHeight="1">
      <c r="A150" s="764">
        <v>4400</v>
      </c>
      <c r="B150" s="828" t="s">
        <v>547</v>
      </c>
      <c r="C150" s="720">
        <v>52000</v>
      </c>
      <c r="D150" s="698">
        <f t="shared" si="18"/>
        <v>52000</v>
      </c>
      <c r="E150" s="698">
        <f>SUM(H150+K150+N150+Q150)</f>
        <v>49888</v>
      </c>
      <c r="F150" s="699">
        <f>E150/D150*100</f>
        <v>95.93846153846154</v>
      </c>
      <c r="G150" s="720">
        <v>52000</v>
      </c>
      <c r="H150" s="698">
        <v>49888</v>
      </c>
      <c r="I150" s="702">
        <f t="shared" si="12"/>
        <v>95.93846153846154</v>
      </c>
      <c r="J150" s="703"/>
      <c r="K150" s="698"/>
      <c r="L150" s="704"/>
      <c r="M150" s="698"/>
      <c r="N150" s="698"/>
      <c r="O150" s="766"/>
      <c r="P150" s="720"/>
      <c r="Q150" s="698"/>
      <c r="R150" s="770"/>
    </row>
    <row r="151" spans="1:18" ht="15.75" customHeight="1">
      <c r="A151" s="764">
        <v>4410</v>
      </c>
      <c r="B151" s="768" t="s">
        <v>193</v>
      </c>
      <c r="C151" s="720">
        <v>13500</v>
      </c>
      <c r="D151" s="698">
        <f t="shared" si="18"/>
        <v>11000</v>
      </c>
      <c r="E151" s="698">
        <f t="shared" si="17"/>
        <v>9387</v>
      </c>
      <c r="F151" s="699">
        <f t="shared" si="14"/>
        <v>85.33636363636363</v>
      </c>
      <c r="G151" s="720">
        <f>13500-2500</f>
        <v>11000</v>
      </c>
      <c r="H151" s="698">
        <v>9387</v>
      </c>
      <c r="I151" s="702">
        <f t="shared" si="12"/>
        <v>85.33636363636363</v>
      </c>
      <c r="J151" s="703"/>
      <c r="K151" s="698"/>
      <c r="L151" s="704"/>
      <c r="M151" s="698"/>
      <c r="N151" s="698"/>
      <c r="O151" s="766"/>
      <c r="P151" s="720"/>
      <c r="Q151" s="698"/>
      <c r="R151" s="770"/>
    </row>
    <row r="152" spans="1:18" ht="24">
      <c r="A152" s="764">
        <v>4420</v>
      </c>
      <c r="B152" s="768" t="s">
        <v>548</v>
      </c>
      <c r="C152" s="720">
        <v>1000</v>
      </c>
      <c r="D152" s="698">
        <f t="shared" si="18"/>
        <v>0</v>
      </c>
      <c r="E152" s="698">
        <f>SUM(H152+K152+N152+Q152)</f>
        <v>0</v>
      </c>
      <c r="F152" s="699"/>
      <c r="G152" s="720">
        <f>1000-1000</f>
        <v>0</v>
      </c>
      <c r="H152" s="698"/>
      <c r="I152" s="702"/>
      <c r="J152" s="703"/>
      <c r="K152" s="698"/>
      <c r="L152" s="704"/>
      <c r="M152" s="698"/>
      <c r="N152" s="698"/>
      <c r="O152" s="766"/>
      <c r="P152" s="720"/>
      <c r="Q152" s="698"/>
      <c r="R152" s="770"/>
    </row>
    <row r="153" spans="1:18" ht="12.75">
      <c r="A153" s="764">
        <v>4430</v>
      </c>
      <c r="B153" s="768" t="s">
        <v>221</v>
      </c>
      <c r="C153" s="720">
        <v>20000</v>
      </c>
      <c r="D153" s="698">
        <f t="shared" si="18"/>
        <v>26860</v>
      </c>
      <c r="E153" s="698">
        <f t="shared" si="17"/>
        <v>26815</v>
      </c>
      <c r="F153" s="699">
        <f t="shared" si="14"/>
        <v>99.8324646314222</v>
      </c>
      <c r="G153" s="720">
        <f>20000+6860</f>
        <v>26860</v>
      </c>
      <c r="H153" s="698">
        <v>26815</v>
      </c>
      <c r="I153" s="702">
        <f t="shared" si="12"/>
        <v>99.8324646314222</v>
      </c>
      <c r="J153" s="703"/>
      <c r="K153" s="698"/>
      <c r="L153" s="704"/>
      <c r="M153" s="698"/>
      <c r="N153" s="698"/>
      <c r="O153" s="766"/>
      <c r="P153" s="720"/>
      <c r="Q153" s="698"/>
      <c r="R153" s="770"/>
    </row>
    <row r="154" spans="1:18" ht="12.75">
      <c r="A154" s="764">
        <v>4440</v>
      </c>
      <c r="B154" s="768" t="s">
        <v>223</v>
      </c>
      <c r="C154" s="720">
        <v>30500</v>
      </c>
      <c r="D154" s="698">
        <f t="shared" si="18"/>
        <v>37460</v>
      </c>
      <c r="E154" s="698">
        <f t="shared" si="17"/>
        <v>37460</v>
      </c>
      <c r="F154" s="699">
        <f t="shared" si="14"/>
        <v>100</v>
      </c>
      <c r="G154" s="720">
        <f>30500+7850+1000-1890</f>
        <v>37460</v>
      </c>
      <c r="H154" s="698">
        <v>37460</v>
      </c>
      <c r="I154" s="744">
        <f t="shared" si="12"/>
        <v>100</v>
      </c>
      <c r="J154" s="703"/>
      <c r="K154" s="698"/>
      <c r="L154" s="704"/>
      <c r="M154" s="698"/>
      <c r="N154" s="698"/>
      <c r="O154" s="766"/>
      <c r="P154" s="720"/>
      <c r="Q154" s="698"/>
      <c r="R154" s="770"/>
    </row>
    <row r="155" spans="1:18" ht="14.25" customHeight="1">
      <c r="A155" s="764">
        <v>4480</v>
      </c>
      <c r="B155" s="768" t="s">
        <v>549</v>
      </c>
      <c r="C155" s="720">
        <v>5000</v>
      </c>
      <c r="D155" s="698">
        <f t="shared" si="18"/>
        <v>5000</v>
      </c>
      <c r="E155" s="698">
        <f t="shared" si="17"/>
        <v>4342</v>
      </c>
      <c r="F155" s="699">
        <f t="shared" si="14"/>
        <v>86.83999999999999</v>
      </c>
      <c r="G155" s="720">
        <v>5000</v>
      </c>
      <c r="H155" s="698">
        <v>4342</v>
      </c>
      <c r="I155" s="702">
        <f t="shared" si="12"/>
        <v>86.83999999999999</v>
      </c>
      <c r="J155" s="703"/>
      <c r="K155" s="698"/>
      <c r="L155" s="704"/>
      <c r="M155" s="698"/>
      <c r="N155" s="698"/>
      <c r="O155" s="766"/>
      <c r="P155" s="720"/>
      <c r="Q155" s="698"/>
      <c r="R155" s="770"/>
    </row>
    <row r="156" spans="1:18" ht="42" customHeight="1">
      <c r="A156" s="764">
        <v>4700</v>
      </c>
      <c r="B156" s="828" t="s">
        <v>550</v>
      </c>
      <c r="C156" s="720">
        <v>17500</v>
      </c>
      <c r="D156" s="698">
        <f t="shared" si="18"/>
        <v>11500</v>
      </c>
      <c r="E156" s="698">
        <f t="shared" si="17"/>
        <v>11477</v>
      </c>
      <c r="F156" s="699">
        <f t="shared" si="14"/>
        <v>99.8</v>
      </c>
      <c r="G156" s="720">
        <f>17500-6000</f>
        <v>11500</v>
      </c>
      <c r="H156" s="698">
        <v>11477</v>
      </c>
      <c r="I156" s="702">
        <f t="shared" si="12"/>
        <v>99.8</v>
      </c>
      <c r="J156" s="703"/>
      <c r="K156" s="698"/>
      <c r="L156" s="704"/>
      <c r="M156" s="698"/>
      <c r="N156" s="698"/>
      <c r="O156" s="766"/>
      <c r="P156" s="720"/>
      <c r="Q156" s="698"/>
      <c r="R156" s="770"/>
    </row>
    <row r="157" spans="1:18" ht="48.75" customHeight="1">
      <c r="A157" s="764">
        <v>4740</v>
      </c>
      <c r="B157" s="828" t="s">
        <v>235</v>
      </c>
      <c r="C157" s="720">
        <v>5000</v>
      </c>
      <c r="D157" s="698">
        <f t="shared" si="18"/>
        <v>5500</v>
      </c>
      <c r="E157" s="698">
        <f t="shared" si="17"/>
        <v>5463</v>
      </c>
      <c r="F157" s="699">
        <f t="shared" si="14"/>
        <v>99.32727272727273</v>
      </c>
      <c r="G157" s="720">
        <f>5000+500</f>
        <v>5500</v>
      </c>
      <c r="H157" s="698">
        <v>5463</v>
      </c>
      <c r="I157" s="702">
        <f aca="true" t="shared" si="19" ref="I157:I220">H157/G157*100</f>
        <v>99.32727272727273</v>
      </c>
      <c r="J157" s="703"/>
      <c r="K157" s="698"/>
      <c r="L157" s="704"/>
      <c r="M157" s="698"/>
      <c r="N157" s="698"/>
      <c r="O157" s="766"/>
      <c r="P157" s="720"/>
      <c r="Q157" s="698"/>
      <c r="R157" s="770"/>
    </row>
    <row r="158" spans="1:18" ht="36">
      <c r="A158" s="764">
        <v>4750</v>
      </c>
      <c r="B158" s="828" t="s">
        <v>551</v>
      </c>
      <c r="C158" s="720">
        <v>22000</v>
      </c>
      <c r="D158" s="698">
        <f t="shared" si="18"/>
        <v>28690</v>
      </c>
      <c r="E158" s="698">
        <f t="shared" si="17"/>
        <v>28686</v>
      </c>
      <c r="F158" s="699">
        <f t="shared" si="14"/>
        <v>99.9860578598815</v>
      </c>
      <c r="G158" s="720">
        <f>22000+4800+1890</f>
        <v>28690</v>
      </c>
      <c r="H158" s="698">
        <v>28686</v>
      </c>
      <c r="I158" s="744">
        <f t="shared" si="19"/>
        <v>99.9860578598815</v>
      </c>
      <c r="J158" s="703"/>
      <c r="K158" s="698"/>
      <c r="L158" s="704"/>
      <c r="M158" s="698"/>
      <c r="N158" s="698"/>
      <c r="O158" s="766"/>
      <c r="P158" s="720"/>
      <c r="Q158" s="698"/>
      <c r="R158" s="770"/>
    </row>
    <row r="159" spans="1:18" ht="35.25" customHeight="1" hidden="1" thickBot="1" thickTop="1">
      <c r="A159" s="764"/>
      <c r="B159" s="828"/>
      <c r="C159" s="720"/>
      <c r="D159" s="698">
        <f t="shared" si="18"/>
        <v>0</v>
      </c>
      <c r="E159" s="698">
        <f t="shared" si="17"/>
        <v>0</v>
      </c>
      <c r="F159" s="699" t="e">
        <f t="shared" si="14"/>
        <v>#DIV/0!</v>
      </c>
      <c r="G159" s="720"/>
      <c r="H159" s="698"/>
      <c r="I159" s="702" t="e">
        <f t="shared" si="19"/>
        <v>#DIV/0!</v>
      </c>
      <c r="J159" s="703"/>
      <c r="K159" s="698"/>
      <c r="L159" s="704"/>
      <c r="M159" s="698"/>
      <c r="N159" s="698"/>
      <c r="O159" s="766"/>
      <c r="P159" s="720"/>
      <c r="Q159" s="698"/>
      <c r="R159" s="770"/>
    </row>
    <row r="160" spans="1:18" ht="36" hidden="1">
      <c r="A160" s="764">
        <v>6050</v>
      </c>
      <c r="B160" s="828" t="s">
        <v>275</v>
      </c>
      <c r="C160" s="720"/>
      <c r="D160" s="698">
        <f t="shared" si="18"/>
        <v>0</v>
      </c>
      <c r="E160" s="698">
        <f t="shared" si="17"/>
        <v>0</v>
      </c>
      <c r="F160" s="699" t="e">
        <f t="shared" si="14"/>
        <v>#DIV/0!</v>
      </c>
      <c r="G160" s="720"/>
      <c r="H160" s="698"/>
      <c r="I160" s="702" t="e">
        <f t="shared" si="19"/>
        <v>#DIV/0!</v>
      </c>
      <c r="J160" s="703"/>
      <c r="K160" s="698"/>
      <c r="L160" s="704"/>
      <c r="M160" s="698"/>
      <c r="N160" s="698"/>
      <c r="O160" s="766"/>
      <c r="P160" s="720"/>
      <c r="Q160" s="698"/>
      <c r="R160" s="770"/>
    </row>
    <row r="161" spans="1:18" ht="37.5" customHeight="1" thickBot="1">
      <c r="A161" s="764">
        <v>6060</v>
      </c>
      <c r="B161" s="768" t="s">
        <v>552</v>
      </c>
      <c r="C161" s="720">
        <v>22000</v>
      </c>
      <c r="D161" s="698">
        <f t="shared" si="18"/>
        <v>22000</v>
      </c>
      <c r="E161" s="698">
        <f t="shared" si="17"/>
        <v>15900</v>
      </c>
      <c r="F161" s="699">
        <f t="shared" si="14"/>
        <v>72.27272727272728</v>
      </c>
      <c r="G161" s="720">
        <v>22000</v>
      </c>
      <c r="H161" s="698">
        <v>15900</v>
      </c>
      <c r="I161" s="699">
        <f t="shared" si="19"/>
        <v>72.27272727272728</v>
      </c>
      <c r="J161" s="703"/>
      <c r="K161" s="698"/>
      <c r="L161" s="704"/>
      <c r="M161" s="698"/>
      <c r="N161" s="698"/>
      <c r="O161" s="766"/>
      <c r="P161" s="720"/>
      <c r="Q161" s="698"/>
      <c r="R161" s="770"/>
    </row>
    <row r="162" spans="1:18" ht="9.75" customHeight="1" hidden="1">
      <c r="A162" s="764">
        <v>6050</v>
      </c>
      <c r="B162" s="768" t="s">
        <v>389</v>
      </c>
      <c r="C162" s="720">
        <v>0</v>
      </c>
      <c r="D162" s="698">
        <f t="shared" si="18"/>
        <v>0</v>
      </c>
      <c r="E162" s="698">
        <f t="shared" si="17"/>
        <v>0</v>
      </c>
      <c r="F162" s="699">
        <v>0</v>
      </c>
      <c r="G162" s="720">
        <v>0</v>
      </c>
      <c r="H162" s="698">
        <v>0</v>
      </c>
      <c r="I162" s="746">
        <v>0</v>
      </c>
      <c r="J162" s="703"/>
      <c r="K162" s="698"/>
      <c r="L162" s="704"/>
      <c r="M162" s="698"/>
      <c r="N162" s="698"/>
      <c r="O162" s="766"/>
      <c r="P162" s="720"/>
      <c r="Q162" s="698"/>
      <c r="R162" s="770"/>
    </row>
    <row r="163" spans="1:20" s="756" customFormat="1" ht="19.5" customHeight="1" thickBot="1" thickTop="1">
      <c r="A163" s="749">
        <v>630</v>
      </c>
      <c r="B163" s="750" t="s">
        <v>553</v>
      </c>
      <c r="C163" s="751">
        <f>C164++C169</f>
        <v>64000</v>
      </c>
      <c r="D163" s="674">
        <f t="shared" si="18"/>
        <v>64000</v>
      </c>
      <c r="E163" s="674">
        <f>H163+K163+Q163+N163</f>
        <v>33470</v>
      </c>
      <c r="F163" s="675">
        <f t="shared" si="14"/>
        <v>52.296875</v>
      </c>
      <c r="G163" s="751">
        <f>SUM(G164)+G169</f>
        <v>64000</v>
      </c>
      <c r="H163" s="674">
        <f>SUM(H164)+H169</f>
        <v>33470</v>
      </c>
      <c r="I163" s="850">
        <f t="shared" si="19"/>
        <v>52.296875</v>
      </c>
      <c r="J163" s="678"/>
      <c r="K163" s="674"/>
      <c r="L163" s="753"/>
      <c r="M163" s="674"/>
      <c r="N163" s="674"/>
      <c r="O163" s="754"/>
      <c r="P163" s="751"/>
      <c r="Q163" s="674"/>
      <c r="R163" s="851"/>
      <c r="S163" s="682"/>
      <c r="T163" s="682"/>
    </row>
    <row r="164" spans="1:18" ht="34.5" customHeight="1" thickTop="1">
      <c r="A164" s="757">
        <v>63003</v>
      </c>
      <c r="B164" s="852" t="s">
        <v>554</v>
      </c>
      <c r="C164" s="725">
        <f>SUM(C165:C168)</f>
        <v>64000</v>
      </c>
      <c r="D164" s="759">
        <f t="shared" si="18"/>
        <v>64000</v>
      </c>
      <c r="E164" s="686">
        <f>H164+K164+Q164+N164</f>
        <v>33470</v>
      </c>
      <c r="F164" s="760">
        <f t="shared" si="14"/>
        <v>52.296875</v>
      </c>
      <c r="G164" s="725">
        <f>SUM(G165:G168)</f>
        <v>64000</v>
      </c>
      <c r="H164" s="712">
        <f>SUM(H165:H168)</f>
        <v>33470</v>
      </c>
      <c r="I164" s="853">
        <f t="shared" si="19"/>
        <v>52.296875</v>
      </c>
      <c r="J164" s="717"/>
      <c r="K164" s="712"/>
      <c r="L164" s="718"/>
      <c r="M164" s="712"/>
      <c r="N164" s="712"/>
      <c r="O164" s="762"/>
      <c r="P164" s="725"/>
      <c r="Q164" s="712"/>
      <c r="R164" s="846"/>
    </row>
    <row r="165" spans="1:18" ht="63.75" customHeight="1">
      <c r="A165" s="764">
        <v>2820</v>
      </c>
      <c r="B165" s="768" t="s">
        <v>555</v>
      </c>
      <c r="C165" s="720">
        <v>7000</v>
      </c>
      <c r="D165" s="698">
        <f t="shared" si="18"/>
        <v>15000</v>
      </c>
      <c r="E165" s="698">
        <f aca="true" t="shared" si="20" ref="E165:E188">SUM(H165+K165+N165+Q165)</f>
        <v>3000</v>
      </c>
      <c r="F165" s="699">
        <f t="shared" si="14"/>
        <v>20</v>
      </c>
      <c r="G165" s="720">
        <f>7000-4000+12000</f>
        <v>15000</v>
      </c>
      <c r="H165" s="698">
        <v>3000</v>
      </c>
      <c r="I165" s="699">
        <f t="shared" si="19"/>
        <v>20</v>
      </c>
      <c r="J165" s="698"/>
      <c r="K165" s="698"/>
      <c r="L165" s="704"/>
      <c r="M165" s="698"/>
      <c r="N165" s="698"/>
      <c r="O165" s="766"/>
      <c r="P165" s="720"/>
      <c r="Q165" s="698"/>
      <c r="R165" s="770"/>
    </row>
    <row r="166" spans="1:18" ht="64.5" customHeight="1">
      <c r="A166" s="764">
        <v>2810</v>
      </c>
      <c r="B166" s="768" t="s">
        <v>556</v>
      </c>
      <c r="C166" s="720"/>
      <c r="D166" s="698">
        <f>G166+J166+P166+M166</f>
        <v>4000</v>
      </c>
      <c r="E166" s="698">
        <f>SUM(H166+K166+N166+Q166)</f>
        <v>3097</v>
      </c>
      <c r="F166" s="699">
        <f>E166/D166*100</f>
        <v>77.425</v>
      </c>
      <c r="G166" s="720">
        <v>4000</v>
      </c>
      <c r="H166" s="698">
        <v>3097</v>
      </c>
      <c r="I166" s="699">
        <f t="shared" si="19"/>
        <v>77.425</v>
      </c>
      <c r="J166" s="703"/>
      <c r="K166" s="698"/>
      <c r="L166" s="704"/>
      <c r="M166" s="698"/>
      <c r="N166" s="698"/>
      <c r="O166" s="766"/>
      <c r="P166" s="720"/>
      <c r="Q166" s="698"/>
      <c r="R166" s="770"/>
    </row>
    <row r="167" spans="1:18" ht="25.5" customHeight="1">
      <c r="A167" s="764">
        <v>4210</v>
      </c>
      <c r="B167" s="765" t="s">
        <v>557</v>
      </c>
      <c r="C167" s="720">
        <v>5000</v>
      </c>
      <c r="D167" s="698">
        <f>G167+J167+P167+M167</f>
        <v>5000</v>
      </c>
      <c r="E167" s="698">
        <f>SUM(H167+K167+N167+Q167)</f>
        <v>0</v>
      </c>
      <c r="F167" s="699">
        <f>E167/D167*100</f>
        <v>0</v>
      </c>
      <c r="G167" s="720">
        <v>5000</v>
      </c>
      <c r="H167" s="698"/>
      <c r="I167" s="746">
        <f t="shared" si="19"/>
        <v>0</v>
      </c>
      <c r="J167" s="703"/>
      <c r="K167" s="698"/>
      <c r="L167" s="704"/>
      <c r="M167" s="698"/>
      <c r="N167" s="698"/>
      <c r="O167" s="766"/>
      <c r="P167" s="720"/>
      <c r="Q167" s="698"/>
      <c r="R167" s="770"/>
    </row>
    <row r="168" spans="1:18" ht="24.75" thickBot="1">
      <c r="A168" s="764">
        <v>4300</v>
      </c>
      <c r="B168" s="768" t="s">
        <v>558</v>
      </c>
      <c r="C168" s="720">
        <v>52000</v>
      </c>
      <c r="D168" s="698">
        <f t="shared" si="18"/>
        <v>40000</v>
      </c>
      <c r="E168" s="698">
        <f t="shared" si="20"/>
        <v>27373</v>
      </c>
      <c r="F168" s="699">
        <f t="shared" si="14"/>
        <v>68.43249999999999</v>
      </c>
      <c r="G168" s="720">
        <f>52000-12000</f>
        <v>40000</v>
      </c>
      <c r="H168" s="698">
        <v>27373</v>
      </c>
      <c r="I168" s="746">
        <f t="shared" si="19"/>
        <v>68.43249999999999</v>
      </c>
      <c r="J168" s="703"/>
      <c r="K168" s="698"/>
      <c r="L168" s="704"/>
      <c r="M168" s="698"/>
      <c r="N168" s="698"/>
      <c r="O168" s="766"/>
      <c r="P168" s="720"/>
      <c r="Q168" s="698"/>
      <c r="R168" s="770"/>
    </row>
    <row r="169" spans="1:20" s="756" customFormat="1" ht="16.5" customHeight="1" hidden="1">
      <c r="A169" s="757">
        <v>63095</v>
      </c>
      <c r="B169" s="852" t="s">
        <v>233</v>
      </c>
      <c r="C169" s="725">
        <f>C170+C177+C189</f>
        <v>0</v>
      </c>
      <c r="D169" s="712">
        <f t="shared" si="18"/>
        <v>0</v>
      </c>
      <c r="E169" s="712">
        <f t="shared" si="20"/>
        <v>0</v>
      </c>
      <c r="F169" s="726"/>
      <c r="G169" s="725">
        <f>G170+G177+G189</f>
        <v>0</v>
      </c>
      <c r="H169" s="712">
        <f>H170+H177+H189</f>
        <v>0</v>
      </c>
      <c r="I169" s="854"/>
      <c r="J169" s="717"/>
      <c r="K169" s="712"/>
      <c r="L169" s="718"/>
      <c r="M169" s="712"/>
      <c r="N169" s="712"/>
      <c r="O169" s="801"/>
      <c r="P169" s="725"/>
      <c r="Q169" s="712"/>
      <c r="R169" s="802"/>
      <c r="S169" s="682"/>
      <c r="T169" s="682"/>
    </row>
    <row r="170" spans="1:20" s="862" customFormat="1" ht="24.75" hidden="1" thickBot="1">
      <c r="A170" s="855"/>
      <c r="B170" s="856" t="s">
        <v>559</v>
      </c>
      <c r="C170" s="857">
        <f>SUM(C171:C176)</f>
        <v>0</v>
      </c>
      <c r="D170" s="858">
        <f t="shared" si="18"/>
        <v>0</v>
      </c>
      <c r="E170" s="858">
        <f t="shared" si="20"/>
        <v>0</v>
      </c>
      <c r="F170" s="747"/>
      <c r="G170" s="857">
        <f>SUM(G171:G176)</f>
        <v>0</v>
      </c>
      <c r="H170" s="858">
        <f>SUM(H171:H176)</f>
        <v>0</v>
      </c>
      <c r="I170" s="746"/>
      <c r="J170" s="859"/>
      <c r="K170" s="858"/>
      <c r="L170" s="779"/>
      <c r="M170" s="858"/>
      <c r="N170" s="858"/>
      <c r="O170" s="779"/>
      <c r="P170" s="857"/>
      <c r="Q170" s="858"/>
      <c r="R170" s="860"/>
      <c r="S170" s="861"/>
      <c r="T170" s="861"/>
    </row>
    <row r="171" spans="1:18" ht="16.5" customHeight="1" hidden="1">
      <c r="A171" s="764">
        <v>4308</v>
      </c>
      <c r="B171" s="768" t="s">
        <v>236</v>
      </c>
      <c r="C171" s="720"/>
      <c r="D171" s="698">
        <f t="shared" si="18"/>
        <v>0</v>
      </c>
      <c r="E171" s="698">
        <f t="shared" si="20"/>
        <v>0</v>
      </c>
      <c r="F171" s="863"/>
      <c r="G171" s="720"/>
      <c r="H171" s="698"/>
      <c r="I171" s="767"/>
      <c r="J171" s="703"/>
      <c r="K171" s="698"/>
      <c r="L171" s="704"/>
      <c r="M171" s="698"/>
      <c r="N171" s="698"/>
      <c r="O171" s="766"/>
      <c r="P171" s="720"/>
      <c r="Q171" s="698"/>
      <c r="R171" s="770"/>
    </row>
    <row r="172" spans="1:18" ht="16.5" customHeight="1" hidden="1" thickBot="1">
      <c r="A172" s="764">
        <v>4309</v>
      </c>
      <c r="B172" s="768" t="s">
        <v>236</v>
      </c>
      <c r="C172" s="720"/>
      <c r="D172" s="698">
        <f t="shared" si="18"/>
        <v>0</v>
      </c>
      <c r="E172" s="698">
        <f t="shared" si="20"/>
        <v>0</v>
      </c>
      <c r="F172" s="863"/>
      <c r="G172" s="720"/>
      <c r="H172" s="698"/>
      <c r="I172" s="767"/>
      <c r="J172" s="703"/>
      <c r="K172" s="698"/>
      <c r="L172" s="704"/>
      <c r="M172" s="698"/>
      <c r="N172" s="698"/>
      <c r="O172" s="766"/>
      <c r="P172" s="720"/>
      <c r="Q172" s="698"/>
      <c r="R172" s="770"/>
    </row>
    <row r="173" spans="1:18" ht="16.5" customHeight="1" hidden="1" thickBot="1">
      <c r="A173" s="764">
        <v>4418</v>
      </c>
      <c r="B173" s="768" t="s">
        <v>193</v>
      </c>
      <c r="C173" s="720"/>
      <c r="D173" s="698">
        <f t="shared" si="18"/>
        <v>0</v>
      </c>
      <c r="E173" s="698">
        <f t="shared" si="20"/>
        <v>0</v>
      </c>
      <c r="F173" s="863"/>
      <c r="G173" s="720"/>
      <c r="H173" s="698"/>
      <c r="I173" s="767"/>
      <c r="J173" s="703"/>
      <c r="K173" s="698"/>
      <c r="L173" s="704"/>
      <c r="M173" s="698"/>
      <c r="N173" s="698"/>
      <c r="O173" s="766"/>
      <c r="P173" s="720"/>
      <c r="Q173" s="698"/>
      <c r="R173" s="770"/>
    </row>
    <row r="174" spans="1:18" ht="16.5" customHeight="1" hidden="1" thickBot="1">
      <c r="A174" s="764">
        <v>4419</v>
      </c>
      <c r="B174" s="768" t="s">
        <v>193</v>
      </c>
      <c r="C174" s="720"/>
      <c r="D174" s="698">
        <f t="shared" si="18"/>
        <v>0</v>
      </c>
      <c r="E174" s="698">
        <f t="shared" si="20"/>
        <v>0</v>
      </c>
      <c r="F174" s="863"/>
      <c r="G174" s="720"/>
      <c r="H174" s="698"/>
      <c r="I174" s="767"/>
      <c r="J174" s="703"/>
      <c r="K174" s="698"/>
      <c r="L174" s="704"/>
      <c r="M174" s="698"/>
      <c r="N174" s="698"/>
      <c r="O174" s="766"/>
      <c r="P174" s="720"/>
      <c r="Q174" s="698"/>
      <c r="R174" s="770"/>
    </row>
    <row r="175" spans="1:18" ht="24.75" hidden="1" thickBot="1">
      <c r="A175" s="764">
        <v>4428</v>
      </c>
      <c r="B175" s="768" t="s">
        <v>560</v>
      </c>
      <c r="C175" s="720"/>
      <c r="D175" s="698">
        <f t="shared" si="18"/>
        <v>0</v>
      </c>
      <c r="E175" s="698">
        <f t="shared" si="20"/>
        <v>0</v>
      </c>
      <c r="F175" s="863"/>
      <c r="G175" s="720"/>
      <c r="H175" s="698"/>
      <c r="I175" s="767"/>
      <c r="J175" s="703"/>
      <c r="K175" s="698"/>
      <c r="L175" s="704"/>
      <c r="M175" s="698"/>
      <c r="N175" s="698"/>
      <c r="O175" s="766"/>
      <c r="P175" s="720"/>
      <c r="Q175" s="698"/>
      <c r="R175" s="770"/>
    </row>
    <row r="176" spans="1:18" ht="24.75" hidden="1" thickBot="1">
      <c r="A176" s="764">
        <v>4429</v>
      </c>
      <c r="B176" s="768" t="s">
        <v>560</v>
      </c>
      <c r="C176" s="720"/>
      <c r="D176" s="698">
        <f t="shared" si="18"/>
        <v>0</v>
      </c>
      <c r="E176" s="698">
        <f t="shared" si="20"/>
        <v>0</v>
      </c>
      <c r="F176" s="863"/>
      <c r="G176" s="720"/>
      <c r="H176" s="698"/>
      <c r="I176" s="767"/>
      <c r="J176" s="703"/>
      <c r="K176" s="698"/>
      <c r="L176" s="704"/>
      <c r="M176" s="698"/>
      <c r="N176" s="698"/>
      <c r="O176" s="766"/>
      <c r="P176" s="720"/>
      <c r="Q176" s="698"/>
      <c r="R176" s="770"/>
    </row>
    <row r="177" spans="1:20" s="862" customFormat="1" ht="48.75" hidden="1" thickBot="1">
      <c r="A177" s="855"/>
      <c r="B177" s="856" t="s">
        <v>561</v>
      </c>
      <c r="C177" s="857">
        <f>SUM(C178:C188)</f>
        <v>0</v>
      </c>
      <c r="D177" s="858">
        <f t="shared" si="18"/>
        <v>0</v>
      </c>
      <c r="E177" s="858">
        <f t="shared" si="20"/>
        <v>0</v>
      </c>
      <c r="F177" s="699"/>
      <c r="G177" s="857">
        <f>SUM(G178:G188)</f>
        <v>0</v>
      </c>
      <c r="H177" s="858">
        <f>SUM(H178:H188)</f>
        <v>0</v>
      </c>
      <c r="I177" s="746"/>
      <c r="J177" s="859"/>
      <c r="K177" s="858"/>
      <c r="L177" s="779"/>
      <c r="M177" s="858"/>
      <c r="N177" s="858"/>
      <c r="O177" s="779"/>
      <c r="P177" s="857"/>
      <c r="Q177" s="858"/>
      <c r="R177" s="860"/>
      <c r="S177" s="861"/>
      <c r="T177" s="861"/>
    </row>
    <row r="178" spans="1:18" ht="36.75" hidden="1" thickBot="1">
      <c r="A178" s="764">
        <v>4110</v>
      </c>
      <c r="B178" s="768" t="s">
        <v>281</v>
      </c>
      <c r="C178" s="720"/>
      <c r="D178" s="698">
        <f t="shared" si="18"/>
        <v>0</v>
      </c>
      <c r="E178" s="698">
        <f t="shared" si="20"/>
        <v>0</v>
      </c>
      <c r="F178" s="863"/>
      <c r="G178" s="720"/>
      <c r="H178" s="698"/>
      <c r="I178" s="767"/>
      <c r="J178" s="703"/>
      <c r="K178" s="698"/>
      <c r="L178" s="704"/>
      <c r="M178" s="698"/>
      <c r="N178" s="698"/>
      <c r="O178" s="766"/>
      <c r="P178" s="720"/>
      <c r="Q178" s="698"/>
      <c r="R178" s="770"/>
    </row>
    <row r="179" spans="1:18" ht="16.5" customHeight="1" hidden="1" thickBot="1">
      <c r="A179" s="764">
        <v>4120</v>
      </c>
      <c r="B179" s="768" t="s">
        <v>282</v>
      </c>
      <c r="C179" s="720"/>
      <c r="D179" s="698">
        <f t="shared" si="18"/>
        <v>0</v>
      </c>
      <c r="E179" s="698">
        <f t="shared" si="20"/>
        <v>0</v>
      </c>
      <c r="F179" s="863"/>
      <c r="G179" s="720"/>
      <c r="H179" s="698"/>
      <c r="I179" s="767"/>
      <c r="J179" s="703"/>
      <c r="K179" s="698"/>
      <c r="L179" s="704"/>
      <c r="M179" s="698"/>
      <c r="N179" s="698"/>
      <c r="O179" s="766"/>
      <c r="P179" s="720"/>
      <c r="Q179" s="698"/>
      <c r="R179" s="770"/>
    </row>
    <row r="180" spans="1:18" ht="24.75" hidden="1" thickBot="1">
      <c r="A180" s="764">
        <v>4178</v>
      </c>
      <c r="B180" s="768" t="s">
        <v>242</v>
      </c>
      <c r="C180" s="720"/>
      <c r="D180" s="698">
        <f t="shared" si="18"/>
        <v>0</v>
      </c>
      <c r="E180" s="698">
        <f t="shared" si="20"/>
        <v>0</v>
      </c>
      <c r="F180" s="863"/>
      <c r="G180" s="720"/>
      <c r="H180" s="698"/>
      <c r="I180" s="767"/>
      <c r="J180" s="703"/>
      <c r="K180" s="698"/>
      <c r="L180" s="704"/>
      <c r="M180" s="698"/>
      <c r="N180" s="698"/>
      <c r="O180" s="766"/>
      <c r="P180" s="720"/>
      <c r="Q180" s="698"/>
      <c r="R180" s="770"/>
    </row>
    <row r="181" spans="1:18" ht="24.75" hidden="1" thickBot="1">
      <c r="A181" s="764">
        <v>4179</v>
      </c>
      <c r="B181" s="768" t="s">
        <v>242</v>
      </c>
      <c r="C181" s="720"/>
      <c r="D181" s="698">
        <f t="shared" si="18"/>
        <v>0</v>
      </c>
      <c r="E181" s="698">
        <f t="shared" si="20"/>
        <v>0</v>
      </c>
      <c r="F181" s="863"/>
      <c r="G181" s="720"/>
      <c r="H181" s="698"/>
      <c r="I181" s="767"/>
      <c r="J181" s="703"/>
      <c r="K181" s="698"/>
      <c r="L181" s="704"/>
      <c r="M181" s="698"/>
      <c r="N181" s="698"/>
      <c r="O181" s="766"/>
      <c r="P181" s="720"/>
      <c r="Q181" s="698"/>
      <c r="R181" s="770"/>
    </row>
    <row r="182" spans="1:18" ht="24.75" hidden="1" thickBot="1">
      <c r="A182" s="764">
        <v>4218</v>
      </c>
      <c r="B182" s="765" t="s">
        <v>211</v>
      </c>
      <c r="C182" s="720"/>
      <c r="D182" s="698">
        <f t="shared" si="18"/>
        <v>0</v>
      </c>
      <c r="E182" s="698">
        <f t="shared" si="20"/>
        <v>0</v>
      </c>
      <c r="F182" s="863"/>
      <c r="G182" s="720"/>
      <c r="H182" s="698"/>
      <c r="I182" s="767"/>
      <c r="J182" s="703"/>
      <c r="K182" s="698"/>
      <c r="L182" s="704"/>
      <c r="M182" s="698"/>
      <c r="N182" s="698"/>
      <c r="O182" s="766"/>
      <c r="P182" s="720"/>
      <c r="Q182" s="698"/>
      <c r="R182" s="770"/>
    </row>
    <row r="183" spans="1:18" ht="24.75" hidden="1" thickBot="1">
      <c r="A183" s="764">
        <v>4219</v>
      </c>
      <c r="B183" s="765" t="s">
        <v>211</v>
      </c>
      <c r="C183" s="720"/>
      <c r="D183" s="698">
        <f t="shared" si="18"/>
        <v>0</v>
      </c>
      <c r="E183" s="698">
        <f t="shared" si="20"/>
        <v>0</v>
      </c>
      <c r="F183" s="863"/>
      <c r="G183" s="720"/>
      <c r="H183" s="698"/>
      <c r="I183" s="767"/>
      <c r="J183" s="703"/>
      <c r="K183" s="698"/>
      <c r="L183" s="704"/>
      <c r="M183" s="698"/>
      <c r="N183" s="698"/>
      <c r="O183" s="766"/>
      <c r="P183" s="720"/>
      <c r="Q183" s="698"/>
      <c r="R183" s="770"/>
    </row>
    <row r="184" spans="1:18" ht="16.5" customHeight="1" hidden="1" thickBot="1">
      <c r="A184" s="764">
        <v>4300</v>
      </c>
      <c r="B184" s="768" t="s">
        <v>236</v>
      </c>
      <c r="C184" s="720"/>
      <c r="D184" s="698">
        <f t="shared" si="18"/>
        <v>0</v>
      </c>
      <c r="E184" s="698">
        <f t="shared" si="20"/>
        <v>0</v>
      </c>
      <c r="F184" s="863"/>
      <c r="G184" s="720"/>
      <c r="H184" s="698"/>
      <c r="I184" s="767"/>
      <c r="J184" s="703"/>
      <c r="K184" s="698"/>
      <c r="L184" s="704"/>
      <c r="M184" s="698"/>
      <c r="N184" s="698"/>
      <c r="O184" s="766"/>
      <c r="P184" s="720"/>
      <c r="Q184" s="698"/>
      <c r="R184" s="770"/>
    </row>
    <row r="185" spans="1:18" ht="16.5" customHeight="1" hidden="1" thickBot="1">
      <c r="A185" s="764">
        <v>4308</v>
      </c>
      <c r="B185" s="768" t="s">
        <v>236</v>
      </c>
      <c r="C185" s="720"/>
      <c r="D185" s="698">
        <f t="shared" si="18"/>
        <v>0</v>
      </c>
      <c r="E185" s="698">
        <f>SUM(H185+K185+N185+Q185)</f>
        <v>0</v>
      </c>
      <c r="F185" s="863"/>
      <c r="G185" s="720"/>
      <c r="H185" s="698"/>
      <c r="I185" s="767"/>
      <c r="J185" s="703"/>
      <c r="K185" s="698"/>
      <c r="L185" s="704"/>
      <c r="M185" s="698"/>
      <c r="N185" s="698"/>
      <c r="O185" s="766"/>
      <c r="P185" s="720"/>
      <c r="Q185" s="698"/>
      <c r="R185" s="770"/>
    </row>
    <row r="186" spans="1:18" ht="16.5" customHeight="1" hidden="1" thickBot="1">
      <c r="A186" s="764">
        <v>4309</v>
      </c>
      <c r="B186" s="768" t="s">
        <v>236</v>
      </c>
      <c r="C186" s="720"/>
      <c r="D186" s="698">
        <f t="shared" si="18"/>
        <v>0</v>
      </c>
      <c r="E186" s="698">
        <f>SUM(H186+K186+N186+Q186)</f>
        <v>0</v>
      </c>
      <c r="F186" s="863"/>
      <c r="G186" s="720"/>
      <c r="H186" s="698"/>
      <c r="I186" s="767"/>
      <c r="J186" s="703"/>
      <c r="K186" s="698"/>
      <c r="L186" s="704"/>
      <c r="M186" s="698"/>
      <c r="N186" s="698"/>
      <c r="O186" s="766"/>
      <c r="P186" s="720"/>
      <c r="Q186" s="698"/>
      <c r="R186" s="770"/>
    </row>
    <row r="187" spans="1:18" ht="36.75" hidden="1" thickBot="1">
      <c r="A187" s="764">
        <v>4388</v>
      </c>
      <c r="B187" s="768" t="s">
        <v>562</v>
      </c>
      <c r="C187" s="720"/>
      <c r="D187" s="698">
        <f t="shared" si="18"/>
        <v>0</v>
      </c>
      <c r="E187" s="698">
        <f t="shared" si="20"/>
        <v>0</v>
      </c>
      <c r="F187" s="863"/>
      <c r="G187" s="720"/>
      <c r="H187" s="698"/>
      <c r="I187" s="767"/>
      <c r="J187" s="703"/>
      <c r="K187" s="698"/>
      <c r="L187" s="704"/>
      <c r="M187" s="698"/>
      <c r="N187" s="698"/>
      <c r="O187" s="766"/>
      <c r="P187" s="720"/>
      <c r="Q187" s="698"/>
      <c r="R187" s="770"/>
    </row>
    <row r="188" spans="1:18" ht="36.75" hidden="1" thickBot="1">
      <c r="A188" s="764">
        <v>4389</v>
      </c>
      <c r="B188" s="768" t="s">
        <v>562</v>
      </c>
      <c r="C188" s="720"/>
      <c r="D188" s="698">
        <f t="shared" si="18"/>
        <v>0</v>
      </c>
      <c r="E188" s="698">
        <f t="shared" si="20"/>
        <v>0</v>
      </c>
      <c r="F188" s="863"/>
      <c r="G188" s="720"/>
      <c r="H188" s="698"/>
      <c r="I188" s="767"/>
      <c r="J188" s="703"/>
      <c r="K188" s="698"/>
      <c r="L188" s="704"/>
      <c r="M188" s="698"/>
      <c r="N188" s="698"/>
      <c r="O188" s="766"/>
      <c r="P188" s="720"/>
      <c r="Q188" s="698"/>
      <c r="R188" s="770"/>
    </row>
    <row r="189" spans="1:20" s="862" customFormat="1" ht="36.75" hidden="1" thickBot="1">
      <c r="A189" s="855"/>
      <c r="B189" s="856" t="s">
        <v>563</v>
      </c>
      <c r="C189" s="857">
        <f>SUM(C190)</f>
        <v>0</v>
      </c>
      <c r="D189" s="858">
        <f t="shared" si="18"/>
        <v>0</v>
      </c>
      <c r="E189" s="858">
        <f>SUM(H189+K189+N189+Q189)</f>
        <v>0</v>
      </c>
      <c r="F189" s="747"/>
      <c r="G189" s="857">
        <f>SUM(G190)</f>
        <v>0</v>
      </c>
      <c r="H189" s="858">
        <f>SUM(H190)</f>
        <v>0</v>
      </c>
      <c r="I189" s="767"/>
      <c r="J189" s="859"/>
      <c r="K189" s="858"/>
      <c r="L189" s="779"/>
      <c r="M189" s="858"/>
      <c r="N189" s="858"/>
      <c r="O189" s="779"/>
      <c r="P189" s="857"/>
      <c r="Q189" s="858"/>
      <c r="R189" s="860"/>
      <c r="S189" s="861"/>
      <c r="T189" s="861"/>
    </row>
    <row r="190" spans="1:18" ht="72.75" hidden="1" thickBot="1">
      <c r="A190" s="764">
        <v>2710</v>
      </c>
      <c r="B190" s="768" t="s">
        <v>564</v>
      </c>
      <c r="C190" s="720"/>
      <c r="D190" s="698">
        <f t="shared" si="18"/>
        <v>0</v>
      </c>
      <c r="E190" s="698">
        <f>SUM(H190+K190+N190+Q190)</f>
        <v>0</v>
      </c>
      <c r="F190" s="863"/>
      <c r="G190" s="720">
        <f>100000-100000</f>
        <v>0</v>
      </c>
      <c r="H190" s="698"/>
      <c r="I190" s="767"/>
      <c r="J190" s="703"/>
      <c r="K190" s="698"/>
      <c r="L190" s="704"/>
      <c r="M190" s="698"/>
      <c r="N190" s="698"/>
      <c r="O190" s="766"/>
      <c r="P190" s="720"/>
      <c r="Q190" s="698"/>
      <c r="R190" s="770"/>
    </row>
    <row r="191" spans="1:18" ht="24.75" customHeight="1" thickBot="1" thickTop="1">
      <c r="A191" s="749">
        <v>700</v>
      </c>
      <c r="B191" s="750" t="s">
        <v>565</v>
      </c>
      <c r="C191" s="751">
        <f>C192+C195+C216+C214</f>
        <v>22940100</v>
      </c>
      <c r="D191" s="674">
        <f t="shared" si="18"/>
        <v>23099621</v>
      </c>
      <c r="E191" s="674">
        <f>H191+K191+Q191+N191</f>
        <v>17164664</v>
      </c>
      <c r="F191" s="675">
        <f aca="true" t="shared" si="21" ref="F191:F254">E191/D191*100</f>
        <v>74.30712391341831</v>
      </c>
      <c r="G191" s="751">
        <f>G192+G195+G216+G214</f>
        <v>23060621</v>
      </c>
      <c r="H191" s="674">
        <f>H192+H195+H216+H214</f>
        <v>17125711</v>
      </c>
      <c r="I191" s="677">
        <f t="shared" si="19"/>
        <v>74.2638760682117</v>
      </c>
      <c r="J191" s="674"/>
      <c r="K191" s="674"/>
      <c r="L191" s="753"/>
      <c r="M191" s="674"/>
      <c r="N191" s="674"/>
      <c r="O191" s="754"/>
      <c r="P191" s="751">
        <f>P192+P195+P216</f>
        <v>39000</v>
      </c>
      <c r="Q191" s="674">
        <f>Q192+Q195+Q216</f>
        <v>38953</v>
      </c>
      <c r="R191" s="677">
        <f>Q191/P191*100</f>
        <v>99.87948717948719</v>
      </c>
    </row>
    <row r="192" spans="1:20" s="756" customFormat="1" ht="24.75" thickTop="1">
      <c r="A192" s="835">
        <v>70001</v>
      </c>
      <c r="B192" s="836" t="s">
        <v>566</v>
      </c>
      <c r="C192" s="837">
        <f>SUM(C193:C194)</f>
        <v>6700000</v>
      </c>
      <c r="D192" s="759">
        <f t="shared" si="18"/>
        <v>6800000</v>
      </c>
      <c r="E192" s="686">
        <f aca="true" t="shared" si="22" ref="E192:E228">SUM(H192+K192+N192+Q192)</f>
        <v>6800000</v>
      </c>
      <c r="F192" s="760">
        <f t="shared" si="21"/>
        <v>100</v>
      </c>
      <c r="G192" s="864">
        <f>SUM(G193:G194)</f>
        <v>6800000</v>
      </c>
      <c r="H192" s="686">
        <f>SUM(H193:H194)</f>
        <v>6800000</v>
      </c>
      <c r="I192" s="761">
        <f t="shared" si="19"/>
        <v>100</v>
      </c>
      <c r="J192" s="759"/>
      <c r="K192" s="839"/>
      <c r="L192" s="865"/>
      <c r="M192" s="759"/>
      <c r="N192" s="759"/>
      <c r="O192" s="806"/>
      <c r="P192" s="837"/>
      <c r="Q192" s="759"/>
      <c r="R192" s="797"/>
      <c r="S192" s="682"/>
      <c r="T192" s="682"/>
    </row>
    <row r="193" spans="1:18" ht="36">
      <c r="A193" s="784">
        <v>2650</v>
      </c>
      <c r="B193" s="785" t="s">
        <v>567</v>
      </c>
      <c r="C193" s="723">
        <v>6700000</v>
      </c>
      <c r="D193" s="732">
        <f t="shared" si="18"/>
        <v>6700000</v>
      </c>
      <c r="E193" s="732">
        <f t="shared" si="22"/>
        <v>6700000</v>
      </c>
      <c r="F193" s="721">
        <f t="shared" si="21"/>
        <v>100</v>
      </c>
      <c r="G193" s="723">
        <v>6700000</v>
      </c>
      <c r="H193" s="732">
        <v>6700000</v>
      </c>
      <c r="I193" s="786">
        <f t="shared" si="19"/>
        <v>100</v>
      </c>
      <c r="J193" s="735"/>
      <c r="K193" s="735"/>
      <c r="L193" s="736"/>
      <c r="M193" s="732"/>
      <c r="N193" s="732"/>
      <c r="O193" s="803"/>
      <c r="P193" s="723"/>
      <c r="Q193" s="732"/>
      <c r="R193" s="788"/>
    </row>
    <row r="194" spans="1:18" ht="78.75" customHeight="1">
      <c r="A194" s="789">
        <v>6210</v>
      </c>
      <c r="B194" s="790" t="s">
        <v>568</v>
      </c>
      <c r="C194" s="720"/>
      <c r="D194" s="698">
        <f t="shared" si="18"/>
        <v>100000</v>
      </c>
      <c r="E194" s="698">
        <f t="shared" si="22"/>
        <v>100000</v>
      </c>
      <c r="F194" s="699">
        <f t="shared" si="21"/>
        <v>100</v>
      </c>
      <c r="G194" s="720">
        <f>400000-300000</f>
        <v>100000</v>
      </c>
      <c r="H194" s="698">
        <v>100000</v>
      </c>
      <c r="I194" s="744">
        <f t="shared" si="19"/>
        <v>100</v>
      </c>
      <c r="J194" s="703"/>
      <c r="K194" s="698"/>
      <c r="L194" s="704"/>
      <c r="M194" s="698"/>
      <c r="N194" s="698"/>
      <c r="O194" s="766"/>
      <c r="P194" s="720"/>
      <c r="Q194" s="698"/>
      <c r="R194" s="770"/>
    </row>
    <row r="195" spans="1:20" s="756" customFormat="1" ht="24.75" customHeight="1">
      <c r="A195" s="757">
        <v>70005</v>
      </c>
      <c r="B195" s="852" t="s">
        <v>569</v>
      </c>
      <c r="C195" s="725">
        <f>SUM(C196:C213)</f>
        <v>6697500</v>
      </c>
      <c r="D195" s="712">
        <f t="shared" si="18"/>
        <v>4159920</v>
      </c>
      <c r="E195" s="712">
        <f>H195+K195+Q195+N195</f>
        <v>3697104</v>
      </c>
      <c r="F195" s="713">
        <f t="shared" si="21"/>
        <v>88.87440143079675</v>
      </c>
      <c r="G195" s="725">
        <f>SUM(G196:G213)</f>
        <v>4120920</v>
      </c>
      <c r="H195" s="712">
        <f>SUM(H196:H213)</f>
        <v>3658151</v>
      </c>
      <c r="I195" s="719">
        <f t="shared" si="19"/>
        <v>88.77025033245005</v>
      </c>
      <c r="J195" s="717"/>
      <c r="K195" s="712"/>
      <c r="L195" s="718"/>
      <c r="M195" s="712"/>
      <c r="N195" s="712"/>
      <c r="O195" s="762"/>
      <c r="P195" s="725">
        <f>SUM(P196:P213)</f>
        <v>39000</v>
      </c>
      <c r="Q195" s="712">
        <f>SUM(Q196:Q213)</f>
        <v>38953</v>
      </c>
      <c r="R195" s="719">
        <f>Q195/P195*100</f>
        <v>99.87948717948719</v>
      </c>
      <c r="S195" s="682"/>
      <c r="T195" s="682"/>
    </row>
    <row r="196" spans="1:18" ht="24" hidden="1">
      <c r="A196" s="764">
        <v>4300</v>
      </c>
      <c r="B196" s="768" t="s">
        <v>570</v>
      </c>
      <c r="C196" s="723"/>
      <c r="D196" s="732">
        <f t="shared" si="18"/>
        <v>0</v>
      </c>
      <c r="E196" s="732">
        <f t="shared" si="22"/>
        <v>0</v>
      </c>
      <c r="F196" s="721" t="e">
        <f t="shared" si="21"/>
        <v>#DIV/0!</v>
      </c>
      <c r="G196" s="723"/>
      <c r="H196" s="732"/>
      <c r="I196" s="707" t="e">
        <f t="shared" si="19"/>
        <v>#DIV/0!</v>
      </c>
      <c r="J196" s="735"/>
      <c r="K196" s="732"/>
      <c r="L196" s="736"/>
      <c r="M196" s="732"/>
      <c r="N196" s="732"/>
      <c r="O196" s="803"/>
      <c r="P196" s="723"/>
      <c r="Q196" s="732"/>
      <c r="R196" s="788"/>
    </row>
    <row r="197" spans="1:18" ht="29.25" customHeight="1" hidden="1">
      <c r="A197" s="764">
        <v>4300</v>
      </c>
      <c r="B197" s="768" t="s">
        <v>571</v>
      </c>
      <c r="C197" s="720"/>
      <c r="D197" s="698">
        <f t="shared" si="18"/>
        <v>0</v>
      </c>
      <c r="E197" s="698">
        <f t="shared" si="22"/>
        <v>0</v>
      </c>
      <c r="F197" s="744" t="e">
        <f t="shared" si="21"/>
        <v>#DIV/0!</v>
      </c>
      <c r="G197" s="720"/>
      <c r="H197" s="698"/>
      <c r="I197" s="702"/>
      <c r="J197" s="703"/>
      <c r="K197" s="698"/>
      <c r="L197" s="704"/>
      <c r="M197" s="698"/>
      <c r="N197" s="698"/>
      <c r="O197" s="766"/>
      <c r="P197" s="720"/>
      <c r="Q197" s="698"/>
      <c r="R197" s="770"/>
    </row>
    <row r="198" spans="1:18" ht="24.75" customHeight="1" hidden="1">
      <c r="A198" s="764">
        <v>4210</v>
      </c>
      <c r="B198" s="765" t="s">
        <v>211</v>
      </c>
      <c r="C198" s="720"/>
      <c r="D198" s="698">
        <f t="shared" si="18"/>
        <v>0</v>
      </c>
      <c r="E198" s="698">
        <f t="shared" si="22"/>
        <v>0</v>
      </c>
      <c r="F198" s="744" t="e">
        <f t="shared" si="21"/>
        <v>#DIV/0!</v>
      </c>
      <c r="G198" s="720"/>
      <c r="H198" s="698"/>
      <c r="I198" s="702"/>
      <c r="J198" s="703"/>
      <c r="K198" s="698"/>
      <c r="L198" s="704"/>
      <c r="M198" s="698"/>
      <c r="N198" s="698"/>
      <c r="O198" s="766"/>
      <c r="P198" s="720"/>
      <c r="Q198" s="698"/>
      <c r="R198" s="702"/>
    </row>
    <row r="199" spans="1:18" ht="24.75" customHeight="1" hidden="1">
      <c r="A199" s="764">
        <v>4170</v>
      </c>
      <c r="B199" s="765" t="s">
        <v>242</v>
      </c>
      <c r="C199" s="720"/>
      <c r="D199" s="698">
        <f t="shared" si="18"/>
        <v>0</v>
      </c>
      <c r="E199" s="698">
        <f t="shared" si="22"/>
        <v>0</v>
      </c>
      <c r="F199" s="744" t="e">
        <f t="shared" si="21"/>
        <v>#DIV/0!</v>
      </c>
      <c r="G199" s="720"/>
      <c r="H199" s="698"/>
      <c r="I199" s="702"/>
      <c r="J199" s="703"/>
      <c r="K199" s="698"/>
      <c r="L199" s="704"/>
      <c r="M199" s="698"/>
      <c r="N199" s="698"/>
      <c r="O199" s="766"/>
      <c r="P199" s="720"/>
      <c r="Q199" s="698"/>
      <c r="R199" s="702"/>
    </row>
    <row r="200" spans="1:18" ht="37.5" customHeight="1" hidden="1">
      <c r="A200" s="764">
        <v>4240</v>
      </c>
      <c r="B200" s="768" t="s">
        <v>572</v>
      </c>
      <c r="C200" s="720"/>
      <c r="D200" s="698">
        <f t="shared" si="18"/>
        <v>0</v>
      </c>
      <c r="E200" s="698">
        <f t="shared" si="22"/>
        <v>0</v>
      </c>
      <c r="F200" s="744" t="e">
        <f t="shared" si="21"/>
        <v>#DIV/0!</v>
      </c>
      <c r="G200" s="720"/>
      <c r="H200" s="698"/>
      <c r="I200" s="702"/>
      <c r="J200" s="703"/>
      <c r="K200" s="698"/>
      <c r="L200" s="704"/>
      <c r="M200" s="698"/>
      <c r="N200" s="698"/>
      <c r="O200" s="766"/>
      <c r="P200" s="720"/>
      <c r="Q200" s="698"/>
      <c r="R200" s="702"/>
    </row>
    <row r="201" spans="1:18" ht="48">
      <c r="A201" s="764">
        <v>4300</v>
      </c>
      <c r="B201" s="768" t="s">
        <v>390</v>
      </c>
      <c r="C201" s="720">
        <v>852500</v>
      </c>
      <c r="D201" s="698">
        <f t="shared" si="18"/>
        <v>649576</v>
      </c>
      <c r="E201" s="698">
        <f t="shared" si="22"/>
        <v>602006</v>
      </c>
      <c r="F201" s="699">
        <f t="shared" si="21"/>
        <v>92.67676145670407</v>
      </c>
      <c r="G201" s="720">
        <f>850000+15000-50000-230000+60000</f>
        <v>645000</v>
      </c>
      <c r="H201" s="698">
        <f>597087+343</f>
        <v>597430</v>
      </c>
      <c r="I201" s="702">
        <f t="shared" si="19"/>
        <v>92.62480620155038</v>
      </c>
      <c r="J201" s="703"/>
      <c r="K201" s="698"/>
      <c r="L201" s="704"/>
      <c r="M201" s="698"/>
      <c r="N201" s="698"/>
      <c r="O201" s="766"/>
      <c r="P201" s="720">
        <f>2500+4000-1500-424</f>
        <v>4576</v>
      </c>
      <c r="Q201" s="698">
        <v>4576</v>
      </c>
      <c r="R201" s="744">
        <f>Q201/P201*100</f>
        <v>100</v>
      </c>
    </row>
    <row r="202" spans="1:18" ht="39" customHeight="1">
      <c r="A202" s="764">
        <v>4390</v>
      </c>
      <c r="B202" s="768" t="s">
        <v>573</v>
      </c>
      <c r="C202" s="720">
        <v>483300</v>
      </c>
      <c r="D202" s="698">
        <f t="shared" si="18"/>
        <v>433500</v>
      </c>
      <c r="E202" s="698">
        <f t="shared" si="22"/>
        <v>293611</v>
      </c>
      <c r="F202" s="699">
        <f t="shared" si="21"/>
        <v>67.73033448673587</v>
      </c>
      <c r="G202" s="720">
        <f>450000+200000-150000-80000</f>
        <v>420000</v>
      </c>
      <c r="H202" s="698">
        <v>280112</v>
      </c>
      <c r="I202" s="702">
        <f t="shared" si="19"/>
        <v>66.69333333333334</v>
      </c>
      <c r="J202" s="703"/>
      <c r="K202" s="698"/>
      <c r="L202" s="704"/>
      <c r="M202" s="698"/>
      <c r="N202" s="698"/>
      <c r="O202" s="766"/>
      <c r="P202" s="720">
        <f>33300-17500-4500+2294-94</f>
        <v>13500</v>
      </c>
      <c r="Q202" s="698">
        <v>13499</v>
      </c>
      <c r="R202" s="744">
        <f>Q202/P202*100</f>
        <v>99.99259259259259</v>
      </c>
    </row>
    <row r="203" spans="1:18" ht="72" hidden="1">
      <c r="A203" s="764">
        <v>4400</v>
      </c>
      <c r="B203" s="768" t="s">
        <v>302</v>
      </c>
      <c r="C203" s="720"/>
      <c r="D203" s="698">
        <f>G203+J203+P203+M203</f>
        <v>0</v>
      </c>
      <c r="E203" s="698">
        <f>SUM(H203+K203+N203+Q203)</f>
        <v>0</v>
      </c>
      <c r="F203" s="699" t="e">
        <f>E203/D203*100</f>
        <v>#DIV/0!</v>
      </c>
      <c r="G203" s="720"/>
      <c r="H203" s="698"/>
      <c r="I203" s="702" t="e">
        <f t="shared" si="19"/>
        <v>#DIV/0!</v>
      </c>
      <c r="J203" s="703"/>
      <c r="K203" s="698"/>
      <c r="L203" s="704"/>
      <c r="M203" s="698"/>
      <c r="N203" s="698"/>
      <c r="O203" s="766"/>
      <c r="P203" s="720"/>
      <c r="Q203" s="698"/>
      <c r="R203" s="744"/>
    </row>
    <row r="204" spans="1:18" ht="14.25" customHeight="1">
      <c r="A204" s="764">
        <v>4430</v>
      </c>
      <c r="B204" s="768" t="s">
        <v>221</v>
      </c>
      <c r="C204" s="720">
        <v>151000</v>
      </c>
      <c r="D204" s="698">
        <f t="shared" si="18"/>
        <v>149750</v>
      </c>
      <c r="E204" s="698">
        <f t="shared" si="22"/>
        <v>111381</v>
      </c>
      <c r="F204" s="699">
        <f t="shared" si="21"/>
        <v>74.3779632721202</v>
      </c>
      <c r="G204" s="720">
        <f>150000-250</f>
        <v>149750</v>
      </c>
      <c r="H204" s="698">
        <f>111724-343</f>
        <v>111381</v>
      </c>
      <c r="I204" s="702">
        <f t="shared" si="19"/>
        <v>74.3779632721202</v>
      </c>
      <c r="J204" s="703"/>
      <c r="K204" s="698"/>
      <c r="L204" s="704"/>
      <c r="M204" s="698"/>
      <c r="N204" s="698"/>
      <c r="O204" s="766"/>
      <c r="P204" s="720">
        <f>1000-1000</f>
        <v>0</v>
      </c>
      <c r="Q204" s="698"/>
      <c r="R204" s="744"/>
    </row>
    <row r="205" spans="1:18" ht="14.25" customHeight="1">
      <c r="A205" s="764">
        <v>4480</v>
      </c>
      <c r="B205" s="768" t="s">
        <v>225</v>
      </c>
      <c r="C205" s="720">
        <v>7500</v>
      </c>
      <c r="D205" s="698">
        <f t="shared" si="18"/>
        <v>9066</v>
      </c>
      <c r="E205" s="698">
        <f>SUM(H205+K205+N205+Q205)</f>
        <v>9028</v>
      </c>
      <c r="F205" s="699">
        <f t="shared" si="21"/>
        <v>99.58085153320097</v>
      </c>
      <c r="G205" s="720">
        <f>4000+70</f>
        <v>4070</v>
      </c>
      <c r="H205" s="698">
        <v>4032</v>
      </c>
      <c r="I205" s="744">
        <f t="shared" si="19"/>
        <v>99.06633906633907</v>
      </c>
      <c r="J205" s="703"/>
      <c r="K205" s="698"/>
      <c r="L205" s="704"/>
      <c r="M205" s="698"/>
      <c r="N205" s="698"/>
      <c r="O205" s="766"/>
      <c r="P205" s="720">
        <f>3500+1500-4</f>
        <v>4996</v>
      </c>
      <c r="Q205" s="698">
        <v>4996</v>
      </c>
      <c r="R205" s="744">
        <f aca="true" t="shared" si="23" ref="R205:R211">Q205/P205*100</f>
        <v>100</v>
      </c>
    </row>
    <row r="206" spans="1:18" ht="36.75" customHeight="1">
      <c r="A206" s="764">
        <v>4500</v>
      </c>
      <c r="B206" s="768" t="s">
        <v>574</v>
      </c>
      <c r="C206" s="720">
        <v>200</v>
      </c>
      <c r="D206" s="698">
        <f t="shared" si="18"/>
        <v>696</v>
      </c>
      <c r="E206" s="698">
        <f>SUM(H206+K206+N206+Q206)</f>
        <v>295</v>
      </c>
      <c r="F206" s="699">
        <f t="shared" si="21"/>
        <v>42.38505747126437</v>
      </c>
      <c r="G206" s="720">
        <v>500</v>
      </c>
      <c r="H206" s="698">
        <v>99</v>
      </c>
      <c r="I206" s="702">
        <f t="shared" si="19"/>
        <v>19.8</v>
      </c>
      <c r="J206" s="703"/>
      <c r="K206" s="698"/>
      <c r="L206" s="704"/>
      <c r="M206" s="698"/>
      <c r="N206" s="698"/>
      <c r="O206" s="766"/>
      <c r="P206" s="720">
        <f>200-4</f>
        <v>196</v>
      </c>
      <c r="Q206" s="698">
        <v>196</v>
      </c>
      <c r="R206" s="744">
        <f t="shared" si="23"/>
        <v>100</v>
      </c>
    </row>
    <row r="207" spans="1:18" ht="24">
      <c r="A207" s="764">
        <v>4520</v>
      </c>
      <c r="B207" s="768" t="s">
        <v>575</v>
      </c>
      <c r="C207" s="720"/>
      <c r="D207" s="698">
        <f t="shared" si="18"/>
        <v>15500</v>
      </c>
      <c r="E207" s="698">
        <f>SUM(H207+K207+N207+Q207)</f>
        <v>15500</v>
      </c>
      <c r="F207" s="699">
        <f t="shared" si="21"/>
        <v>100</v>
      </c>
      <c r="G207" s="720"/>
      <c r="H207" s="698"/>
      <c r="I207" s="702"/>
      <c r="J207" s="703"/>
      <c r="K207" s="698"/>
      <c r="L207" s="704"/>
      <c r="M207" s="698"/>
      <c r="N207" s="698"/>
      <c r="O207" s="766"/>
      <c r="P207" s="720">
        <v>15500</v>
      </c>
      <c r="Q207" s="698">
        <v>15500</v>
      </c>
      <c r="R207" s="744">
        <f t="shared" si="23"/>
        <v>100</v>
      </c>
    </row>
    <row r="208" spans="1:18" ht="12.75" hidden="1">
      <c r="A208" s="764">
        <v>4580</v>
      </c>
      <c r="B208" s="768" t="s">
        <v>244</v>
      </c>
      <c r="C208" s="720"/>
      <c r="D208" s="698">
        <f t="shared" si="18"/>
        <v>0</v>
      </c>
      <c r="E208" s="698">
        <f>SUM(H208+K208+N208+Q208)</f>
        <v>0</v>
      </c>
      <c r="F208" s="699" t="e">
        <f t="shared" si="21"/>
        <v>#DIV/0!</v>
      </c>
      <c r="G208" s="720"/>
      <c r="H208" s="698"/>
      <c r="I208" s="702" t="e">
        <f t="shared" si="19"/>
        <v>#DIV/0!</v>
      </c>
      <c r="J208" s="703"/>
      <c r="K208" s="698"/>
      <c r="L208" s="704"/>
      <c r="M208" s="698"/>
      <c r="N208" s="698"/>
      <c r="O208" s="766"/>
      <c r="P208" s="720"/>
      <c r="Q208" s="698"/>
      <c r="R208" s="744"/>
    </row>
    <row r="209" spans="1:18" ht="36">
      <c r="A209" s="764">
        <v>4590</v>
      </c>
      <c r="B209" s="768" t="s">
        <v>577</v>
      </c>
      <c r="C209" s="720">
        <v>200000</v>
      </c>
      <c r="D209" s="698">
        <f aca="true" t="shared" si="24" ref="D209:E257">G209+J209+P209+M209</f>
        <v>150000</v>
      </c>
      <c r="E209" s="698">
        <f>SUM(H209+K209+N209+Q209)</f>
        <v>95152</v>
      </c>
      <c r="F209" s="699">
        <f t="shared" si="21"/>
        <v>63.43466666666666</v>
      </c>
      <c r="G209" s="720">
        <f>200000-14000+14000-50000</f>
        <v>150000</v>
      </c>
      <c r="H209" s="698">
        <v>95152</v>
      </c>
      <c r="I209" s="702">
        <f t="shared" si="19"/>
        <v>63.43466666666666</v>
      </c>
      <c r="J209" s="703"/>
      <c r="K209" s="698"/>
      <c r="L209" s="704"/>
      <c r="M209" s="698"/>
      <c r="N209" s="698"/>
      <c r="O209" s="766"/>
      <c r="P209" s="720"/>
      <c r="Q209" s="698"/>
      <c r="R209" s="744"/>
    </row>
    <row r="210" spans="1:18" ht="51" customHeight="1">
      <c r="A210" s="764">
        <v>4600</v>
      </c>
      <c r="B210" s="768" t="s">
        <v>578</v>
      </c>
      <c r="C210" s="720">
        <v>4000000</v>
      </c>
      <c r="D210" s="698">
        <f t="shared" si="24"/>
        <v>1243300</v>
      </c>
      <c r="E210" s="698">
        <f t="shared" si="22"/>
        <v>1236958</v>
      </c>
      <c r="F210" s="699">
        <f t="shared" si="21"/>
        <v>99.48990589560042</v>
      </c>
      <c r="G210" s="720">
        <f>4000000-200000-282000-15500-1009130-70-1500000+250000</f>
        <v>1243300</v>
      </c>
      <c r="H210" s="698">
        <v>1236958</v>
      </c>
      <c r="I210" s="702">
        <f t="shared" si="19"/>
        <v>99.48990589560042</v>
      </c>
      <c r="J210" s="703"/>
      <c r="K210" s="698"/>
      <c r="L210" s="704"/>
      <c r="M210" s="698"/>
      <c r="N210" s="698"/>
      <c r="O210" s="766"/>
      <c r="P210" s="720"/>
      <c r="Q210" s="698"/>
      <c r="R210" s="744"/>
    </row>
    <row r="211" spans="1:18" ht="36">
      <c r="A211" s="764">
        <v>4610</v>
      </c>
      <c r="B211" s="768" t="s">
        <v>579</v>
      </c>
      <c r="C211" s="720">
        <v>3000</v>
      </c>
      <c r="D211" s="698">
        <f t="shared" si="24"/>
        <v>232</v>
      </c>
      <c r="E211" s="698">
        <f>SUM(H211+K211+N211+Q211)</f>
        <v>186</v>
      </c>
      <c r="F211" s="699">
        <f t="shared" si="21"/>
        <v>80.17241379310344</v>
      </c>
      <c r="G211" s="720"/>
      <c r="H211" s="698"/>
      <c r="I211" s="702"/>
      <c r="J211" s="703"/>
      <c r="K211" s="698"/>
      <c r="L211" s="704"/>
      <c r="M211" s="698"/>
      <c r="N211" s="698"/>
      <c r="O211" s="766"/>
      <c r="P211" s="720">
        <f>3000-1000-1870+102</f>
        <v>232</v>
      </c>
      <c r="Q211" s="698">
        <v>186</v>
      </c>
      <c r="R211" s="744">
        <f t="shared" si="23"/>
        <v>80.17241379310344</v>
      </c>
    </row>
    <row r="212" spans="1:18" ht="12.75" hidden="1">
      <c r="A212" s="764"/>
      <c r="B212" s="768"/>
      <c r="C212" s="720"/>
      <c r="D212" s="698">
        <f t="shared" si="24"/>
        <v>0</v>
      </c>
      <c r="E212" s="698">
        <f>SUM(H212+K212+N212+Q212)</f>
        <v>0</v>
      </c>
      <c r="F212" s="699"/>
      <c r="G212" s="720"/>
      <c r="H212" s="698"/>
      <c r="I212" s="702"/>
      <c r="J212" s="703"/>
      <c r="K212" s="698"/>
      <c r="L212" s="704"/>
      <c r="M212" s="698"/>
      <c r="N212" s="698"/>
      <c r="O212" s="766"/>
      <c r="P212" s="720"/>
      <c r="Q212" s="698"/>
      <c r="R212" s="702"/>
    </row>
    <row r="213" spans="1:18" ht="86.25" customHeight="1">
      <c r="A213" s="789">
        <v>6060</v>
      </c>
      <c r="B213" s="790" t="s">
        <v>391</v>
      </c>
      <c r="C213" s="791">
        <v>1000000</v>
      </c>
      <c r="D213" s="792">
        <f t="shared" si="24"/>
        <v>1508300</v>
      </c>
      <c r="E213" s="792">
        <f>H213+K213+Q213+N213</f>
        <v>1332987</v>
      </c>
      <c r="F213" s="761">
        <f t="shared" si="21"/>
        <v>88.37678180733276</v>
      </c>
      <c r="G213" s="791">
        <f>1000000+158300+350000</f>
        <v>1508300</v>
      </c>
      <c r="H213" s="792">
        <v>1332987</v>
      </c>
      <c r="I213" s="796">
        <f t="shared" si="19"/>
        <v>88.37678180733276</v>
      </c>
      <c r="J213" s="793"/>
      <c r="K213" s="792"/>
      <c r="L213" s="794"/>
      <c r="M213" s="792"/>
      <c r="N213" s="792"/>
      <c r="O213" s="806"/>
      <c r="P213" s="791"/>
      <c r="Q213" s="792"/>
      <c r="R213" s="796"/>
    </row>
    <row r="214" spans="1:20" s="756" customFormat="1" ht="30" customHeight="1">
      <c r="A214" s="835">
        <v>70021</v>
      </c>
      <c r="B214" s="836" t="s">
        <v>581</v>
      </c>
      <c r="C214" s="837">
        <f>C215</f>
        <v>5517000</v>
      </c>
      <c r="D214" s="759">
        <f t="shared" si="24"/>
        <v>5517000</v>
      </c>
      <c r="E214" s="759">
        <f t="shared" si="22"/>
        <v>0</v>
      </c>
      <c r="F214" s="760">
        <f t="shared" si="21"/>
        <v>0</v>
      </c>
      <c r="G214" s="837">
        <f>G215</f>
        <v>5517000</v>
      </c>
      <c r="H214" s="759">
        <f>H215</f>
        <v>0</v>
      </c>
      <c r="I214" s="796">
        <f t="shared" si="19"/>
        <v>0</v>
      </c>
      <c r="J214" s="839"/>
      <c r="K214" s="759"/>
      <c r="L214" s="865"/>
      <c r="M214" s="759"/>
      <c r="N214" s="759"/>
      <c r="O214" s="842"/>
      <c r="P214" s="837"/>
      <c r="Q214" s="759"/>
      <c r="R214" s="843"/>
      <c r="S214" s="682"/>
      <c r="T214" s="682"/>
    </row>
    <row r="215" spans="1:18" ht="54" customHeight="1">
      <c r="A215" s="789">
        <v>6010</v>
      </c>
      <c r="B215" s="768" t="s">
        <v>392</v>
      </c>
      <c r="C215" s="791">
        <v>5517000</v>
      </c>
      <c r="D215" s="792">
        <f t="shared" si="24"/>
        <v>5517000</v>
      </c>
      <c r="E215" s="792">
        <f t="shared" si="22"/>
        <v>0</v>
      </c>
      <c r="F215" s="760">
        <f t="shared" si="21"/>
        <v>0</v>
      </c>
      <c r="G215" s="791">
        <v>5517000</v>
      </c>
      <c r="H215" s="792"/>
      <c r="I215" s="796">
        <f t="shared" si="19"/>
        <v>0</v>
      </c>
      <c r="J215" s="793"/>
      <c r="K215" s="792"/>
      <c r="L215" s="794"/>
      <c r="M215" s="792"/>
      <c r="N215" s="792"/>
      <c r="O215" s="806"/>
      <c r="P215" s="791"/>
      <c r="Q215" s="792"/>
      <c r="R215" s="797"/>
    </row>
    <row r="216" spans="1:20" s="756" customFormat="1" ht="15" customHeight="1">
      <c r="A216" s="757">
        <v>70095</v>
      </c>
      <c r="B216" s="852" t="s">
        <v>233</v>
      </c>
      <c r="C216" s="725">
        <f>SUM(C217:C228)</f>
        <v>4025600</v>
      </c>
      <c r="D216" s="712">
        <f t="shared" si="24"/>
        <v>6622701</v>
      </c>
      <c r="E216" s="712">
        <f>H216+K216+Q216+N216</f>
        <v>6667560</v>
      </c>
      <c r="F216" s="713">
        <f t="shared" si="21"/>
        <v>100.67735203506847</v>
      </c>
      <c r="G216" s="725">
        <f>SUM(G217:G228)</f>
        <v>6622701</v>
      </c>
      <c r="H216" s="712">
        <f>SUM(H217:H228)</f>
        <v>6667560</v>
      </c>
      <c r="I216" s="741">
        <f t="shared" si="19"/>
        <v>100.67735203506847</v>
      </c>
      <c r="J216" s="725"/>
      <c r="K216" s="712"/>
      <c r="L216" s="718"/>
      <c r="M216" s="712"/>
      <c r="N216" s="712"/>
      <c r="O216" s="762"/>
      <c r="P216" s="725"/>
      <c r="Q216" s="712"/>
      <c r="R216" s="846"/>
      <c r="S216" s="682"/>
      <c r="T216" s="682"/>
    </row>
    <row r="217" spans="1:18" ht="23.25" customHeight="1">
      <c r="A217" s="784">
        <v>4210</v>
      </c>
      <c r="B217" s="785" t="s">
        <v>582</v>
      </c>
      <c r="C217" s="723">
        <v>18100</v>
      </c>
      <c r="D217" s="732">
        <f t="shared" si="24"/>
        <v>18900</v>
      </c>
      <c r="E217" s="732">
        <f t="shared" si="22"/>
        <v>18467</v>
      </c>
      <c r="F217" s="786">
        <f t="shared" si="21"/>
        <v>97.70899470899471</v>
      </c>
      <c r="G217" s="723">
        <f>18100+2000-1000-200</f>
        <v>18900</v>
      </c>
      <c r="H217" s="732">
        <v>18467</v>
      </c>
      <c r="I217" s="707">
        <f t="shared" si="19"/>
        <v>97.70899470899471</v>
      </c>
      <c r="J217" s="735"/>
      <c r="K217" s="732"/>
      <c r="L217" s="736"/>
      <c r="M217" s="732"/>
      <c r="N217" s="732"/>
      <c r="O217" s="803"/>
      <c r="P217" s="723"/>
      <c r="Q217" s="732"/>
      <c r="R217" s="788"/>
    </row>
    <row r="218" spans="1:18" ht="24">
      <c r="A218" s="764">
        <v>4300</v>
      </c>
      <c r="B218" s="768" t="s">
        <v>583</v>
      </c>
      <c r="C218" s="720">
        <v>800</v>
      </c>
      <c r="D218" s="698">
        <f t="shared" si="24"/>
        <v>800</v>
      </c>
      <c r="E218" s="698">
        <f t="shared" si="22"/>
        <v>799</v>
      </c>
      <c r="F218" s="744">
        <f t="shared" si="21"/>
        <v>99.875</v>
      </c>
      <c r="G218" s="720">
        <v>800</v>
      </c>
      <c r="H218" s="698">
        <v>799</v>
      </c>
      <c r="I218" s="702">
        <f t="shared" si="19"/>
        <v>99.875</v>
      </c>
      <c r="J218" s="703"/>
      <c r="K218" s="698"/>
      <c r="L218" s="704"/>
      <c r="M218" s="698"/>
      <c r="N218" s="698"/>
      <c r="O218" s="766"/>
      <c r="P218" s="720"/>
      <c r="Q218" s="698"/>
      <c r="R218" s="770"/>
    </row>
    <row r="219" spans="1:18" ht="23.25" customHeight="1">
      <c r="A219" s="764">
        <v>4110</v>
      </c>
      <c r="B219" s="696" t="s">
        <v>207</v>
      </c>
      <c r="C219" s="720">
        <v>500</v>
      </c>
      <c r="D219" s="698">
        <f t="shared" si="24"/>
        <v>500</v>
      </c>
      <c r="E219" s="698">
        <f t="shared" si="22"/>
        <v>310</v>
      </c>
      <c r="F219" s="744">
        <f t="shared" si="21"/>
        <v>62</v>
      </c>
      <c r="G219" s="720">
        <v>500</v>
      </c>
      <c r="H219" s="698">
        <v>310</v>
      </c>
      <c r="I219" s="702">
        <f t="shared" si="19"/>
        <v>62</v>
      </c>
      <c r="J219" s="703"/>
      <c r="K219" s="698"/>
      <c r="L219" s="704"/>
      <c r="M219" s="698"/>
      <c r="N219" s="698"/>
      <c r="O219" s="766"/>
      <c r="P219" s="720"/>
      <c r="Q219" s="698"/>
      <c r="R219" s="770"/>
    </row>
    <row r="220" spans="1:18" ht="12.75">
      <c r="A220" s="764">
        <v>4120</v>
      </c>
      <c r="B220" s="696" t="s">
        <v>584</v>
      </c>
      <c r="C220" s="720">
        <v>100</v>
      </c>
      <c r="D220" s="698">
        <f t="shared" si="24"/>
        <v>100</v>
      </c>
      <c r="E220" s="698">
        <f t="shared" si="22"/>
        <v>0</v>
      </c>
      <c r="F220" s="744">
        <f t="shared" si="21"/>
        <v>0</v>
      </c>
      <c r="G220" s="720">
        <v>100</v>
      </c>
      <c r="H220" s="698"/>
      <c r="I220" s="702">
        <f t="shared" si="19"/>
        <v>0</v>
      </c>
      <c r="J220" s="703"/>
      <c r="K220" s="698"/>
      <c r="L220" s="704"/>
      <c r="M220" s="698"/>
      <c r="N220" s="698"/>
      <c r="O220" s="766"/>
      <c r="P220" s="720"/>
      <c r="Q220" s="698"/>
      <c r="R220" s="770"/>
    </row>
    <row r="221" spans="1:18" ht="24">
      <c r="A221" s="764">
        <v>4170</v>
      </c>
      <c r="B221" s="768" t="s">
        <v>242</v>
      </c>
      <c r="C221" s="720">
        <v>6100</v>
      </c>
      <c r="D221" s="698">
        <f t="shared" si="24"/>
        <v>6100</v>
      </c>
      <c r="E221" s="698">
        <f t="shared" si="22"/>
        <v>5615</v>
      </c>
      <c r="F221" s="744">
        <f t="shared" si="21"/>
        <v>92.04918032786885</v>
      </c>
      <c r="G221" s="720">
        <v>6100</v>
      </c>
      <c r="H221" s="698">
        <f>5614+1</f>
        <v>5615</v>
      </c>
      <c r="I221" s="702">
        <f aca="true" t="shared" si="25" ref="I221:I237">H221/G221*100</f>
        <v>92.04918032786885</v>
      </c>
      <c r="J221" s="703"/>
      <c r="K221" s="698"/>
      <c r="L221" s="704"/>
      <c r="M221" s="698"/>
      <c r="N221" s="698"/>
      <c r="O221" s="766"/>
      <c r="P221" s="720"/>
      <c r="Q221" s="698"/>
      <c r="R221" s="770"/>
    </row>
    <row r="222" spans="1:18" ht="24" hidden="1">
      <c r="A222" s="764">
        <v>4270</v>
      </c>
      <c r="B222" s="768" t="s">
        <v>217</v>
      </c>
      <c r="C222" s="720"/>
      <c r="D222" s="698">
        <f t="shared" si="24"/>
        <v>0</v>
      </c>
      <c r="E222" s="698">
        <f>SUM(H222+K222+N222+Q222)</f>
        <v>0</v>
      </c>
      <c r="F222" s="744" t="e">
        <f>E222/D222*100</f>
        <v>#DIV/0!</v>
      </c>
      <c r="G222" s="720"/>
      <c r="H222" s="698"/>
      <c r="I222" s="702" t="e">
        <f t="shared" si="25"/>
        <v>#DIV/0!</v>
      </c>
      <c r="J222" s="703"/>
      <c r="K222" s="698"/>
      <c r="L222" s="704"/>
      <c r="M222" s="698"/>
      <c r="N222" s="698"/>
      <c r="O222" s="766"/>
      <c r="P222" s="720"/>
      <c r="Q222" s="698"/>
      <c r="R222" s="770"/>
    </row>
    <row r="223" spans="1:18" ht="14.25" customHeight="1" hidden="1">
      <c r="A223" s="764">
        <v>4300</v>
      </c>
      <c r="B223" s="768" t="s">
        <v>543</v>
      </c>
      <c r="C223" s="720"/>
      <c r="D223" s="698">
        <f t="shared" si="24"/>
        <v>0</v>
      </c>
      <c r="E223" s="698">
        <f t="shared" si="22"/>
        <v>0</v>
      </c>
      <c r="F223" s="744" t="e">
        <f t="shared" si="21"/>
        <v>#DIV/0!</v>
      </c>
      <c r="G223" s="720"/>
      <c r="H223" s="698"/>
      <c r="I223" s="702" t="e">
        <f t="shared" si="25"/>
        <v>#DIV/0!</v>
      </c>
      <c r="J223" s="703"/>
      <c r="K223" s="698"/>
      <c r="L223" s="704"/>
      <c r="M223" s="698"/>
      <c r="N223" s="698"/>
      <c r="O223" s="766"/>
      <c r="P223" s="720"/>
      <c r="Q223" s="698"/>
      <c r="R223" s="770"/>
    </row>
    <row r="224" spans="1:18" ht="12.75" hidden="1">
      <c r="A224" s="764">
        <v>4580</v>
      </c>
      <c r="B224" s="768" t="s">
        <v>244</v>
      </c>
      <c r="C224" s="720"/>
      <c r="D224" s="698">
        <f t="shared" si="24"/>
        <v>0</v>
      </c>
      <c r="E224" s="698">
        <f t="shared" si="22"/>
        <v>0</v>
      </c>
      <c r="F224" s="744" t="e">
        <f t="shared" si="21"/>
        <v>#DIV/0!</v>
      </c>
      <c r="G224" s="720"/>
      <c r="H224" s="698"/>
      <c r="I224" s="702" t="e">
        <f t="shared" si="25"/>
        <v>#DIV/0!</v>
      </c>
      <c r="J224" s="703"/>
      <c r="K224" s="698"/>
      <c r="L224" s="704"/>
      <c r="M224" s="698"/>
      <c r="N224" s="698"/>
      <c r="O224" s="766"/>
      <c r="P224" s="720"/>
      <c r="Q224" s="698"/>
      <c r="R224" s="770"/>
    </row>
    <row r="225" spans="1:18" ht="51" customHeight="1">
      <c r="A225" s="764">
        <v>4400</v>
      </c>
      <c r="B225" s="768" t="s">
        <v>393</v>
      </c>
      <c r="C225" s="720"/>
      <c r="D225" s="698">
        <f t="shared" si="24"/>
        <v>28906</v>
      </c>
      <c r="E225" s="698">
        <f t="shared" si="22"/>
        <v>28903</v>
      </c>
      <c r="F225" s="744">
        <f t="shared" si="21"/>
        <v>99.9896215318619</v>
      </c>
      <c r="G225" s="720">
        <f>28656+250</f>
        <v>28906</v>
      </c>
      <c r="H225" s="698">
        <v>28903</v>
      </c>
      <c r="I225" s="744">
        <f t="shared" si="25"/>
        <v>99.9896215318619</v>
      </c>
      <c r="J225" s="703"/>
      <c r="K225" s="698"/>
      <c r="L225" s="704"/>
      <c r="M225" s="698"/>
      <c r="N225" s="698"/>
      <c r="O225" s="766"/>
      <c r="P225" s="720"/>
      <c r="Q225" s="698"/>
      <c r="R225" s="770"/>
    </row>
    <row r="226" spans="1:18" ht="15.75" customHeight="1">
      <c r="A226" s="764">
        <v>4990</v>
      </c>
      <c r="B226" s="768" t="s">
        <v>827</v>
      </c>
      <c r="C226" s="720"/>
      <c r="D226" s="698"/>
      <c r="E226" s="698">
        <f t="shared" si="22"/>
        <v>46150</v>
      </c>
      <c r="F226" s="699"/>
      <c r="G226" s="720"/>
      <c r="H226" s="698">
        <v>46150</v>
      </c>
      <c r="I226" s="744"/>
      <c r="J226" s="703"/>
      <c r="K226" s="698"/>
      <c r="L226" s="704"/>
      <c r="M226" s="698"/>
      <c r="N226" s="698"/>
      <c r="O226" s="766"/>
      <c r="P226" s="720"/>
      <c r="Q226" s="698"/>
      <c r="R226" s="770"/>
    </row>
    <row r="227" spans="1:18" ht="40.5" customHeight="1">
      <c r="A227" s="764">
        <v>6060</v>
      </c>
      <c r="B227" s="768" t="s">
        <v>394</v>
      </c>
      <c r="C227" s="720"/>
      <c r="D227" s="698">
        <f t="shared" si="24"/>
        <v>46150</v>
      </c>
      <c r="E227" s="698">
        <f t="shared" si="22"/>
        <v>46150</v>
      </c>
      <c r="F227" s="699">
        <f t="shared" si="21"/>
        <v>100</v>
      </c>
      <c r="G227" s="720">
        <v>46150</v>
      </c>
      <c r="H227" s="698">
        <v>46150</v>
      </c>
      <c r="I227" s="744">
        <f t="shared" si="25"/>
        <v>100</v>
      </c>
      <c r="J227" s="703"/>
      <c r="K227" s="698"/>
      <c r="L227" s="704"/>
      <c r="M227" s="698"/>
      <c r="N227" s="698"/>
      <c r="O227" s="766"/>
      <c r="P227" s="720"/>
      <c r="Q227" s="698"/>
      <c r="R227" s="770"/>
    </row>
    <row r="228" spans="1:18" ht="29.25" customHeight="1" thickBot="1">
      <c r="A228" s="764">
        <v>6050</v>
      </c>
      <c r="B228" s="768" t="s">
        <v>246</v>
      </c>
      <c r="C228" s="720">
        <v>4000000</v>
      </c>
      <c r="D228" s="698">
        <f t="shared" si="24"/>
        <v>6521245</v>
      </c>
      <c r="E228" s="698">
        <f t="shared" si="22"/>
        <v>6521166</v>
      </c>
      <c r="F228" s="699">
        <f t="shared" si="21"/>
        <v>99.99878857488102</v>
      </c>
      <c r="G228" s="720">
        <f>4000000+600000+2050000-300000+21245+150000</f>
        <v>6521245</v>
      </c>
      <c r="H228" s="698">
        <v>6521166</v>
      </c>
      <c r="I228" s="744">
        <f t="shared" si="25"/>
        <v>99.99878857488102</v>
      </c>
      <c r="J228" s="703"/>
      <c r="K228" s="698"/>
      <c r="L228" s="704"/>
      <c r="M228" s="698"/>
      <c r="N228" s="698"/>
      <c r="O228" s="766"/>
      <c r="P228" s="720"/>
      <c r="Q228" s="698"/>
      <c r="R228" s="770"/>
    </row>
    <row r="229" spans="1:20" s="818" customFormat="1" ht="24" customHeight="1" hidden="1">
      <c r="A229" s="811"/>
      <c r="B229" s="812" t="s">
        <v>585</v>
      </c>
      <c r="C229" s="813"/>
      <c r="D229" s="814">
        <f t="shared" si="24"/>
        <v>0</v>
      </c>
      <c r="E229" s="814">
        <f>SUM(H229+K229+N229+Q229)</f>
        <v>0</v>
      </c>
      <c r="F229" s="699" t="e">
        <f t="shared" si="21"/>
        <v>#DIV/0!</v>
      </c>
      <c r="G229" s="813"/>
      <c r="H229" s="814"/>
      <c r="I229" s="702" t="e">
        <f t="shared" si="25"/>
        <v>#DIV/0!</v>
      </c>
      <c r="J229" s="815"/>
      <c r="K229" s="814"/>
      <c r="L229" s="704"/>
      <c r="M229" s="814"/>
      <c r="N229" s="814"/>
      <c r="O229" s="704"/>
      <c r="P229" s="813"/>
      <c r="Q229" s="814"/>
      <c r="R229" s="831"/>
      <c r="S229" s="817"/>
      <c r="T229" s="817"/>
    </row>
    <row r="230" spans="1:20" s="756" customFormat="1" ht="25.5" thickBot="1" thickTop="1">
      <c r="A230" s="749">
        <v>710</v>
      </c>
      <c r="B230" s="750" t="s">
        <v>586</v>
      </c>
      <c r="C230" s="751">
        <f>C238+C240+C242+C266+C231</f>
        <v>3818400</v>
      </c>
      <c r="D230" s="674">
        <f t="shared" si="24"/>
        <v>3764966</v>
      </c>
      <c r="E230" s="674">
        <f t="shared" si="24"/>
        <v>3163503</v>
      </c>
      <c r="F230" s="675">
        <f t="shared" si="21"/>
        <v>84.02474285292351</v>
      </c>
      <c r="G230" s="751">
        <f>G266+G231+G271</f>
        <v>3120700</v>
      </c>
      <c r="H230" s="674">
        <f>H266+H231+H271</f>
        <v>2519558</v>
      </c>
      <c r="I230" s="677">
        <f t="shared" si="25"/>
        <v>80.73695004325953</v>
      </c>
      <c r="J230" s="674">
        <f>J266</f>
        <v>16600</v>
      </c>
      <c r="K230" s="674">
        <f>K266</f>
        <v>16595</v>
      </c>
      <c r="L230" s="679">
        <f>K230/J230*100</f>
        <v>99.96987951807229</v>
      </c>
      <c r="M230" s="678">
        <f>M238+M240+M242</f>
        <v>200000</v>
      </c>
      <c r="N230" s="674">
        <f>N238+N240+N242</f>
        <v>199693</v>
      </c>
      <c r="O230" s="677">
        <f>N230/M230*100</f>
        <v>99.8465</v>
      </c>
      <c r="P230" s="751">
        <f>P231+P238+P240+P242</f>
        <v>427666</v>
      </c>
      <c r="Q230" s="674">
        <f>Q238+Q240+Q242+Q231</f>
        <v>427657</v>
      </c>
      <c r="R230" s="752">
        <f aca="true" t="shared" si="26" ref="R230:R265">Q230/P230*100</f>
        <v>99.9978955540071</v>
      </c>
      <c r="S230" s="682"/>
      <c r="T230" s="682"/>
    </row>
    <row r="231" spans="1:20" s="756" customFormat="1" ht="24.75" thickTop="1">
      <c r="A231" s="866">
        <v>71004</v>
      </c>
      <c r="B231" s="867" t="s">
        <v>587</v>
      </c>
      <c r="C231" s="868">
        <f>SUM(C233:C237)</f>
        <v>1274700</v>
      </c>
      <c r="D231" s="686">
        <f t="shared" si="24"/>
        <v>1260700</v>
      </c>
      <c r="E231" s="686">
        <f t="shared" si="24"/>
        <v>912571</v>
      </c>
      <c r="F231" s="687">
        <f t="shared" si="21"/>
        <v>72.38605536606647</v>
      </c>
      <c r="G231" s="869">
        <f>SUM(G232:G237)</f>
        <v>1260700</v>
      </c>
      <c r="H231" s="686">
        <f>SUM(H232:H237)</f>
        <v>912571</v>
      </c>
      <c r="I231" s="690">
        <f t="shared" si="25"/>
        <v>72.38605536606647</v>
      </c>
      <c r="J231" s="691"/>
      <c r="K231" s="686"/>
      <c r="L231" s="692"/>
      <c r="M231" s="686"/>
      <c r="N231" s="686"/>
      <c r="O231" s="870"/>
      <c r="P231" s="868"/>
      <c r="Q231" s="686"/>
      <c r="R231" s="690"/>
      <c r="S231" s="682"/>
      <c r="T231" s="682"/>
    </row>
    <row r="232" spans="1:18" ht="36.75" customHeight="1">
      <c r="A232" s="764">
        <v>3040</v>
      </c>
      <c r="B232" s="768" t="s">
        <v>395</v>
      </c>
      <c r="C232" s="810"/>
      <c r="D232" s="698">
        <f>G232+J232+P232+M232</f>
        <v>290000</v>
      </c>
      <c r="E232" s="698">
        <f>H232+K232+Q232+N232</f>
        <v>290000</v>
      </c>
      <c r="F232" s="699">
        <f>E232/D232*100</f>
        <v>100</v>
      </c>
      <c r="G232" s="810">
        <v>290000</v>
      </c>
      <c r="H232" s="698">
        <v>290000</v>
      </c>
      <c r="I232" s="744">
        <f t="shared" si="25"/>
        <v>100</v>
      </c>
      <c r="J232" s="703"/>
      <c r="K232" s="698"/>
      <c r="L232" s="704"/>
      <c r="M232" s="698"/>
      <c r="N232" s="698"/>
      <c r="O232" s="702"/>
      <c r="P232" s="720"/>
      <c r="Q232" s="698"/>
      <c r="R232" s="702"/>
    </row>
    <row r="233" spans="1:18" ht="26.25" customHeight="1">
      <c r="A233" s="764">
        <v>4110</v>
      </c>
      <c r="B233" s="696" t="s">
        <v>207</v>
      </c>
      <c r="C233" s="810">
        <v>600</v>
      </c>
      <c r="D233" s="698">
        <f t="shared" si="24"/>
        <v>1005</v>
      </c>
      <c r="E233" s="698">
        <f t="shared" si="24"/>
        <v>1004</v>
      </c>
      <c r="F233" s="699">
        <f t="shared" si="21"/>
        <v>99.90049751243781</v>
      </c>
      <c r="G233" s="810">
        <f>600+405</f>
        <v>1005</v>
      </c>
      <c r="H233" s="698">
        <v>1004</v>
      </c>
      <c r="I233" s="702">
        <f t="shared" si="25"/>
        <v>99.90049751243781</v>
      </c>
      <c r="J233" s="703"/>
      <c r="K233" s="698"/>
      <c r="L233" s="704"/>
      <c r="M233" s="698"/>
      <c r="N233" s="698"/>
      <c r="O233" s="702"/>
      <c r="P233" s="720"/>
      <c r="Q233" s="698"/>
      <c r="R233" s="702"/>
    </row>
    <row r="234" spans="1:18" ht="16.5" customHeight="1">
      <c r="A234" s="764">
        <v>4120</v>
      </c>
      <c r="B234" s="768" t="s">
        <v>588</v>
      </c>
      <c r="C234" s="810">
        <v>100</v>
      </c>
      <c r="D234" s="698">
        <f t="shared" si="24"/>
        <v>100</v>
      </c>
      <c r="E234" s="698">
        <f t="shared" si="24"/>
        <v>74</v>
      </c>
      <c r="F234" s="699">
        <f>E234/D234*100</f>
        <v>74</v>
      </c>
      <c r="G234" s="810">
        <v>100</v>
      </c>
      <c r="H234" s="698">
        <v>74</v>
      </c>
      <c r="I234" s="702">
        <f t="shared" si="25"/>
        <v>74</v>
      </c>
      <c r="J234" s="703"/>
      <c r="K234" s="698"/>
      <c r="L234" s="704"/>
      <c r="M234" s="698"/>
      <c r="N234" s="698"/>
      <c r="O234" s="702"/>
      <c r="P234" s="720"/>
      <c r="Q234" s="698"/>
      <c r="R234" s="702"/>
    </row>
    <row r="235" spans="1:18" ht="24">
      <c r="A235" s="764">
        <v>4170</v>
      </c>
      <c r="B235" s="768" t="s">
        <v>242</v>
      </c>
      <c r="C235" s="810">
        <v>24000</v>
      </c>
      <c r="D235" s="698">
        <f t="shared" si="24"/>
        <v>44000</v>
      </c>
      <c r="E235" s="698">
        <f t="shared" si="24"/>
        <v>39030</v>
      </c>
      <c r="F235" s="699">
        <f t="shared" si="21"/>
        <v>88.70454545454545</v>
      </c>
      <c r="G235" s="810">
        <f>24000+20000</f>
        <v>44000</v>
      </c>
      <c r="H235" s="698">
        <v>39030</v>
      </c>
      <c r="I235" s="702">
        <f t="shared" si="25"/>
        <v>88.70454545454545</v>
      </c>
      <c r="J235" s="703"/>
      <c r="K235" s="698"/>
      <c r="L235" s="704"/>
      <c r="M235" s="698"/>
      <c r="N235" s="698"/>
      <c r="O235" s="702"/>
      <c r="P235" s="720"/>
      <c r="Q235" s="698"/>
      <c r="R235" s="702"/>
    </row>
    <row r="236" spans="1:18" ht="24">
      <c r="A236" s="764">
        <v>4210</v>
      </c>
      <c r="B236" s="768" t="s">
        <v>211</v>
      </c>
      <c r="C236" s="810"/>
      <c r="D236" s="698">
        <f>G236+J236+P236+M236</f>
        <v>400</v>
      </c>
      <c r="E236" s="698">
        <f>H236+K236+Q236+N236</f>
        <v>0</v>
      </c>
      <c r="F236" s="699">
        <f>E236/D236*100</f>
        <v>0</v>
      </c>
      <c r="G236" s="810">
        <v>400</v>
      </c>
      <c r="H236" s="698"/>
      <c r="I236" s="702">
        <f t="shared" si="25"/>
        <v>0</v>
      </c>
      <c r="J236" s="703"/>
      <c r="K236" s="698"/>
      <c r="L236" s="704"/>
      <c r="M236" s="698"/>
      <c r="N236" s="698"/>
      <c r="O236" s="702"/>
      <c r="P236" s="720"/>
      <c r="Q236" s="698"/>
      <c r="R236" s="702"/>
    </row>
    <row r="237" spans="1:18" ht="12.75" customHeight="1">
      <c r="A237" s="764">
        <v>4300</v>
      </c>
      <c r="B237" s="768" t="s">
        <v>219</v>
      </c>
      <c r="C237" s="720">
        <v>1250000</v>
      </c>
      <c r="D237" s="698">
        <f t="shared" si="24"/>
        <v>925195</v>
      </c>
      <c r="E237" s="698">
        <f t="shared" si="24"/>
        <v>582463</v>
      </c>
      <c r="F237" s="699">
        <f t="shared" si="21"/>
        <v>62.9557012305514</v>
      </c>
      <c r="G237" s="720">
        <f>1250000-14000-400-310000-405</f>
        <v>925195</v>
      </c>
      <c r="H237" s="698">
        <v>582463</v>
      </c>
      <c r="I237" s="702">
        <f t="shared" si="25"/>
        <v>62.9557012305514</v>
      </c>
      <c r="J237" s="703"/>
      <c r="K237" s="698"/>
      <c r="L237" s="704"/>
      <c r="M237" s="698"/>
      <c r="N237" s="698"/>
      <c r="O237" s="702"/>
      <c r="P237" s="720"/>
      <c r="Q237" s="698"/>
      <c r="R237" s="702"/>
    </row>
    <row r="238" spans="1:20" s="756" customFormat="1" ht="34.5" customHeight="1">
      <c r="A238" s="757">
        <v>71013</v>
      </c>
      <c r="B238" s="852" t="s">
        <v>589</v>
      </c>
      <c r="C238" s="725">
        <f>C239</f>
        <v>80000</v>
      </c>
      <c r="D238" s="712">
        <f t="shared" si="24"/>
        <v>74000</v>
      </c>
      <c r="E238" s="712">
        <f>E239</f>
        <v>74000</v>
      </c>
      <c r="F238" s="713">
        <f t="shared" si="21"/>
        <v>100</v>
      </c>
      <c r="G238" s="725"/>
      <c r="H238" s="712"/>
      <c r="I238" s="762"/>
      <c r="J238" s="717"/>
      <c r="K238" s="712"/>
      <c r="L238" s="718"/>
      <c r="M238" s="712"/>
      <c r="N238" s="712"/>
      <c r="O238" s="762"/>
      <c r="P238" s="725">
        <f>P239</f>
        <v>74000</v>
      </c>
      <c r="Q238" s="712">
        <f>Q239</f>
        <v>74000</v>
      </c>
      <c r="R238" s="741">
        <f t="shared" si="26"/>
        <v>100</v>
      </c>
      <c r="S238" s="682"/>
      <c r="T238" s="682"/>
    </row>
    <row r="239" spans="1:18" ht="19.5" customHeight="1">
      <c r="A239" s="871">
        <v>4300</v>
      </c>
      <c r="B239" s="872" t="s">
        <v>219</v>
      </c>
      <c r="C239" s="873">
        <v>80000</v>
      </c>
      <c r="D239" s="874">
        <f t="shared" si="24"/>
        <v>74000</v>
      </c>
      <c r="E239" s="874">
        <f>SUM(H239+K239+N239+Q239)</f>
        <v>74000</v>
      </c>
      <c r="F239" s="713">
        <f t="shared" si="21"/>
        <v>100</v>
      </c>
      <c r="G239" s="873"/>
      <c r="H239" s="874"/>
      <c r="I239" s="762"/>
      <c r="J239" s="875"/>
      <c r="K239" s="874"/>
      <c r="L239" s="876"/>
      <c r="M239" s="874"/>
      <c r="N239" s="874"/>
      <c r="O239" s="762"/>
      <c r="P239" s="873">
        <f>80000-6000</f>
        <v>74000</v>
      </c>
      <c r="Q239" s="874">
        <v>74000</v>
      </c>
      <c r="R239" s="741">
        <f t="shared" si="26"/>
        <v>100</v>
      </c>
    </row>
    <row r="240" spans="1:20" s="756" customFormat="1" ht="22.5" customHeight="1">
      <c r="A240" s="835">
        <v>71014</v>
      </c>
      <c r="B240" s="836" t="s">
        <v>590</v>
      </c>
      <c r="C240" s="837">
        <f>C241</f>
        <v>20000</v>
      </c>
      <c r="D240" s="759">
        <f t="shared" si="24"/>
        <v>20000</v>
      </c>
      <c r="E240" s="759">
        <f>E241</f>
        <v>20000</v>
      </c>
      <c r="F240" s="760">
        <f t="shared" si="21"/>
        <v>100</v>
      </c>
      <c r="G240" s="837"/>
      <c r="H240" s="759"/>
      <c r="I240" s="806"/>
      <c r="J240" s="839"/>
      <c r="K240" s="759"/>
      <c r="L240" s="865"/>
      <c r="M240" s="759"/>
      <c r="N240" s="759"/>
      <c r="O240" s="806"/>
      <c r="P240" s="837">
        <f>P241</f>
        <v>20000</v>
      </c>
      <c r="Q240" s="759">
        <f>Q241</f>
        <v>20000</v>
      </c>
      <c r="R240" s="761">
        <f t="shared" si="26"/>
        <v>100</v>
      </c>
      <c r="S240" s="682"/>
      <c r="T240" s="682"/>
    </row>
    <row r="241" spans="1:18" ht="18.75" customHeight="1">
      <c r="A241" s="789">
        <v>4300</v>
      </c>
      <c r="B241" s="804" t="s">
        <v>219</v>
      </c>
      <c r="C241" s="720">
        <v>20000</v>
      </c>
      <c r="D241" s="792">
        <f t="shared" si="24"/>
        <v>20000</v>
      </c>
      <c r="E241" s="698">
        <f>SUM(H241+K241+N241+Q241)</f>
        <v>20000</v>
      </c>
      <c r="F241" s="713">
        <f t="shared" si="21"/>
        <v>100</v>
      </c>
      <c r="G241" s="791"/>
      <c r="H241" s="792"/>
      <c r="I241" s="806"/>
      <c r="J241" s="793"/>
      <c r="K241" s="792"/>
      <c r="L241" s="794"/>
      <c r="M241" s="792"/>
      <c r="N241" s="792"/>
      <c r="O241" s="806"/>
      <c r="P241" s="791">
        <v>20000</v>
      </c>
      <c r="Q241" s="792">
        <v>20000</v>
      </c>
      <c r="R241" s="761">
        <f t="shared" si="26"/>
        <v>100</v>
      </c>
    </row>
    <row r="242" spans="1:18" ht="12.75">
      <c r="A242" s="757">
        <v>71015</v>
      </c>
      <c r="B242" s="852" t="s">
        <v>591</v>
      </c>
      <c r="C242" s="725">
        <f>SUM(C243:C265)</f>
        <v>538100</v>
      </c>
      <c r="D242" s="759">
        <f t="shared" si="24"/>
        <v>533666</v>
      </c>
      <c r="E242" s="712">
        <f>H242+K242+Q242+N242</f>
        <v>533350</v>
      </c>
      <c r="F242" s="713">
        <f t="shared" si="21"/>
        <v>99.94078693414983</v>
      </c>
      <c r="G242" s="725"/>
      <c r="H242" s="712"/>
      <c r="I242" s="762"/>
      <c r="J242" s="717"/>
      <c r="K242" s="712"/>
      <c r="L242" s="718"/>
      <c r="M242" s="712">
        <f>SUM(M243:M265)</f>
        <v>200000</v>
      </c>
      <c r="N242" s="712">
        <f>SUM(N243:N265)</f>
        <v>199693</v>
      </c>
      <c r="O242" s="796">
        <f aca="true" t="shared" si="27" ref="O242:O265">N242/M242*100</f>
        <v>99.8465</v>
      </c>
      <c r="P242" s="725">
        <f>SUM(P243:P265)</f>
        <v>333666</v>
      </c>
      <c r="Q242" s="712">
        <f>SUM(Q243:Q265)</f>
        <v>333657</v>
      </c>
      <c r="R242" s="761">
        <f t="shared" si="26"/>
        <v>99.99730269191348</v>
      </c>
    </row>
    <row r="243" spans="1:18" ht="22.5" customHeight="1">
      <c r="A243" s="764">
        <v>4010</v>
      </c>
      <c r="B243" s="768" t="s">
        <v>201</v>
      </c>
      <c r="C243" s="720">
        <v>350800</v>
      </c>
      <c r="D243" s="698">
        <f t="shared" si="24"/>
        <v>356819</v>
      </c>
      <c r="E243" s="698">
        <f aca="true" t="shared" si="28" ref="E243:E266">SUM(H243+K243+N243+Q243)</f>
        <v>356812</v>
      </c>
      <c r="F243" s="699">
        <f t="shared" si="21"/>
        <v>99.99803822105886</v>
      </c>
      <c r="G243" s="720"/>
      <c r="H243" s="698"/>
      <c r="I243" s="766"/>
      <c r="J243" s="703"/>
      <c r="K243" s="698"/>
      <c r="L243" s="704"/>
      <c r="M243" s="698">
        <f>126200+299</f>
        <v>126499</v>
      </c>
      <c r="N243" s="698">
        <v>126492</v>
      </c>
      <c r="O243" s="744">
        <f t="shared" si="27"/>
        <v>99.99446635941787</v>
      </c>
      <c r="P243" s="720">
        <f>224600+3117+2603</f>
        <v>230320</v>
      </c>
      <c r="Q243" s="698">
        <v>230320</v>
      </c>
      <c r="R243" s="744">
        <f t="shared" si="26"/>
        <v>100</v>
      </c>
    </row>
    <row r="244" spans="1:18" ht="22.5" customHeight="1">
      <c r="A244" s="764">
        <v>3020</v>
      </c>
      <c r="B244" s="768" t="s">
        <v>303</v>
      </c>
      <c r="C244" s="720">
        <v>2300</v>
      </c>
      <c r="D244" s="698">
        <f t="shared" si="24"/>
        <v>400</v>
      </c>
      <c r="E244" s="698">
        <f>SUM(H244+K244+N244+Q244)</f>
        <v>394</v>
      </c>
      <c r="F244" s="699">
        <f>E244/D244*100</f>
        <v>98.5</v>
      </c>
      <c r="G244" s="720"/>
      <c r="H244" s="698"/>
      <c r="I244" s="766"/>
      <c r="J244" s="703"/>
      <c r="K244" s="698"/>
      <c r="L244" s="704"/>
      <c r="M244" s="698"/>
      <c r="N244" s="698"/>
      <c r="O244" s="744"/>
      <c r="P244" s="720">
        <f>2300-1900</f>
        <v>400</v>
      </c>
      <c r="Q244" s="698">
        <v>394</v>
      </c>
      <c r="R244" s="744">
        <f t="shared" si="26"/>
        <v>98.5</v>
      </c>
    </row>
    <row r="245" spans="1:18" ht="24">
      <c r="A245" s="764">
        <v>4040</v>
      </c>
      <c r="B245" s="768" t="s">
        <v>280</v>
      </c>
      <c r="C245" s="720">
        <v>25950</v>
      </c>
      <c r="D245" s="698">
        <f t="shared" si="24"/>
        <v>25216</v>
      </c>
      <c r="E245" s="698">
        <f t="shared" si="28"/>
        <v>25215</v>
      </c>
      <c r="F245" s="699">
        <f t="shared" si="21"/>
        <v>99.99603426395939</v>
      </c>
      <c r="G245" s="720"/>
      <c r="H245" s="698"/>
      <c r="I245" s="766"/>
      <c r="J245" s="703"/>
      <c r="K245" s="698"/>
      <c r="L245" s="704"/>
      <c r="M245" s="698">
        <f>8500-299</f>
        <v>8201</v>
      </c>
      <c r="N245" s="698">
        <v>8201</v>
      </c>
      <c r="O245" s="744">
        <f t="shared" si="27"/>
        <v>100</v>
      </c>
      <c r="P245" s="720">
        <f>17450-435</f>
        <v>17015</v>
      </c>
      <c r="Q245" s="698">
        <v>17014</v>
      </c>
      <c r="R245" s="744">
        <f t="shared" si="26"/>
        <v>99.9941228327946</v>
      </c>
    </row>
    <row r="246" spans="1:18" ht="28.5" customHeight="1">
      <c r="A246" s="764">
        <v>4110</v>
      </c>
      <c r="B246" s="696" t="s">
        <v>207</v>
      </c>
      <c r="C246" s="720">
        <v>60470</v>
      </c>
      <c r="D246" s="698">
        <f t="shared" si="24"/>
        <v>59493</v>
      </c>
      <c r="E246" s="698">
        <f t="shared" si="28"/>
        <v>59493</v>
      </c>
      <c r="F246" s="699">
        <f t="shared" si="21"/>
        <v>100</v>
      </c>
      <c r="G246" s="720"/>
      <c r="H246" s="698"/>
      <c r="I246" s="766"/>
      <c r="J246" s="703"/>
      <c r="K246" s="698"/>
      <c r="L246" s="704"/>
      <c r="M246" s="698">
        <v>21600</v>
      </c>
      <c r="N246" s="698">
        <v>21600</v>
      </c>
      <c r="O246" s="744">
        <f t="shared" si="27"/>
        <v>100</v>
      </c>
      <c r="P246" s="720">
        <f>38870+473-1450</f>
        <v>37893</v>
      </c>
      <c r="Q246" s="698">
        <v>37893</v>
      </c>
      <c r="R246" s="744">
        <f t="shared" si="26"/>
        <v>100</v>
      </c>
    </row>
    <row r="247" spans="1:18" ht="13.5" customHeight="1">
      <c r="A247" s="764">
        <v>4120</v>
      </c>
      <c r="B247" s="768" t="s">
        <v>588</v>
      </c>
      <c r="C247" s="720">
        <v>9230</v>
      </c>
      <c r="D247" s="698">
        <f t="shared" si="24"/>
        <v>8588</v>
      </c>
      <c r="E247" s="698">
        <f t="shared" si="28"/>
        <v>8351</v>
      </c>
      <c r="F247" s="699">
        <f t="shared" si="21"/>
        <v>97.24033535165347</v>
      </c>
      <c r="G247" s="720"/>
      <c r="H247" s="698"/>
      <c r="I247" s="766"/>
      <c r="J247" s="703"/>
      <c r="K247" s="698"/>
      <c r="L247" s="704"/>
      <c r="M247" s="698">
        <v>3300</v>
      </c>
      <c r="N247" s="698">
        <f>3062+1</f>
        <v>3063</v>
      </c>
      <c r="O247" s="744">
        <f t="shared" si="27"/>
        <v>92.81818181818183</v>
      </c>
      <c r="P247" s="720">
        <f>5930+76-718</f>
        <v>5288</v>
      </c>
      <c r="Q247" s="698">
        <v>5288</v>
      </c>
      <c r="R247" s="744">
        <f t="shared" si="26"/>
        <v>100</v>
      </c>
    </row>
    <row r="248" spans="1:18" ht="24" hidden="1">
      <c r="A248" s="764">
        <v>4170</v>
      </c>
      <c r="B248" s="768" t="s">
        <v>242</v>
      </c>
      <c r="C248" s="720"/>
      <c r="D248" s="698">
        <f t="shared" si="24"/>
        <v>0</v>
      </c>
      <c r="E248" s="698">
        <f>SUM(H248+K248+N248+Q248)</f>
        <v>0</v>
      </c>
      <c r="F248" s="699" t="e">
        <f>E248/D248*100</f>
        <v>#DIV/0!</v>
      </c>
      <c r="G248" s="720"/>
      <c r="H248" s="698"/>
      <c r="I248" s="766"/>
      <c r="J248" s="703"/>
      <c r="K248" s="698"/>
      <c r="L248" s="704"/>
      <c r="M248" s="703"/>
      <c r="N248" s="703"/>
      <c r="O248" s="744" t="e">
        <f t="shared" si="27"/>
        <v>#DIV/0!</v>
      </c>
      <c r="P248" s="720"/>
      <c r="Q248" s="698"/>
      <c r="R248" s="744" t="e">
        <f t="shared" si="26"/>
        <v>#DIV/0!</v>
      </c>
    </row>
    <row r="249" spans="1:18" ht="22.5" customHeight="1">
      <c r="A249" s="764">
        <v>4210</v>
      </c>
      <c r="B249" s="768" t="s">
        <v>211</v>
      </c>
      <c r="C249" s="720">
        <v>15000</v>
      </c>
      <c r="D249" s="698">
        <f t="shared" si="24"/>
        <v>16220</v>
      </c>
      <c r="E249" s="698">
        <f t="shared" si="28"/>
        <v>16212</v>
      </c>
      <c r="F249" s="699">
        <f t="shared" si="21"/>
        <v>99.95067817509248</v>
      </c>
      <c r="G249" s="720"/>
      <c r="H249" s="698"/>
      <c r="I249" s="766"/>
      <c r="J249" s="703"/>
      <c r="K249" s="698"/>
      <c r="L249" s="704"/>
      <c r="M249" s="703">
        <f>12000-3680+4900</f>
        <v>13220</v>
      </c>
      <c r="N249" s="703">
        <v>13212</v>
      </c>
      <c r="O249" s="744">
        <f t="shared" si="27"/>
        <v>99.9394856278366</v>
      </c>
      <c r="P249" s="720">
        <v>3000</v>
      </c>
      <c r="Q249" s="698">
        <v>3000</v>
      </c>
      <c r="R249" s="744">
        <f t="shared" si="26"/>
        <v>100</v>
      </c>
    </row>
    <row r="250" spans="1:18" ht="22.5" customHeight="1" hidden="1">
      <c r="A250" s="764">
        <v>4270</v>
      </c>
      <c r="B250" s="768" t="s">
        <v>217</v>
      </c>
      <c r="C250" s="720"/>
      <c r="D250" s="698">
        <f t="shared" si="24"/>
        <v>0</v>
      </c>
      <c r="E250" s="698">
        <f>SUM(H250+K250+N250+Q250)</f>
        <v>0</v>
      </c>
      <c r="F250" s="699" t="e">
        <f>E250/D250*100</f>
        <v>#DIV/0!</v>
      </c>
      <c r="G250" s="720"/>
      <c r="H250" s="698"/>
      <c r="I250" s="766"/>
      <c r="J250" s="703"/>
      <c r="K250" s="698"/>
      <c r="L250" s="704"/>
      <c r="M250" s="703"/>
      <c r="N250" s="703"/>
      <c r="O250" s="744" t="e">
        <f t="shared" si="27"/>
        <v>#DIV/0!</v>
      </c>
      <c r="P250" s="720"/>
      <c r="Q250" s="698"/>
      <c r="R250" s="744" t="e">
        <f t="shared" si="26"/>
        <v>#DIV/0!</v>
      </c>
    </row>
    <row r="251" spans="1:18" ht="13.5" customHeight="1">
      <c r="A251" s="764">
        <v>4280</v>
      </c>
      <c r="B251" s="768" t="s">
        <v>542</v>
      </c>
      <c r="C251" s="720">
        <v>300</v>
      </c>
      <c r="D251" s="698">
        <f t="shared" si="24"/>
        <v>69</v>
      </c>
      <c r="E251" s="698">
        <f>SUM(H251+K251+N251+Q251)</f>
        <v>69</v>
      </c>
      <c r="F251" s="699">
        <f>E251/D251*100</f>
        <v>100</v>
      </c>
      <c r="G251" s="720"/>
      <c r="H251" s="698"/>
      <c r="I251" s="766"/>
      <c r="J251" s="703"/>
      <c r="K251" s="698"/>
      <c r="L251" s="704"/>
      <c r="M251" s="703">
        <f>200-131</f>
        <v>69</v>
      </c>
      <c r="N251" s="703">
        <v>69</v>
      </c>
      <c r="O251" s="744">
        <f t="shared" si="27"/>
        <v>100</v>
      </c>
      <c r="P251" s="720">
        <f>300-300</f>
        <v>0</v>
      </c>
      <c r="Q251" s="698"/>
      <c r="R251" s="744"/>
    </row>
    <row r="252" spans="1:18" ht="15" customHeight="1">
      <c r="A252" s="764">
        <v>4300</v>
      </c>
      <c r="B252" s="828" t="s">
        <v>219</v>
      </c>
      <c r="C252" s="720">
        <v>28000</v>
      </c>
      <c r="D252" s="698">
        <f t="shared" si="24"/>
        <v>13203</v>
      </c>
      <c r="E252" s="698">
        <f t="shared" si="28"/>
        <v>13173</v>
      </c>
      <c r="F252" s="699">
        <f t="shared" si="21"/>
        <v>99.77277891388322</v>
      </c>
      <c r="G252" s="720"/>
      <c r="H252" s="698"/>
      <c r="I252" s="766"/>
      <c r="J252" s="703"/>
      <c r="K252" s="698"/>
      <c r="L252" s="704"/>
      <c r="M252" s="703">
        <f>18000-11290</f>
        <v>6710</v>
      </c>
      <c r="N252" s="703">
        <v>6680</v>
      </c>
      <c r="O252" s="744">
        <f t="shared" si="27"/>
        <v>99.55290611028316</v>
      </c>
      <c r="P252" s="720">
        <f>10000-1407-2100</f>
        <v>6493</v>
      </c>
      <c r="Q252" s="698">
        <v>6493</v>
      </c>
      <c r="R252" s="744">
        <f t="shared" si="26"/>
        <v>100</v>
      </c>
    </row>
    <row r="253" spans="1:18" ht="24">
      <c r="A253" s="764">
        <v>4350</v>
      </c>
      <c r="B253" s="828" t="s">
        <v>544</v>
      </c>
      <c r="C253" s="720">
        <v>800</v>
      </c>
      <c r="D253" s="698">
        <f t="shared" si="24"/>
        <v>830</v>
      </c>
      <c r="E253" s="698">
        <f t="shared" si="28"/>
        <v>814</v>
      </c>
      <c r="F253" s="699">
        <f t="shared" si="21"/>
        <v>98.0722891566265</v>
      </c>
      <c r="G253" s="720"/>
      <c r="H253" s="698"/>
      <c r="I253" s="766"/>
      <c r="J253" s="703"/>
      <c r="K253" s="698"/>
      <c r="L253" s="704"/>
      <c r="M253" s="703">
        <f>450-268</f>
        <v>182</v>
      </c>
      <c r="N253" s="703">
        <v>167</v>
      </c>
      <c r="O253" s="744">
        <f t="shared" si="27"/>
        <v>91.75824175824175</v>
      </c>
      <c r="P253" s="720">
        <f>800-152</f>
        <v>648</v>
      </c>
      <c r="Q253" s="698">
        <v>647</v>
      </c>
      <c r="R253" s="744">
        <f t="shared" si="26"/>
        <v>99.84567901234568</v>
      </c>
    </row>
    <row r="254" spans="1:18" ht="36.75" customHeight="1">
      <c r="A254" s="764">
        <v>4360</v>
      </c>
      <c r="B254" s="828" t="s">
        <v>545</v>
      </c>
      <c r="C254" s="720">
        <v>1200</v>
      </c>
      <c r="D254" s="698">
        <f t="shared" si="24"/>
        <v>868</v>
      </c>
      <c r="E254" s="698">
        <f t="shared" si="28"/>
        <v>864</v>
      </c>
      <c r="F254" s="699">
        <f t="shared" si="21"/>
        <v>99.53917050691244</v>
      </c>
      <c r="G254" s="720"/>
      <c r="H254" s="698"/>
      <c r="I254" s="766"/>
      <c r="J254" s="703"/>
      <c r="K254" s="698"/>
      <c r="L254" s="704"/>
      <c r="M254" s="703">
        <f>800-474</f>
        <v>326</v>
      </c>
      <c r="N254" s="703">
        <v>322</v>
      </c>
      <c r="O254" s="744">
        <f t="shared" si="27"/>
        <v>98.77300613496932</v>
      </c>
      <c r="P254" s="720">
        <f>1200-658</f>
        <v>542</v>
      </c>
      <c r="Q254" s="698">
        <f>541+1</f>
        <v>542</v>
      </c>
      <c r="R254" s="744">
        <f t="shared" si="26"/>
        <v>100</v>
      </c>
    </row>
    <row r="255" spans="1:18" ht="38.25" customHeight="1">
      <c r="A255" s="764">
        <v>4370</v>
      </c>
      <c r="B255" s="828" t="s">
        <v>546</v>
      </c>
      <c r="C255" s="720">
        <v>2500</v>
      </c>
      <c r="D255" s="698">
        <f t="shared" si="24"/>
        <v>2070</v>
      </c>
      <c r="E255" s="698">
        <f t="shared" si="28"/>
        <v>2070</v>
      </c>
      <c r="F255" s="699">
        <f aca="true" t="shared" si="29" ref="F255:F318">E255/D255*100</f>
        <v>100</v>
      </c>
      <c r="G255" s="720"/>
      <c r="H255" s="698"/>
      <c r="I255" s="766"/>
      <c r="J255" s="703"/>
      <c r="K255" s="698"/>
      <c r="L255" s="704"/>
      <c r="M255" s="703">
        <f>1000+750-962</f>
        <v>788</v>
      </c>
      <c r="N255" s="703">
        <v>788</v>
      </c>
      <c r="O255" s="744">
        <f t="shared" si="27"/>
        <v>100</v>
      </c>
      <c r="P255" s="720">
        <f>1500-218</f>
        <v>1282</v>
      </c>
      <c r="Q255" s="698">
        <v>1282</v>
      </c>
      <c r="R255" s="744">
        <f t="shared" si="26"/>
        <v>100</v>
      </c>
    </row>
    <row r="256" spans="1:18" ht="25.5" customHeight="1">
      <c r="A256" s="764">
        <v>4400</v>
      </c>
      <c r="B256" s="828" t="s">
        <v>547</v>
      </c>
      <c r="C256" s="720">
        <v>3600</v>
      </c>
      <c r="D256" s="698">
        <f t="shared" si="24"/>
        <v>3350</v>
      </c>
      <c r="E256" s="698">
        <f t="shared" si="28"/>
        <v>3349</v>
      </c>
      <c r="F256" s="699">
        <f t="shared" si="29"/>
        <v>99.97014925373135</v>
      </c>
      <c r="G256" s="720"/>
      <c r="H256" s="698"/>
      <c r="I256" s="766"/>
      <c r="J256" s="703"/>
      <c r="K256" s="698"/>
      <c r="L256" s="704"/>
      <c r="M256" s="703">
        <f>600+1670-1358</f>
        <v>912</v>
      </c>
      <c r="N256" s="703">
        <v>912</v>
      </c>
      <c r="O256" s="744">
        <f t="shared" si="27"/>
        <v>100</v>
      </c>
      <c r="P256" s="720">
        <f>3000-100-300-162</f>
        <v>2438</v>
      </c>
      <c r="Q256" s="698">
        <v>2437</v>
      </c>
      <c r="R256" s="744">
        <f t="shared" si="26"/>
        <v>99.95898277276456</v>
      </c>
    </row>
    <row r="257" spans="1:18" ht="14.25" customHeight="1">
      <c r="A257" s="764">
        <v>4410</v>
      </c>
      <c r="B257" s="828" t="s">
        <v>592</v>
      </c>
      <c r="C257" s="720">
        <v>1800</v>
      </c>
      <c r="D257" s="698">
        <f t="shared" si="24"/>
        <v>150</v>
      </c>
      <c r="E257" s="698">
        <f t="shared" si="28"/>
        <v>150</v>
      </c>
      <c r="F257" s="699">
        <f t="shared" si="29"/>
        <v>100</v>
      </c>
      <c r="G257" s="720"/>
      <c r="H257" s="698"/>
      <c r="I257" s="766"/>
      <c r="J257" s="703"/>
      <c r="K257" s="698"/>
      <c r="L257" s="704"/>
      <c r="M257" s="703">
        <f>1000-1000</f>
        <v>0</v>
      </c>
      <c r="N257" s="703"/>
      <c r="O257" s="744"/>
      <c r="P257" s="720">
        <f>800-650</f>
        <v>150</v>
      </c>
      <c r="Q257" s="698">
        <v>150</v>
      </c>
      <c r="R257" s="744">
        <f t="shared" si="26"/>
        <v>100</v>
      </c>
    </row>
    <row r="258" spans="1:18" ht="14.25" customHeight="1">
      <c r="A258" s="764">
        <v>4430</v>
      </c>
      <c r="B258" s="828" t="s">
        <v>221</v>
      </c>
      <c r="C258" s="720">
        <v>2100</v>
      </c>
      <c r="D258" s="698">
        <f aca="true" t="shared" si="30" ref="D258:E273">G258+J258+P258+M258</f>
        <v>1589</v>
      </c>
      <c r="E258" s="698">
        <f>SUM(H258+K258+N258+Q258)</f>
        <v>1589</v>
      </c>
      <c r="F258" s="699">
        <f t="shared" si="29"/>
        <v>100</v>
      </c>
      <c r="G258" s="720"/>
      <c r="H258" s="698"/>
      <c r="I258" s="766"/>
      <c r="J258" s="703"/>
      <c r="K258" s="698"/>
      <c r="L258" s="704"/>
      <c r="M258" s="703"/>
      <c r="N258" s="703"/>
      <c r="O258" s="702"/>
      <c r="P258" s="720">
        <f>2100-401-110</f>
        <v>1589</v>
      </c>
      <c r="Q258" s="698">
        <v>1589</v>
      </c>
      <c r="R258" s="744">
        <f t="shared" si="26"/>
        <v>100</v>
      </c>
    </row>
    <row r="259" spans="1:18" ht="14.25" customHeight="1">
      <c r="A259" s="764">
        <v>4440</v>
      </c>
      <c r="B259" s="828" t="s">
        <v>223</v>
      </c>
      <c r="C259" s="720">
        <v>9100</v>
      </c>
      <c r="D259" s="698">
        <f t="shared" si="30"/>
        <v>9501</v>
      </c>
      <c r="E259" s="698">
        <f t="shared" si="28"/>
        <v>9501</v>
      </c>
      <c r="F259" s="699">
        <f t="shared" si="29"/>
        <v>100</v>
      </c>
      <c r="G259" s="720"/>
      <c r="H259" s="698"/>
      <c r="I259" s="766"/>
      <c r="J259" s="703"/>
      <c r="K259" s="698"/>
      <c r="L259" s="704"/>
      <c r="M259" s="703">
        <v>3800</v>
      </c>
      <c r="N259" s="703">
        <v>3800</v>
      </c>
      <c r="O259" s="744">
        <f t="shared" si="27"/>
        <v>100</v>
      </c>
      <c r="P259" s="720">
        <f>5300+401</f>
        <v>5701</v>
      </c>
      <c r="Q259" s="698">
        <v>5701</v>
      </c>
      <c r="R259" s="744">
        <f t="shared" si="26"/>
        <v>100</v>
      </c>
    </row>
    <row r="260" spans="1:18" ht="29.25" customHeight="1">
      <c r="A260" s="764">
        <v>4490</v>
      </c>
      <c r="B260" s="828" t="s">
        <v>304</v>
      </c>
      <c r="C260" s="720">
        <v>150</v>
      </c>
      <c r="D260" s="698">
        <f t="shared" si="30"/>
        <v>50</v>
      </c>
      <c r="E260" s="698">
        <f>SUM(H260+K260+N260+Q260)</f>
        <v>50</v>
      </c>
      <c r="F260" s="699">
        <f t="shared" si="29"/>
        <v>100</v>
      </c>
      <c r="G260" s="720"/>
      <c r="H260" s="698"/>
      <c r="I260" s="766"/>
      <c r="J260" s="703"/>
      <c r="K260" s="698"/>
      <c r="L260" s="704"/>
      <c r="M260" s="703">
        <f>100-50</f>
        <v>50</v>
      </c>
      <c r="N260" s="703">
        <v>50</v>
      </c>
      <c r="O260" s="744">
        <f t="shared" si="27"/>
        <v>100</v>
      </c>
      <c r="P260" s="720">
        <f>150-150</f>
        <v>0</v>
      </c>
      <c r="Q260" s="698"/>
      <c r="R260" s="744"/>
    </row>
    <row r="261" spans="1:18" ht="27" customHeight="1">
      <c r="A261" s="764">
        <v>4550</v>
      </c>
      <c r="B261" s="828" t="s">
        <v>227</v>
      </c>
      <c r="C261" s="720">
        <v>4000</v>
      </c>
      <c r="D261" s="698">
        <f t="shared" si="30"/>
        <v>6765</v>
      </c>
      <c r="E261" s="698">
        <f>SUM(H261+K261+N261+Q261)</f>
        <v>6764</v>
      </c>
      <c r="F261" s="699">
        <f t="shared" si="29"/>
        <v>99.98521803399852</v>
      </c>
      <c r="G261" s="720"/>
      <c r="H261" s="698"/>
      <c r="I261" s="766"/>
      <c r="J261" s="703"/>
      <c r="K261" s="698"/>
      <c r="L261" s="704"/>
      <c r="M261" s="703">
        <f>3000-2502</f>
        <v>498</v>
      </c>
      <c r="N261" s="703">
        <v>497</v>
      </c>
      <c r="O261" s="744">
        <f t="shared" si="27"/>
        <v>99.79919678714859</v>
      </c>
      <c r="P261" s="720">
        <f>4000+2267</f>
        <v>6267</v>
      </c>
      <c r="Q261" s="698">
        <v>6267</v>
      </c>
      <c r="R261" s="744">
        <f t="shared" si="26"/>
        <v>100</v>
      </c>
    </row>
    <row r="262" spans="1:18" ht="39.75" customHeight="1">
      <c r="A262" s="764">
        <v>4700</v>
      </c>
      <c r="B262" s="828" t="s">
        <v>550</v>
      </c>
      <c r="C262" s="720">
        <v>1500</v>
      </c>
      <c r="D262" s="698">
        <f t="shared" si="30"/>
        <v>959</v>
      </c>
      <c r="E262" s="698">
        <f t="shared" si="28"/>
        <v>959</v>
      </c>
      <c r="F262" s="699">
        <f t="shared" si="29"/>
        <v>100</v>
      </c>
      <c r="G262" s="720"/>
      <c r="H262" s="698"/>
      <c r="I262" s="766"/>
      <c r="J262" s="703"/>
      <c r="K262" s="698"/>
      <c r="L262" s="704"/>
      <c r="M262" s="703">
        <f>1200-1200</f>
        <v>0</v>
      </c>
      <c r="N262" s="703"/>
      <c r="O262" s="744"/>
      <c r="P262" s="720">
        <f>1500-541</f>
        <v>959</v>
      </c>
      <c r="Q262" s="698">
        <v>959</v>
      </c>
      <c r="R262" s="744">
        <f t="shared" si="26"/>
        <v>100</v>
      </c>
    </row>
    <row r="263" spans="1:18" ht="48.75" customHeight="1">
      <c r="A263" s="764">
        <v>4740</v>
      </c>
      <c r="B263" s="828" t="s">
        <v>235</v>
      </c>
      <c r="C263" s="720">
        <v>1000</v>
      </c>
      <c r="D263" s="698">
        <f t="shared" si="30"/>
        <v>1500</v>
      </c>
      <c r="E263" s="698">
        <f>SUM(H263+K263+N263+Q263)</f>
        <v>1496</v>
      </c>
      <c r="F263" s="699">
        <f t="shared" si="29"/>
        <v>99.73333333333333</v>
      </c>
      <c r="G263" s="720"/>
      <c r="H263" s="698"/>
      <c r="I263" s="766"/>
      <c r="J263" s="703"/>
      <c r="K263" s="877"/>
      <c r="L263" s="878"/>
      <c r="M263" s="703">
        <f>500+500</f>
        <v>1000</v>
      </c>
      <c r="N263" s="703">
        <v>996</v>
      </c>
      <c r="O263" s="744">
        <f t="shared" si="27"/>
        <v>99.6</v>
      </c>
      <c r="P263" s="720">
        <v>500</v>
      </c>
      <c r="Q263" s="698">
        <v>500</v>
      </c>
      <c r="R263" s="744">
        <f t="shared" si="26"/>
        <v>100</v>
      </c>
    </row>
    <row r="264" spans="1:18" ht="39" customHeight="1">
      <c r="A264" s="764">
        <v>6060</v>
      </c>
      <c r="B264" s="768" t="s">
        <v>593</v>
      </c>
      <c r="C264" s="720">
        <v>8000</v>
      </c>
      <c r="D264" s="698">
        <f t="shared" si="30"/>
        <v>0</v>
      </c>
      <c r="E264" s="698">
        <f>SUM(H264+K264+N264+Q264)</f>
        <v>0</v>
      </c>
      <c r="F264" s="699"/>
      <c r="G264" s="720"/>
      <c r="H264" s="698"/>
      <c r="I264" s="766"/>
      <c r="J264" s="703"/>
      <c r="K264" s="698"/>
      <c r="L264" s="704"/>
      <c r="M264" s="703"/>
      <c r="N264" s="703"/>
      <c r="O264" s="744"/>
      <c r="P264" s="720">
        <f>8000-8000</f>
        <v>0</v>
      </c>
      <c r="Q264" s="698"/>
      <c r="R264" s="744"/>
    </row>
    <row r="265" spans="1:18" ht="36">
      <c r="A265" s="789">
        <v>4750</v>
      </c>
      <c r="B265" s="790" t="s">
        <v>551</v>
      </c>
      <c r="C265" s="791">
        <v>10300</v>
      </c>
      <c r="D265" s="792">
        <f t="shared" si="30"/>
        <v>26026</v>
      </c>
      <c r="E265" s="792">
        <f t="shared" si="28"/>
        <v>26025</v>
      </c>
      <c r="F265" s="760">
        <f t="shared" si="29"/>
        <v>99.99615768846539</v>
      </c>
      <c r="G265" s="791"/>
      <c r="H265" s="792"/>
      <c r="I265" s="806"/>
      <c r="J265" s="793"/>
      <c r="K265" s="792"/>
      <c r="L265" s="794"/>
      <c r="M265" s="793">
        <f>3500+6300+3045</f>
        <v>12845</v>
      </c>
      <c r="N265" s="793">
        <v>12844</v>
      </c>
      <c r="O265" s="744">
        <f t="shared" si="27"/>
        <v>99.99221486959907</v>
      </c>
      <c r="P265" s="791">
        <f>6800+3091+3290</f>
        <v>13181</v>
      </c>
      <c r="Q265" s="792">
        <v>13181</v>
      </c>
      <c r="R265" s="761">
        <f t="shared" si="26"/>
        <v>100</v>
      </c>
    </row>
    <row r="266" spans="1:20" s="756" customFormat="1" ht="13.5" customHeight="1">
      <c r="A266" s="757">
        <v>71035</v>
      </c>
      <c r="B266" s="852" t="s">
        <v>594</v>
      </c>
      <c r="C266" s="725">
        <f>SUM(C267:C270)</f>
        <v>1905600</v>
      </c>
      <c r="D266" s="712">
        <f t="shared" si="30"/>
        <v>1876600</v>
      </c>
      <c r="E266" s="712">
        <f t="shared" si="28"/>
        <v>1623582</v>
      </c>
      <c r="F266" s="726">
        <f t="shared" si="29"/>
        <v>86.51721197911117</v>
      </c>
      <c r="G266" s="725">
        <f>SUM(G267:G270)</f>
        <v>1860000</v>
      </c>
      <c r="H266" s="712">
        <f>SUM(H267:H270)</f>
        <v>1606987</v>
      </c>
      <c r="I266" s="719">
        <f aca="true" t="shared" si="31" ref="I266:I278">H266/G266*100</f>
        <v>86.3971505376344</v>
      </c>
      <c r="J266" s="717">
        <f>SUM(J268:J270)</f>
        <v>16600</v>
      </c>
      <c r="K266" s="712">
        <f>SUM(K268:K270)</f>
        <v>16595</v>
      </c>
      <c r="L266" s="742">
        <f>K266/J266*100</f>
        <v>99.96987951807229</v>
      </c>
      <c r="M266" s="717"/>
      <c r="N266" s="717"/>
      <c r="O266" s="801"/>
      <c r="P266" s="725"/>
      <c r="Q266" s="712"/>
      <c r="R266" s="799"/>
      <c r="S266" s="682"/>
      <c r="T266" s="682"/>
    </row>
    <row r="267" spans="1:18" ht="16.5" customHeight="1" hidden="1" thickBot="1" thickTop="1">
      <c r="A267" s="764">
        <v>4270</v>
      </c>
      <c r="B267" s="768" t="s">
        <v>217</v>
      </c>
      <c r="C267" s="720"/>
      <c r="D267" s="698">
        <f t="shared" si="30"/>
        <v>0</v>
      </c>
      <c r="E267" s="698">
        <f t="shared" si="30"/>
        <v>0</v>
      </c>
      <c r="F267" s="699"/>
      <c r="G267" s="720"/>
      <c r="H267" s="698"/>
      <c r="I267" s="702"/>
      <c r="J267" s="703"/>
      <c r="K267" s="698"/>
      <c r="L267" s="745"/>
      <c r="M267" s="703"/>
      <c r="N267" s="703"/>
      <c r="O267" s="766"/>
      <c r="P267" s="720"/>
      <c r="Q267" s="698"/>
      <c r="R267" s="702"/>
    </row>
    <row r="268" spans="1:18" ht="24.75" customHeight="1">
      <c r="A268" s="764">
        <v>4300</v>
      </c>
      <c r="B268" s="768" t="s">
        <v>396</v>
      </c>
      <c r="C268" s="720">
        <v>16600</v>
      </c>
      <c r="D268" s="698">
        <f t="shared" si="30"/>
        <v>16600</v>
      </c>
      <c r="E268" s="698">
        <f t="shared" si="30"/>
        <v>16595</v>
      </c>
      <c r="F268" s="699">
        <f t="shared" si="29"/>
        <v>99.96987951807229</v>
      </c>
      <c r="G268" s="720"/>
      <c r="H268" s="698"/>
      <c r="I268" s="702"/>
      <c r="J268" s="703">
        <v>16600</v>
      </c>
      <c r="K268" s="698">
        <v>16595</v>
      </c>
      <c r="L268" s="745">
        <f>K268/J268*100</f>
        <v>99.96987951807229</v>
      </c>
      <c r="M268" s="703"/>
      <c r="N268" s="703"/>
      <c r="O268" s="766"/>
      <c r="P268" s="720"/>
      <c r="Q268" s="698"/>
      <c r="R268" s="702"/>
    </row>
    <row r="269" spans="1:18" ht="29.25" customHeight="1">
      <c r="A269" s="764">
        <v>4300</v>
      </c>
      <c r="B269" s="768" t="s">
        <v>397</v>
      </c>
      <c r="C269" s="720">
        <v>1389000</v>
      </c>
      <c r="D269" s="698">
        <f t="shared" si="30"/>
        <v>1500000</v>
      </c>
      <c r="E269" s="698">
        <f t="shared" si="30"/>
        <v>1494259</v>
      </c>
      <c r="F269" s="699">
        <f t="shared" si="29"/>
        <v>99.61726666666667</v>
      </c>
      <c r="G269" s="720">
        <f>1389000+111000</f>
        <v>1500000</v>
      </c>
      <c r="H269" s="698">
        <f>647631+846628</f>
        <v>1494259</v>
      </c>
      <c r="I269" s="702">
        <f t="shared" si="31"/>
        <v>99.61726666666667</v>
      </c>
      <c r="J269" s="703"/>
      <c r="K269" s="698"/>
      <c r="L269" s="704"/>
      <c r="M269" s="703"/>
      <c r="N269" s="703"/>
      <c r="O269" s="766"/>
      <c r="P269" s="720"/>
      <c r="Q269" s="698"/>
      <c r="R269" s="702"/>
    </row>
    <row r="270" spans="1:18" ht="28.5" customHeight="1" thickBot="1">
      <c r="A270" s="764">
        <v>6050</v>
      </c>
      <c r="B270" s="768" t="s">
        <v>246</v>
      </c>
      <c r="C270" s="720">
        <v>500000</v>
      </c>
      <c r="D270" s="698">
        <f>G270+J270+P270+M270</f>
        <v>360000</v>
      </c>
      <c r="E270" s="698">
        <f>H270+K270+Q270+N270</f>
        <v>112728</v>
      </c>
      <c r="F270" s="699">
        <f>E270/D270*100</f>
        <v>31.313333333333333</v>
      </c>
      <c r="G270" s="720">
        <f>500000-140000</f>
        <v>360000</v>
      </c>
      <c r="H270" s="698">
        <v>112728</v>
      </c>
      <c r="I270" s="702">
        <f t="shared" si="31"/>
        <v>31.313333333333333</v>
      </c>
      <c r="J270" s="703"/>
      <c r="K270" s="698"/>
      <c r="L270" s="704"/>
      <c r="M270" s="879"/>
      <c r="N270" s="792"/>
      <c r="O270" s="766"/>
      <c r="P270" s="720"/>
      <c r="Q270" s="698"/>
      <c r="R270" s="702"/>
    </row>
    <row r="271" spans="1:18" ht="15.75" customHeight="1" hidden="1">
      <c r="A271" s="757">
        <v>71095</v>
      </c>
      <c r="B271" s="852" t="s">
        <v>233</v>
      </c>
      <c r="C271" s="725"/>
      <c r="D271" s="712">
        <f t="shared" si="30"/>
        <v>0</v>
      </c>
      <c r="E271" s="712">
        <f t="shared" si="30"/>
        <v>0</v>
      </c>
      <c r="F271" s="713" t="e">
        <f t="shared" si="29"/>
        <v>#DIV/0!</v>
      </c>
      <c r="G271" s="725">
        <f>G272</f>
        <v>0</v>
      </c>
      <c r="H271" s="712">
        <f>H272</f>
        <v>0</v>
      </c>
      <c r="I271" s="796" t="e">
        <f t="shared" si="31"/>
        <v>#DIV/0!</v>
      </c>
      <c r="J271" s="717"/>
      <c r="K271" s="712"/>
      <c r="L271" s="718"/>
      <c r="M271" s="880"/>
      <c r="N271" s="712"/>
      <c r="O271" s="801"/>
      <c r="P271" s="725"/>
      <c r="Q271" s="712"/>
      <c r="R271" s="799"/>
    </row>
    <row r="272" spans="1:18" ht="17.25" customHeight="1" hidden="1">
      <c r="A272" s="764">
        <v>4300</v>
      </c>
      <c r="B272" s="768" t="s">
        <v>219</v>
      </c>
      <c r="C272" s="720"/>
      <c r="D272" s="698">
        <f t="shared" si="30"/>
        <v>0</v>
      </c>
      <c r="E272" s="698">
        <f t="shared" si="30"/>
        <v>0</v>
      </c>
      <c r="F272" s="699" t="e">
        <f t="shared" si="29"/>
        <v>#DIV/0!</v>
      </c>
      <c r="G272" s="720"/>
      <c r="H272" s="698"/>
      <c r="I272" s="702" t="e">
        <f t="shared" si="31"/>
        <v>#DIV/0!</v>
      </c>
      <c r="J272" s="703"/>
      <c r="K272" s="698"/>
      <c r="L272" s="704"/>
      <c r="M272" s="879"/>
      <c r="N272" s="748"/>
      <c r="O272" s="766"/>
      <c r="P272" s="720"/>
      <c r="Q272" s="698"/>
      <c r="R272" s="702"/>
    </row>
    <row r="273" spans="1:20" s="756" customFormat="1" ht="29.25" customHeight="1" thickBot="1" thickTop="1">
      <c r="A273" s="749">
        <v>750</v>
      </c>
      <c r="B273" s="750" t="s">
        <v>595</v>
      </c>
      <c r="C273" s="751">
        <f>C274+C285+C302+C316+C440+C453+C384+C400</f>
        <v>35491335</v>
      </c>
      <c r="D273" s="674">
        <f t="shared" si="30"/>
        <v>34771508</v>
      </c>
      <c r="E273" s="674">
        <f t="shared" si="30"/>
        <v>32095299</v>
      </c>
      <c r="F273" s="675">
        <f t="shared" si="29"/>
        <v>92.30344280725473</v>
      </c>
      <c r="G273" s="751">
        <f>G274+G302+G316+G384+G440+G453+G285+G400</f>
        <v>30541976</v>
      </c>
      <c r="H273" s="674">
        <f>H274+H302+H316+H384+H440+H453+H285+H400</f>
        <v>28123120</v>
      </c>
      <c r="I273" s="677">
        <f t="shared" si="31"/>
        <v>92.08022427887443</v>
      </c>
      <c r="J273" s="674">
        <f>J274+J302+J316+J384+J440+J453+J285+J400</f>
        <v>757900</v>
      </c>
      <c r="K273" s="674">
        <f>K274+K302+K316+K384+K440+K453+K285+K400</f>
        <v>757900</v>
      </c>
      <c r="L273" s="881">
        <f aca="true" t="shared" si="32" ref="L273:L278">K273/J273*100</f>
        <v>100</v>
      </c>
      <c r="M273" s="882">
        <f>M274+M302+M316+M384+M440+M453+M285</f>
        <v>3192000</v>
      </c>
      <c r="N273" s="674">
        <f>N274+N302+N316+N384+N440+N453+N285</f>
        <v>2934647</v>
      </c>
      <c r="O273" s="677">
        <f>N273/M273*100</f>
        <v>91.9375626566416</v>
      </c>
      <c r="P273" s="751">
        <f>P274+P302+P316+P384+P440+P453+P285</f>
        <v>279632</v>
      </c>
      <c r="Q273" s="674">
        <f>Q274+Q302+Q316+Q384+Q440+Q453+Q285</f>
        <v>279632</v>
      </c>
      <c r="R273" s="752">
        <f aca="true" t="shared" si="33" ref="R273:R279">Q273/P273*100</f>
        <v>100</v>
      </c>
      <c r="S273" s="682"/>
      <c r="T273" s="682"/>
    </row>
    <row r="274" spans="1:18" ht="15" customHeight="1" thickTop="1">
      <c r="A274" s="757">
        <v>75011</v>
      </c>
      <c r="B274" s="852" t="s">
        <v>596</v>
      </c>
      <c r="C274" s="725">
        <f>SUM(C275:C284)</f>
        <v>1536700</v>
      </c>
      <c r="D274" s="759">
        <f>G274+J274+P274+M274</f>
        <v>1566700</v>
      </c>
      <c r="E274" s="759">
        <f>H274+K274+Q274+N274</f>
        <v>1493977</v>
      </c>
      <c r="F274" s="760">
        <f t="shared" si="29"/>
        <v>95.3582051445714</v>
      </c>
      <c r="G274" s="725">
        <f>SUM(G275:G284)</f>
        <v>567600</v>
      </c>
      <c r="H274" s="712">
        <f>SUM(H275:H284)</f>
        <v>494877</v>
      </c>
      <c r="I274" s="796">
        <f t="shared" si="31"/>
        <v>87.18763213530656</v>
      </c>
      <c r="J274" s="717">
        <f>SUM(J275:J284)</f>
        <v>757900</v>
      </c>
      <c r="K274" s="712">
        <f>SUM(K275:K284)</f>
        <v>757900</v>
      </c>
      <c r="L274" s="883">
        <f t="shared" si="32"/>
        <v>100</v>
      </c>
      <c r="M274" s="712"/>
      <c r="N274" s="712"/>
      <c r="O274" s="762"/>
      <c r="P274" s="725">
        <f>SUM(P275:P284)</f>
        <v>241200</v>
      </c>
      <c r="Q274" s="712">
        <f>SUM(Q275:Q284)</f>
        <v>241200</v>
      </c>
      <c r="R274" s="761">
        <f t="shared" si="33"/>
        <v>100</v>
      </c>
    </row>
    <row r="275" spans="1:18" ht="24" customHeight="1">
      <c r="A275" s="784">
        <v>4010</v>
      </c>
      <c r="B275" s="785" t="s">
        <v>201</v>
      </c>
      <c r="C275" s="723">
        <v>951100</v>
      </c>
      <c r="D275" s="732">
        <f aca="true" t="shared" si="34" ref="D275:D338">G275+J275+P275+M275</f>
        <v>951100</v>
      </c>
      <c r="E275" s="732">
        <f aca="true" t="shared" si="35" ref="E275:E284">SUM(H275+K275+N275+Q275)</f>
        <v>951100</v>
      </c>
      <c r="F275" s="721">
        <f t="shared" si="29"/>
        <v>100</v>
      </c>
      <c r="G275" s="723">
        <v>165600</v>
      </c>
      <c r="H275" s="732">
        <v>165600</v>
      </c>
      <c r="I275" s="786">
        <f t="shared" si="31"/>
        <v>100</v>
      </c>
      <c r="J275" s="735">
        <v>595800</v>
      </c>
      <c r="K275" s="732">
        <v>595800</v>
      </c>
      <c r="L275" s="786">
        <f t="shared" si="32"/>
        <v>100</v>
      </c>
      <c r="M275" s="732"/>
      <c r="N275" s="732"/>
      <c r="O275" s="803"/>
      <c r="P275" s="723">
        <v>189700</v>
      </c>
      <c r="Q275" s="732">
        <v>189700</v>
      </c>
      <c r="R275" s="786">
        <f t="shared" si="33"/>
        <v>100</v>
      </c>
    </row>
    <row r="276" spans="1:18" ht="24">
      <c r="A276" s="764">
        <v>4040</v>
      </c>
      <c r="B276" s="768" t="s">
        <v>280</v>
      </c>
      <c r="C276" s="720">
        <v>77200</v>
      </c>
      <c r="D276" s="698">
        <f t="shared" si="34"/>
        <v>77200</v>
      </c>
      <c r="E276" s="698">
        <f t="shared" si="35"/>
        <v>77200</v>
      </c>
      <c r="F276" s="699">
        <f t="shared" si="29"/>
        <v>100</v>
      </c>
      <c r="G276" s="720">
        <v>13400</v>
      </c>
      <c r="H276" s="698">
        <v>13400</v>
      </c>
      <c r="I276" s="744">
        <f t="shared" si="31"/>
        <v>100</v>
      </c>
      <c r="J276" s="703">
        <v>48400</v>
      </c>
      <c r="K276" s="698">
        <v>48400</v>
      </c>
      <c r="L276" s="744">
        <f t="shared" si="32"/>
        <v>100</v>
      </c>
      <c r="M276" s="698"/>
      <c r="N276" s="698"/>
      <c r="O276" s="766"/>
      <c r="P276" s="720">
        <v>15400</v>
      </c>
      <c r="Q276" s="698">
        <v>15400</v>
      </c>
      <c r="R276" s="744">
        <f t="shared" si="33"/>
        <v>100</v>
      </c>
    </row>
    <row r="277" spans="1:18" ht="24.75" customHeight="1">
      <c r="A277" s="764">
        <v>4110</v>
      </c>
      <c r="B277" s="696" t="s">
        <v>207</v>
      </c>
      <c r="C277" s="720">
        <v>156200</v>
      </c>
      <c r="D277" s="698">
        <f t="shared" si="34"/>
        <v>156200</v>
      </c>
      <c r="E277" s="698">
        <f t="shared" si="35"/>
        <v>156200</v>
      </c>
      <c r="F277" s="699">
        <f t="shared" si="29"/>
        <v>100</v>
      </c>
      <c r="G277" s="720">
        <v>27200</v>
      </c>
      <c r="H277" s="698">
        <v>27200</v>
      </c>
      <c r="I277" s="744">
        <f t="shared" si="31"/>
        <v>100</v>
      </c>
      <c r="J277" s="703">
        <v>97900</v>
      </c>
      <c r="K277" s="698">
        <v>97900</v>
      </c>
      <c r="L277" s="744">
        <f t="shared" si="32"/>
        <v>100</v>
      </c>
      <c r="M277" s="698"/>
      <c r="N277" s="698"/>
      <c r="O277" s="766"/>
      <c r="P277" s="720">
        <v>31100</v>
      </c>
      <c r="Q277" s="698">
        <v>31100</v>
      </c>
      <c r="R277" s="744">
        <f t="shared" si="33"/>
        <v>100</v>
      </c>
    </row>
    <row r="278" spans="1:18" ht="11.25" customHeight="1">
      <c r="A278" s="764">
        <v>4120</v>
      </c>
      <c r="B278" s="768" t="s">
        <v>588</v>
      </c>
      <c r="C278" s="720">
        <v>25200</v>
      </c>
      <c r="D278" s="698">
        <f t="shared" si="34"/>
        <v>25200</v>
      </c>
      <c r="E278" s="698">
        <f t="shared" si="35"/>
        <v>25200</v>
      </c>
      <c r="F278" s="699">
        <f t="shared" si="29"/>
        <v>100</v>
      </c>
      <c r="G278" s="720">
        <v>4400</v>
      </c>
      <c r="H278" s="698">
        <v>4400</v>
      </c>
      <c r="I278" s="744">
        <f t="shared" si="31"/>
        <v>100</v>
      </c>
      <c r="J278" s="703">
        <v>15800</v>
      </c>
      <c r="K278" s="698">
        <v>15800</v>
      </c>
      <c r="L278" s="744">
        <f t="shared" si="32"/>
        <v>100</v>
      </c>
      <c r="M278" s="698"/>
      <c r="N278" s="698"/>
      <c r="O278" s="766"/>
      <c r="P278" s="720">
        <v>5000</v>
      </c>
      <c r="Q278" s="698">
        <v>5000</v>
      </c>
      <c r="R278" s="744">
        <f t="shared" si="33"/>
        <v>100</v>
      </c>
    </row>
    <row r="279" spans="1:18" ht="24" hidden="1">
      <c r="A279" s="764">
        <v>4170</v>
      </c>
      <c r="B279" s="768" t="s">
        <v>242</v>
      </c>
      <c r="C279" s="720"/>
      <c r="D279" s="698">
        <f t="shared" si="34"/>
        <v>0</v>
      </c>
      <c r="E279" s="698">
        <f>SUM(H279+K279+N279+Q279)</f>
        <v>0</v>
      </c>
      <c r="F279" s="699" t="e">
        <f>E279/D279*100</f>
        <v>#DIV/0!</v>
      </c>
      <c r="G279" s="720"/>
      <c r="H279" s="698"/>
      <c r="I279" s="744"/>
      <c r="J279" s="703"/>
      <c r="K279" s="698"/>
      <c r="L279" s="744"/>
      <c r="M279" s="698"/>
      <c r="N279" s="698"/>
      <c r="O279" s="766"/>
      <c r="P279" s="720"/>
      <c r="Q279" s="698"/>
      <c r="R279" s="744" t="e">
        <f t="shared" si="33"/>
        <v>#DIV/0!</v>
      </c>
    </row>
    <row r="280" spans="1:18" ht="24">
      <c r="A280" s="764">
        <v>4210</v>
      </c>
      <c r="B280" s="768" t="s">
        <v>211</v>
      </c>
      <c r="C280" s="720">
        <v>126000</v>
      </c>
      <c r="D280" s="698">
        <f t="shared" si="34"/>
        <v>148000</v>
      </c>
      <c r="E280" s="698">
        <f t="shared" si="35"/>
        <v>118724</v>
      </c>
      <c r="F280" s="699">
        <f t="shared" si="29"/>
        <v>80.21891891891893</v>
      </c>
      <c r="G280" s="720">
        <f>126000+17000+5000</f>
        <v>148000</v>
      </c>
      <c r="H280" s="698">
        <f>118497-1+228</f>
        <v>118724</v>
      </c>
      <c r="I280" s="744">
        <f>H280/G280*100</f>
        <v>80.21891891891893</v>
      </c>
      <c r="J280" s="703"/>
      <c r="K280" s="698"/>
      <c r="L280" s="745"/>
      <c r="M280" s="698"/>
      <c r="N280" s="698"/>
      <c r="O280" s="766"/>
      <c r="P280" s="720"/>
      <c r="Q280" s="698"/>
      <c r="R280" s="702"/>
    </row>
    <row r="281" spans="1:18" ht="12.75">
      <c r="A281" s="764">
        <v>4260</v>
      </c>
      <c r="B281" s="768" t="s">
        <v>215</v>
      </c>
      <c r="C281" s="720">
        <v>36000</v>
      </c>
      <c r="D281" s="698">
        <f t="shared" si="34"/>
        <v>36000</v>
      </c>
      <c r="E281" s="698">
        <f t="shared" si="35"/>
        <v>34379</v>
      </c>
      <c r="F281" s="699">
        <f t="shared" si="29"/>
        <v>95.49722222222222</v>
      </c>
      <c r="G281" s="720">
        <v>36000</v>
      </c>
      <c r="H281" s="698">
        <f>34373+6</f>
        <v>34379</v>
      </c>
      <c r="I281" s="744">
        <f>H281/G281*100</f>
        <v>95.49722222222222</v>
      </c>
      <c r="J281" s="703"/>
      <c r="K281" s="698"/>
      <c r="L281" s="704"/>
      <c r="M281" s="698"/>
      <c r="N281" s="698"/>
      <c r="O281" s="766"/>
      <c r="P281" s="720"/>
      <c r="Q281" s="698"/>
      <c r="R281" s="746"/>
    </row>
    <row r="282" spans="1:18" ht="13.5" customHeight="1">
      <c r="A282" s="764">
        <v>4300</v>
      </c>
      <c r="B282" s="768" t="s">
        <v>219</v>
      </c>
      <c r="C282" s="720">
        <v>109000</v>
      </c>
      <c r="D282" s="698">
        <f t="shared" si="34"/>
        <v>117000</v>
      </c>
      <c r="E282" s="698">
        <f>SUM(H282+K282+N282+Q282)</f>
        <v>93608</v>
      </c>
      <c r="F282" s="699">
        <f>E282/D282*100</f>
        <v>80.0068376068376</v>
      </c>
      <c r="G282" s="720">
        <f>109000+8000</f>
        <v>117000</v>
      </c>
      <c r="H282" s="698">
        <f>92859+749</f>
        <v>93608</v>
      </c>
      <c r="I282" s="702">
        <f>H282/G282*100</f>
        <v>80.0068376068376</v>
      </c>
      <c r="J282" s="703"/>
      <c r="K282" s="698"/>
      <c r="L282" s="704"/>
      <c r="M282" s="698"/>
      <c r="N282" s="698"/>
      <c r="O282" s="766"/>
      <c r="P282" s="720"/>
      <c r="Q282" s="698"/>
      <c r="R282" s="746"/>
    </row>
    <row r="283" spans="1:18" ht="39" customHeight="1">
      <c r="A283" s="764">
        <v>4360</v>
      </c>
      <c r="B283" s="828" t="s">
        <v>545</v>
      </c>
      <c r="C283" s="720">
        <v>22000</v>
      </c>
      <c r="D283" s="698">
        <f t="shared" si="34"/>
        <v>22000</v>
      </c>
      <c r="E283" s="698">
        <f>SUM(H283+K283+N283+Q283)</f>
        <v>14449</v>
      </c>
      <c r="F283" s="699">
        <f>E283/D283*100</f>
        <v>65.67727272727272</v>
      </c>
      <c r="G283" s="720">
        <v>22000</v>
      </c>
      <c r="H283" s="698">
        <v>14449</v>
      </c>
      <c r="I283" s="702">
        <f>H283/G283*100</f>
        <v>65.67727272727272</v>
      </c>
      <c r="J283" s="703"/>
      <c r="K283" s="698"/>
      <c r="L283" s="704"/>
      <c r="M283" s="698"/>
      <c r="N283" s="698"/>
      <c r="O283" s="766"/>
      <c r="P283" s="720"/>
      <c r="Q283" s="698"/>
      <c r="R283" s="746"/>
    </row>
    <row r="284" spans="1:18" ht="49.5" customHeight="1">
      <c r="A284" s="764">
        <v>4740</v>
      </c>
      <c r="B284" s="828" t="s">
        <v>235</v>
      </c>
      <c r="C284" s="720">
        <v>34000</v>
      </c>
      <c r="D284" s="698">
        <f t="shared" si="34"/>
        <v>34000</v>
      </c>
      <c r="E284" s="698">
        <f t="shared" si="35"/>
        <v>23117</v>
      </c>
      <c r="F284" s="699">
        <f t="shared" si="29"/>
        <v>67.99117647058823</v>
      </c>
      <c r="G284" s="720">
        <v>34000</v>
      </c>
      <c r="H284" s="698">
        <v>23117</v>
      </c>
      <c r="I284" s="702">
        <f>H284/G284*100</f>
        <v>67.99117647058823</v>
      </c>
      <c r="J284" s="703"/>
      <c r="K284" s="698"/>
      <c r="L284" s="702" t="s">
        <v>597</v>
      </c>
      <c r="M284" s="698"/>
      <c r="N284" s="698"/>
      <c r="O284" s="766"/>
      <c r="P284" s="720"/>
      <c r="Q284" s="698"/>
      <c r="R284" s="770"/>
    </row>
    <row r="285" spans="1:18" ht="12.75" customHeight="1">
      <c r="A285" s="757">
        <v>75020</v>
      </c>
      <c r="B285" s="852" t="s">
        <v>598</v>
      </c>
      <c r="C285" s="725">
        <f>SUM(C286:C300)</f>
        <v>4969580</v>
      </c>
      <c r="D285" s="712">
        <f t="shared" si="34"/>
        <v>3189000</v>
      </c>
      <c r="E285" s="712">
        <f>H285+K285+Q285+N285</f>
        <v>2934647</v>
      </c>
      <c r="F285" s="713">
        <f t="shared" si="29"/>
        <v>92.02405142677955</v>
      </c>
      <c r="G285" s="873"/>
      <c r="H285" s="874"/>
      <c r="I285" s="762"/>
      <c r="J285" s="875"/>
      <c r="K285" s="874"/>
      <c r="L285" s="876"/>
      <c r="M285" s="712">
        <f>SUM(M286:M301)</f>
        <v>3189000</v>
      </c>
      <c r="N285" s="712">
        <f>SUM(N286:N301)</f>
        <v>2934647</v>
      </c>
      <c r="O285" s="741">
        <f aca="true" t="shared" si="36" ref="O285:O301">N285/M285*100</f>
        <v>92.02405142677955</v>
      </c>
      <c r="P285" s="725"/>
      <c r="Q285" s="712"/>
      <c r="R285" s="846"/>
    </row>
    <row r="286" spans="1:18" ht="64.5" customHeight="1">
      <c r="A286" s="784">
        <v>2320</v>
      </c>
      <c r="B286" s="785" t="s">
        <v>599</v>
      </c>
      <c r="C286" s="723">
        <f>15000+1662180+300000</f>
        <v>1977180</v>
      </c>
      <c r="D286" s="732">
        <f t="shared" si="34"/>
        <v>15000</v>
      </c>
      <c r="E286" s="732">
        <f aca="true" t="shared" si="37" ref="E286:E300">SUM(H286+K286+N286+Q286)</f>
        <v>15000</v>
      </c>
      <c r="F286" s="721">
        <f t="shared" si="29"/>
        <v>100</v>
      </c>
      <c r="G286" s="723"/>
      <c r="H286" s="732"/>
      <c r="I286" s="803"/>
      <c r="J286" s="735"/>
      <c r="K286" s="732"/>
      <c r="L286" s="736"/>
      <c r="M286" s="884">
        <f>15000+1662180+300000-1962180</f>
        <v>15000</v>
      </c>
      <c r="N286" s="732">
        <v>15000</v>
      </c>
      <c r="O286" s="786">
        <f t="shared" si="36"/>
        <v>100</v>
      </c>
      <c r="P286" s="723"/>
      <c r="Q286" s="732"/>
      <c r="R286" s="788"/>
    </row>
    <row r="287" spans="1:18" ht="17.25" customHeight="1">
      <c r="A287" s="764">
        <v>4010</v>
      </c>
      <c r="B287" s="768" t="s">
        <v>600</v>
      </c>
      <c r="C287" s="720">
        <v>1034300</v>
      </c>
      <c r="D287" s="698">
        <f t="shared" si="34"/>
        <v>1034300</v>
      </c>
      <c r="E287" s="698">
        <f t="shared" si="37"/>
        <v>1034300</v>
      </c>
      <c r="F287" s="699">
        <f t="shared" si="29"/>
        <v>100</v>
      </c>
      <c r="G287" s="720"/>
      <c r="H287" s="698"/>
      <c r="I287" s="766"/>
      <c r="J287" s="703"/>
      <c r="K287" s="698"/>
      <c r="L287" s="704"/>
      <c r="M287" s="810">
        <v>1034300</v>
      </c>
      <c r="N287" s="698">
        <v>1034300</v>
      </c>
      <c r="O287" s="744">
        <f t="shared" si="36"/>
        <v>100</v>
      </c>
      <c r="P287" s="720"/>
      <c r="Q287" s="698"/>
      <c r="R287" s="770"/>
    </row>
    <row r="288" spans="1:18" ht="24">
      <c r="A288" s="764">
        <v>4040</v>
      </c>
      <c r="B288" s="768" t="s">
        <v>280</v>
      </c>
      <c r="C288" s="720">
        <v>84300</v>
      </c>
      <c r="D288" s="698">
        <f t="shared" si="34"/>
        <v>84300</v>
      </c>
      <c r="E288" s="698">
        <f t="shared" si="37"/>
        <v>84300</v>
      </c>
      <c r="F288" s="699">
        <f t="shared" si="29"/>
        <v>100</v>
      </c>
      <c r="G288" s="720"/>
      <c r="H288" s="698"/>
      <c r="I288" s="766"/>
      <c r="J288" s="703"/>
      <c r="K288" s="698"/>
      <c r="L288" s="704"/>
      <c r="M288" s="810">
        <v>84300</v>
      </c>
      <c r="N288" s="698">
        <v>84300</v>
      </c>
      <c r="O288" s="744">
        <f t="shared" si="36"/>
        <v>100</v>
      </c>
      <c r="P288" s="720"/>
      <c r="Q288" s="698"/>
      <c r="R288" s="770"/>
    </row>
    <row r="289" spans="1:18" ht="27" customHeight="1">
      <c r="A289" s="764">
        <v>4110</v>
      </c>
      <c r="B289" s="768" t="s">
        <v>207</v>
      </c>
      <c r="C289" s="720">
        <v>169900</v>
      </c>
      <c r="D289" s="698">
        <f t="shared" si="34"/>
        <v>169900</v>
      </c>
      <c r="E289" s="698">
        <f t="shared" si="37"/>
        <v>169900</v>
      </c>
      <c r="F289" s="699">
        <f t="shared" si="29"/>
        <v>100</v>
      </c>
      <c r="G289" s="720"/>
      <c r="H289" s="698"/>
      <c r="I289" s="766"/>
      <c r="J289" s="703"/>
      <c r="K289" s="698"/>
      <c r="L289" s="704"/>
      <c r="M289" s="810">
        <v>169900</v>
      </c>
      <c r="N289" s="698">
        <v>169900</v>
      </c>
      <c r="O289" s="744">
        <f t="shared" si="36"/>
        <v>100</v>
      </c>
      <c r="P289" s="720"/>
      <c r="Q289" s="698"/>
      <c r="R289" s="770"/>
    </row>
    <row r="290" spans="1:18" ht="16.5" customHeight="1">
      <c r="A290" s="764">
        <v>4120</v>
      </c>
      <c r="B290" s="768" t="s">
        <v>584</v>
      </c>
      <c r="C290" s="720">
        <v>27400</v>
      </c>
      <c r="D290" s="698">
        <f t="shared" si="34"/>
        <v>27400</v>
      </c>
      <c r="E290" s="698">
        <f t="shared" si="37"/>
        <v>27400</v>
      </c>
      <c r="F290" s="699">
        <f t="shared" si="29"/>
        <v>100</v>
      </c>
      <c r="G290" s="720"/>
      <c r="H290" s="698"/>
      <c r="I290" s="766"/>
      <c r="J290" s="703"/>
      <c r="K290" s="698"/>
      <c r="L290" s="704"/>
      <c r="M290" s="810">
        <v>27400</v>
      </c>
      <c r="N290" s="698">
        <v>27400</v>
      </c>
      <c r="O290" s="744">
        <f t="shared" si="36"/>
        <v>100</v>
      </c>
      <c r="P290" s="720"/>
      <c r="Q290" s="698"/>
      <c r="R290" s="770"/>
    </row>
    <row r="291" spans="1:18" ht="24">
      <c r="A291" s="764">
        <v>4210</v>
      </c>
      <c r="B291" s="768" t="s">
        <v>211</v>
      </c>
      <c r="C291" s="720">
        <v>94000</v>
      </c>
      <c r="D291" s="698">
        <f t="shared" si="34"/>
        <v>94000</v>
      </c>
      <c r="E291" s="698">
        <f t="shared" si="37"/>
        <v>57610</v>
      </c>
      <c r="F291" s="699">
        <f t="shared" si="29"/>
        <v>61.287234042553195</v>
      </c>
      <c r="G291" s="720"/>
      <c r="H291" s="698"/>
      <c r="I291" s="766"/>
      <c r="J291" s="703"/>
      <c r="K291" s="698"/>
      <c r="L291" s="704"/>
      <c r="M291" s="810">
        <v>94000</v>
      </c>
      <c r="N291" s="698">
        <f>57720-110</f>
        <v>57610</v>
      </c>
      <c r="O291" s="744">
        <f t="shared" si="36"/>
        <v>61.287234042553195</v>
      </c>
      <c r="P291" s="720"/>
      <c r="Q291" s="698"/>
      <c r="R291" s="770"/>
    </row>
    <row r="292" spans="1:18" ht="24" customHeight="1">
      <c r="A292" s="764">
        <v>4210</v>
      </c>
      <c r="B292" s="768" t="s">
        <v>601</v>
      </c>
      <c r="C292" s="720">
        <v>100000</v>
      </c>
      <c r="D292" s="698">
        <f t="shared" si="34"/>
        <v>100000</v>
      </c>
      <c r="E292" s="698">
        <f t="shared" si="37"/>
        <v>42242</v>
      </c>
      <c r="F292" s="699">
        <f t="shared" si="29"/>
        <v>42.242000000000004</v>
      </c>
      <c r="G292" s="720"/>
      <c r="H292" s="698"/>
      <c r="I292" s="766"/>
      <c r="J292" s="703"/>
      <c r="K292" s="698"/>
      <c r="L292" s="704"/>
      <c r="M292" s="810">
        <v>100000</v>
      </c>
      <c r="N292" s="698">
        <v>42242</v>
      </c>
      <c r="O292" s="702">
        <f t="shared" si="36"/>
        <v>42.242000000000004</v>
      </c>
      <c r="P292" s="720"/>
      <c r="Q292" s="698"/>
      <c r="R292" s="770"/>
    </row>
    <row r="293" spans="1:18" ht="12.75">
      <c r="A293" s="764">
        <v>4260</v>
      </c>
      <c r="B293" s="768" t="s">
        <v>215</v>
      </c>
      <c r="C293" s="720">
        <v>12500</v>
      </c>
      <c r="D293" s="698">
        <f t="shared" si="34"/>
        <v>12500</v>
      </c>
      <c r="E293" s="698">
        <f t="shared" si="37"/>
        <v>12453</v>
      </c>
      <c r="F293" s="699">
        <f t="shared" si="29"/>
        <v>99.624</v>
      </c>
      <c r="G293" s="720"/>
      <c r="H293" s="698"/>
      <c r="I293" s="766"/>
      <c r="J293" s="703"/>
      <c r="K293" s="698"/>
      <c r="L293" s="704"/>
      <c r="M293" s="810">
        <v>12500</v>
      </c>
      <c r="N293" s="698">
        <v>12453</v>
      </c>
      <c r="O293" s="702">
        <f t="shared" si="36"/>
        <v>99.624</v>
      </c>
      <c r="P293" s="720"/>
      <c r="Q293" s="698"/>
      <c r="R293" s="770"/>
    </row>
    <row r="294" spans="1:18" ht="16.5" customHeight="1">
      <c r="A294" s="764">
        <v>4300</v>
      </c>
      <c r="B294" s="768" t="s">
        <v>219</v>
      </c>
      <c r="C294" s="720">
        <v>220000</v>
      </c>
      <c r="D294" s="698">
        <f t="shared" si="34"/>
        <v>236000</v>
      </c>
      <c r="E294" s="698">
        <f>SUM(H294+K294+N294+Q294)</f>
        <v>222420</v>
      </c>
      <c r="F294" s="699">
        <f>E294/D294*100</f>
        <v>94.24576271186442</v>
      </c>
      <c r="G294" s="720"/>
      <c r="H294" s="698"/>
      <c r="I294" s="766"/>
      <c r="J294" s="703"/>
      <c r="K294" s="698"/>
      <c r="L294" s="704"/>
      <c r="M294" s="810">
        <f>220000+11000+5000</f>
        <v>236000</v>
      </c>
      <c r="N294" s="698">
        <f>225550-3130</f>
        <v>222420</v>
      </c>
      <c r="O294" s="702">
        <f t="shared" si="36"/>
        <v>94.24576271186442</v>
      </c>
      <c r="P294" s="720"/>
      <c r="Q294" s="698"/>
      <c r="R294" s="770"/>
    </row>
    <row r="295" spans="1:18" ht="24">
      <c r="A295" s="764">
        <v>4300</v>
      </c>
      <c r="B295" s="768" t="s">
        <v>602</v>
      </c>
      <c r="C295" s="720">
        <v>1130000</v>
      </c>
      <c r="D295" s="698">
        <f t="shared" si="34"/>
        <v>1129515</v>
      </c>
      <c r="E295" s="698">
        <f t="shared" si="37"/>
        <v>993049</v>
      </c>
      <c r="F295" s="699">
        <f t="shared" si="29"/>
        <v>87.91817727077552</v>
      </c>
      <c r="G295" s="720"/>
      <c r="H295" s="698"/>
      <c r="I295" s="766"/>
      <c r="J295" s="703"/>
      <c r="K295" s="698"/>
      <c r="L295" s="704"/>
      <c r="M295" s="810">
        <f>1130000-485</f>
        <v>1129515</v>
      </c>
      <c r="N295" s="698">
        <f>990468+2581</f>
        <v>993049</v>
      </c>
      <c r="O295" s="702">
        <f t="shared" si="36"/>
        <v>87.91817727077552</v>
      </c>
      <c r="P295" s="720"/>
      <c r="Q295" s="698"/>
      <c r="R295" s="770"/>
    </row>
    <row r="296" spans="1:18" ht="36.75" customHeight="1">
      <c r="A296" s="764">
        <v>4370</v>
      </c>
      <c r="B296" s="828" t="s">
        <v>546</v>
      </c>
      <c r="C296" s="720">
        <v>52000</v>
      </c>
      <c r="D296" s="698">
        <f t="shared" si="34"/>
        <v>41000</v>
      </c>
      <c r="E296" s="698">
        <f>SUM(H296+K296+N296+Q296)</f>
        <v>36880</v>
      </c>
      <c r="F296" s="699">
        <f>E296/D296*100</f>
        <v>89.95121951219512</v>
      </c>
      <c r="G296" s="720"/>
      <c r="H296" s="698"/>
      <c r="I296" s="766"/>
      <c r="J296" s="703"/>
      <c r="K296" s="698"/>
      <c r="L296" s="704"/>
      <c r="M296" s="879">
        <f>52000-11000</f>
        <v>41000</v>
      </c>
      <c r="N296" s="698">
        <v>36880</v>
      </c>
      <c r="O296" s="702">
        <f t="shared" si="36"/>
        <v>89.95121951219512</v>
      </c>
      <c r="P296" s="720"/>
      <c r="Q296" s="698"/>
      <c r="R296" s="770"/>
    </row>
    <row r="297" spans="1:18" ht="12.75">
      <c r="A297" s="764">
        <v>4580</v>
      </c>
      <c r="B297" s="828" t="s">
        <v>305</v>
      </c>
      <c r="C297" s="720"/>
      <c r="D297" s="698">
        <f t="shared" si="34"/>
        <v>30</v>
      </c>
      <c r="E297" s="698">
        <f>SUM(H297+K297+N297+Q297)</f>
        <v>30</v>
      </c>
      <c r="F297" s="699">
        <f>E297/D297*100</f>
        <v>100</v>
      </c>
      <c r="G297" s="720"/>
      <c r="H297" s="698"/>
      <c r="I297" s="766"/>
      <c r="J297" s="703"/>
      <c r="K297" s="698"/>
      <c r="L297" s="704"/>
      <c r="M297" s="879">
        <v>30</v>
      </c>
      <c r="N297" s="698">
        <v>30</v>
      </c>
      <c r="O297" s="744">
        <f t="shared" si="36"/>
        <v>100</v>
      </c>
      <c r="P297" s="720"/>
      <c r="Q297" s="698"/>
      <c r="R297" s="770"/>
    </row>
    <row r="298" spans="1:18" ht="36">
      <c r="A298" s="764">
        <v>4590</v>
      </c>
      <c r="B298" s="768" t="s">
        <v>306</v>
      </c>
      <c r="C298" s="720"/>
      <c r="D298" s="698">
        <f t="shared" si="34"/>
        <v>425</v>
      </c>
      <c r="E298" s="698">
        <f>SUM(H298+K298+N298+Q298)</f>
        <v>425</v>
      </c>
      <c r="F298" s="699">
        <f>E298/D298*100</f>
        <v>100</v>
      </c>
      <c r="G298" s="720"/>
      <c r="H298" s="698"/>
      <c r="I298" s="766"/>
      <c r="J298" s="703"/>
      <c r="K298" s="698"/>
      <c r="L298" s="704"/>
      <c r="M298" s="879">
        <v>425</v>
      </c>
      <c r="N298" s="698">
        <v>425</v>
      </c>
      <c r="O298" s="744">
        <f t="shared" si="36"/>
        <v>100</v>
      </c>
      <c r="P298" s="720"/>
      <c r="Q298" s="698"/>
      <c r="R298" s="770"/>
    </row>
    <row r="299" spans="1:18" ht="36">
      <c r="A299" s="764">
        <v>4610</v>
      </c>
      <c r="B299" s="768" t="s">
        <v>307</v>
      </c>
      <c r="C299" s="720"/>
      <c r="D299" s="698">
        <f t="shared" si="34"/>
        <v>30</v>
      </c>
      <c r="E299" s="698">
        <f>SUM(H299+K299+N299+Q299)</f>
        <v>30</v>
      </c>
      <c r="F299" s="699">
        <f>E299/D299*100</f>
        <v>100</v>
      </c>
      <c r="G299" s="720"/>
      <c r="H299" s="698"/>
      <c r="I299" s="766"/>
      <c r="J299" s="703"/>
      <c r="K299" s="698"/>
      <c r="L299" s="704"/>
      <c r="M299" s="879">
        <v>30</v>
      </c>
      <c r="N299" s="698">
        <v>30</v>
      </c>
      <c r="O299" s="744">
        <f t="shared" si="36"/>
        <v>100</v>
      </c>
      <c r="P299" s="720"/>
      <c r="Q299" s="698"/>
      <c r="R299" s="770"/>
    </row>
    <row r="300" spans="1:18" ht="36">
      <c r="A300" s="764">
        <v>4750</v>
      </c>
      <c r="B300" s="828" t="s">
        <v>551</v>
      </c>
      <c r="C300" s="720">
        <v>68000</v>
      </c>
      <c r="D300" s="698">
        <f t="shared" si="34"/>
        <v>68000</v>
      </c>
      <c r="E300" s="698">
        <f t="shared" si="37"/>
        <v>62008</v>
      </c>
      <c r="F300" s="699">
        <f t="shared" si="29"/>
        <v>91.18823529411765</v>
      </c>
      <c r="G300" s="720"/>
      <c r="H300" s="698"/>
      <c r="I300" s="766"/>
      <c r="J300" s="703"/>
      <c r="K300" s="698"/>
      <c r="L300" s="704"/>
      <c r="M300" s="698">
        <v>68000</v>
      </c>
      <c r="N300" s="698">
        <v>62008</v>
      </c>
      <c r="O300" s="702">
        <f t="shared" si="36"/>
        <v>91.18823529411765</v>
      </c>
      <c r="P300" s="720"/>
      <c r="Q300" s="698"/>
      <c r="R300" s="770"/>
    </row>
    <row r="301" spans="1:18" ht="75.75" customHeight="1">
      <c r="A301" s="789">
        <v>6300</v>
      </c>
      <c r="B301" s="790" t="s">
        <v>398</v>
      </c>
      <c r="C301" s="791"/>
      <c r="D301" s="698">
        <f t="shared" si="34"/>
        <v>176600</v>
      </c>
      <c r="E301" s="698">
        <f>SUM(H301+K301+N301+Q301)</f>
        <v>176600</v>
      </c>
      <c r="F301" s="699">
        <f>E301/D301*100</f>
        <v>100</v>
      </c>
      <c r="G301" s="791"/>
      <c r="H301" s="792"/>
      <c r="I301" s="806"/>
      <c r="J301" s="793"/>
      <c r="K301" s="792"/>
      <c r="L301" s="794"/>
      <c r="M301" s="792">
        <v>176600</v>
      </c>
      <c r="N301" s="792">
        <v>176600</v>
      </c>
      <c r="O301" s="744">
        <f t="shared" si="36"/>
        <v>100</v>
      </c>
      <c r="P301" s="791"/>
      <c r="Q301" s="792"/>
      <c r="R301" s="797"/>
    </row>
    <row r="302" spans="1:18" ht="12.75">
      <c r="A302" s="757">
        <v>75022</v>
      </c>
      <c r="B302" s="852" t="s">
        <v>603</v>
      </c>
      <c r="C302" s="725">
        <f>SUM(C304:C310)</f>
        <v>521000</v>
      </c>
      <c r="D302" s="712">
        <f t="shared" si="34"/>
        <v>776000</v>
      </c>
      <c r="E302" s="712">
        <f>H302+K302+Q302+N302</f>
        <v>686055</v>
      </c>
      <c r="F302" s="713">
        <f t="shared" si="29"/>
        <v>88.40914948453609</v>
      </c>
      <c r="G302" s="725">
        <f>SUM(G304:G310)</f>
        <v>776000</v>
      </c>
      <c r="H302" s="712">
        <f>SUM(H304:H310)</f>
        <v>686055</v>
      </c>
      <c r="I302" s="719">
        <f>H302/G302*100</f>
        <v>88.40914948453609</v>
      </c>
      <c r="J302" s="717"/>
      <c r="K302" s="712"/>
      <c r="L302" s="718"/>
      <c r="M302" s="712"/>
      <c r="N302" s="712"/>
      <c r="O302" s="719"/>
      <c r="P302" s="725"/>
      <c r="Q302" s="712"/>
      <c r="R302" s="846"/>
    </row>
    <row r="303" spans="1:20" s="818" customFormat="1" ht="10.5" customHeight="1">
      <c r="A303" s="855"/>
      <c r="B303" s="856" t="s">
        <v>604</v>
      </c>
      <c r="C303" s="857">
        <f>SUM(C304:C309)</f>
        <v>505000</v>
      </c>
      <c r="D303" s="858">
        <f t="shared" si="34"/>
        <v>760000</v>
      </c>
      <c r="E303" s="858">
        <f>H303+K303+Q303+N303</f>
        <v>684031</v>
      </c>
      <c r="F303" s="721">
        <f t="shared" si="29"/>
        <v>90.00407894736841</v>
      </c>
      <c r="G303" s="857">
        <f>SUM(G304:G309)</f>
        <v>760000</v>
      </c>
      <c r="H303" s="858">
        <f>SUM(H304:H309)</f>
        <v>684031</v>
      </c>
      <c r="I303" s="707">
        <f>H303/G303*100</f>
        <v>90.00407894736841</v>
      </c>
      <c r="J303" s="859"/>
      <c r="K303" s="858"/>
      <c r="L303" s="779"/>
      <c r="M303" s="858"/>
      <c r="N303" s="858"/>
      <c r="O303" s="704"/>
      <c r="P303" s="857"/>
      <c r="Q303" s="858"/>
      <c r="R303" s="831"/>
      <c r="S303" s="817"/>
      <c r="T303" s="817"/>
    </row>
    <row r="304" spans="1:18" ht="21.75" customHeight="1">
      <c r="A304" s="764">
        <v>3030</v>
      </c>
      <c r="B304" s="768" t="s">
        <v>199</v>
      </c>
      <c r="C304" s="720">
        <v>474000</v>
      </c>
      <c r="D304" s="698">
        <f t="shared" si="34"/>
        <v>740000</v>
      </c>
      <c r="E304" s="698">
        <f aca="true" t="shared" si="38" ref="E304:E309">SUM(H304+K304+N304+Q304)</f>
        <v>673490</v>
      </c>
      <c r="F304" s="699">
        <f t="shared" si="29"/>
        <v>91.01216216216216</v>
      </c>
      <c r="G304" s="720">
        <f>474000+255000+11000</f>
        <v>740000</v>
      </c>
      <c r="H304" s="698">
        <v>673490</v>
      </c>
      <c r="I304" s="702">
        <f aca="true" t="shared" si="39" ref="I304:I367">H304/G304*100</f>
        <v>91.01216216216216</v>
      </c>
      <c r="J304" s="703"/>
      <c r="K304" s="698"/>
      <c r="L304" s="704"/>
      <c r="M304" s="698"/>
      <c r="N304" s="698"/>
      <c r="O304" s="766"/>
      <c r="P304" s="720"/>
      <c r="Q304" s="698"/>
      <c r="R304" s="770"/>
    </row>
    <row r="305" spans="1:18" ht="48" hidden="1">
      <c r="A305" s="764">
        <v>3040</v>
      </c>
      <c r="B305" s="768" t="s">
        <v>605</v>
      </c>
      <c r="C305" s="720"/>
      <c r="D305" s="698">
        <f t="shared" si="34"/>
        <v>0</v>
      </c>
      <c r="E305" s="698">
        <f t="shared" si="38"/>
        <v>0</v>
      </c>
      <c r="F305" s="699" t="e">
        <f t="shared" si="29"/>
        <v>#DIV/0!</v>
      </c>
      <c r="G305" s="720"/>
      <c r="H305" s="698"/>
      <c r="I305" s="702" t="e">
        <f t="shared" si="39"/>
        <v>#DIV/0!</v>
      </c>
      <c r="J305" s="703"/>
      <c r="K305" s="698"/>
      <c r="L305" s="704"/>
      <c r="M305" s="698"/>
      <c r="N305" s="698"/>
      <c r="O305" s="766"/>
      <c r="P305" s="720"/>
      <c r="Q305" s="698"/>
      <c r="R305" s="770"/>
    </row>
    <row r="306" spans="1:18" ht="24.75" customHeight="1">
      <c r="A306" s="764">
        <v>4210</v>
      </c>
      <c r="B306" s="768" t="s">
        <v>211</v>
      </c>
      <c r="C306" s="720">
        <v>10000</v>
      </c>
      <c r="D306" s="698">
        <f t="shared" si="34"/>
        <v>10000</v>
      </c>
      <c r="E306" s="698">
        <f t="shared" si="38"/>
        <v>6157</v>
      </c>
      <c r="F306" s="699">
        <f t="shared" si="29"/>
        <v>61.57</v>
      </c>
      <c r="G306" s="720">
        <v>10000</v>
      </c>
      <c r="H306" s="698">
        <f>6187+1-30-1</f>
        <v>6157</v>
      </c>
      <c r="I306" s="702">
        <f t="shared" si="39"/>
        <v>61.57</v>
      </c>
      <c r="J306" s="703"/>
      <c r="K306" s="698"/>
      <c r="L306" s="704"/>
      <c r="M306" s="698"/>
      <c r="N306" s="698"/>
      <c r="O306" s="766"/>
      <c r="P306" s="720"/>
      <c r="Q306" s="698"/>
      <c r="R306" s="770"/>
    </row>
    <row r="307" spans="1:18" ht="15.75" customHeight="1">
      <c r="A307" s="764">
        <v>4300</v>
      </c>
      <c r="B307" s="768" t="s">
        <v>219</v>
      </c>
      <c r="C307" s="720">
        <v>10000</v>
      </c>
      <c r="D307" s="698">
        <f t="shared" si="34"/>
        <v>10000</v>
      </c>
      <c r="E307" s="698">
        <f t="shared" si="38"/>
        <v>4384</v>
      </c>
      <c r="F307" s="699">
        <f t="shared" si="29"/>
        <v>43.84</v>
      </c>
      <c r="G307" s="720">
        <v>10000</v>
      </c>
      <c r="H307" s="698">
        <v>4384</v>
      </c>
      <c r="I307" s="702">
        <f t="shared" si="39"/>
        <v>43.84</v>
      </c>
      <c r="J307" s="703"/>
      <c r="K307" s="698"/>
      <c r="L307" s="704"/>
      <c r="M307" s="698"/>
      <c r="N307" s="698"/>
      <c r="O307" s="766"/>
      <c r="P307" s="720"/>
      <c r="Q307" s="698"/>
      <c r="R307" s="770"/>
    </row>
    <row r="308" spans="1:18" ht="16.5" customHeight="1">
      <c r="A308" s="764">
        <v>4410</v>
      </c>
      <c r="B308" s="768" t="s">
        <v>193</v>
      </c>
      <c r="C308" s="720">
        <v>7000</v>
      </c>
      <c r="D308" s="698">
        <f t="shared" si="34"/>
        <v>0</v>
      </c>
      <c r="E308" s="698">
        <f t="shared" si="38"/>
        <v>0</v>
      </c>
      <c r="F308" s="699"/>
      <c r="G308" s="720">
        <f>7000-7000</f>
        <v>0</v>
      </c>
      <c r="H308" s="698"/>
      <c r="I308" s="702"/>
      <c r="J308" s="703"/>
      <c r="K308" s="698"/>
      <c r="L308" s="704"/>
      <c r="M308" s="698"/>
      <c r="N308" s="698"/>
      <c r="O308" s="766"/>
      <c r="P308" s="720"/>
      <c r="Q308" s="698"/>
      <c r="R308" s="770"/>
    </row>
    <row r="309" spans="1:18" ht="24" customHeight="1">
      <c r="A309" s="764">
        <v>4420</v>
      </c>
      <c r="B309" s="768" t="s">
        <v>560</v>
      </c>
      <c r="C309" s="720">
        <v>4000</v>
      </c>
      <c r="D309" s="698">
        <f t="shared" si="34"/>
        <v>0</v>
      </c>
      <c r="E309" s="698">
        <f t="shared" si="38"/>
        <v>0</v>
      </c>
      <c r="F309" s="699"/>
      <c r="G309" s="720">
        <f>4000-4000</f>
        <v>0</v>
      </c>
      <c r="H309" s="698"/>
      <c r="I309" s="702"/>
      <c r="J309" s="703"/>
      <c r="K309" s="698"/>
      <c r="L309" s="704"/>
      <c r="M309" s="698"/>
      <c r="N309" s="698"/>
      <c r="O309" s="766"/>
      <c r="P309" s="720"/>
      <c r="Q309" s="698"/>
      <c r="R309" s="770"/>
    </row>
    <row r="310" spans="1:20" s="818" customFormat="1" ht="24.75" customHeight="1">
      <c r="A310" s="855"/>
      <c r="B310" s="856" t="s">
        <v>606</v>
      </c>
      <c r="C310" s="857">
        <f>SUM(C312:C315)</f>
        <v>16000</v>
      </c>
      <c r="D310" s="858">
        <f t="shared" si="34"/>
        <v>16000</v>
      </c>
      <c r="E310" s="858">
        <f>H310+K310+Q310+N310</f>
        <v>2024</v>
      </c>
      <c r="F310" s="699">
        <f t="shared" si="29"/>
        <v>12.65</v>
      </c>
      <c r="G310" s="857">
        <f>SUM(G311:G315)</f>
        <v>16000</v>
      </c>
      <c r="H310" s="858">
        <f>SUM(H311:H315)</f>
        <v>2024</v>
      </c>
      <c r="I310" s="702">
        <f t="shared" si="39"/>
        <v>12.65</v>
      </c>
      <c r="J310" s="859"/>
      <c r="K310" s="859"/>
      <c r="L310" s="779"/>
      <c r="M310" s="858"/>
      <c r="N310" s="858"/>
      <c r="O310" s="704"/>
      <c r="P310" s="857"/>
      <c r="Q310" s="858"/>
      <c r="R310" s="831"/>
      <c r="S310" s="817"/>
      <c r="T310" s="817"/>
    </row>
    <row r="311" spans="1:18" ht="48" hidden="1">
      <c r="A311" s="764">
        <v>3040</v>
      </c>
      <c r="B311" s="768" t="s">
        <v>605</v>
      </c>
      <c r="C311" s="720"/>
      <c r="D311" s="698">
        <f t="shared" si="34"/>
        <v>0</v>
      </c>
      <c r="E311" s="698">
        <f>SUM(H311+K311+N311+Q311)</f>
        <v>0</v>
      </c>
      <c r="F311" s="699" t="e">
        <f t="shared" si="29"/>
        <v>#DIV/0!</v>
      </c>
      <c r="G311" s="720"/>
      <c r="H311" s="698"/>
      <c r="I311" s="702" t="e">
        <f t="shared" si="39"/>
        <v>#DIV/0!</v>
      </c>
      <c r="J311" s="703"/>
      <c r="K311" s="703"/>
      <c r="L311" s="704"/>
      <c r="M311" s="698"/>
      <c r="N311" s="698"/>
      <c r="O311" s="766"/>
      <c r="P311" s="720"/>
      <c r="Q311" s="698"/>
      <c r="R311" s="770"/>
    </row>
    <row r="312" spans="1:18" ht="23.25" customHeight="1">
      <c r="A312" s="764">
        <v>4210</v>
      </c>
      <c r="B312" s="768" t="s">
        <v>211</v>
      </c>
      <c r="C312" s="720">
        <v>10000</v>
      </c>
      <c r="D312" s="698">
        <f t="shared" si="34"/>
        <v>10000</v>
      </c>
      <c r="E312" s="698">
        <f>SUM(H312+K312+N312+Q312)</f>
        <v>353</v>
      </c>
      <c r="F312" s="699">
        <f t="shared" si="29"/>
        <v>3.53</v>
      </c>
      <c r="G312" s="720">
        <v>10000</v>
      </c>
      <c r="H312" s="698">
        <v>353</v>
      </c>
      <c r="I312" s="702">
        <f t="shared" si="39"/>
        <v>3.53</v>
      </c>
      <c r="J312" s="703"/>
      <c r="K312" s="698"/>
      <c r="L312" s="704"/>
      <c r="M312" s="698"/>
      <c r="N312" s="698"/>
      <c r="O312" s="766"/>
      <c r="P312" s="720"/>
      <c r="Q312" s="698"/>
      <c r="R312" s="770"/>
    </row>
    <row r="313" spans="1:18" ht="12.75" customHeight="1">
      <c r="A313" s="764">
        <v>4300</v>
      </c>
      <c r="B313" s="768" t="s">
        <v>219</v>
      </c>
      <c r="C313" s="720">
        <v>4900</v>
      </c>
      <c r="D313" s="698">
        <f t="shared" si="34"/>
        <v>4778</v>
      </c>
      <c r="E313" s="698">
        <f>SUM(H313+K313+N313+Q313)</f>
        <v>449</v>
      </c>
      <c r="F313" s="699">
        <f t="shared" si="29"/>
        <v>9.397237337798241</v>
      </c>
      <c r="G313" s="720">
        <f>4900-122</f>
        <v>4778</v>
      </c>
      <c r="H313" s="698">
        <f>448+1</f>
        <v>449</v>
      </c>
      <c r="I313" s="702">
        <f t="shared" si="39"/>
        <v>9.397237337798241</v>
      </c>
      <c r="J313" s="703"/>
      <c r="K313" s="698"/>
      <c r="L313" s="704"/>
      <c r="M313" s="698"/>
      <c r="N313" s="698"/>
      <c r="O313" s="766"/>
      <c r="P313" s="720"/>
      <c r="Q313" s="698"/>
      <c r="R313" s="770"/>
    </row>
    <row r="314" spans="1:18" ht="60" hidden="1">
      <c r="A314" s="764">
        <v>4740</v>
      </c>
      <c r="B314" s="828" t="s">
        <v>235</v>
      </c>
      <c r="C314" s="720"/>
      <c r="D314" s="698">
        <f t="shared" si="34"/>
        <v>0</v>
      </c>
      <c r="E314" s="698">
        <f>SUM(H314+K314+N314+Q314)</f>
        <v>0</v>
      </c>
      <c r="F314" s="699" t="e">
        <f t="shared" si="29"/>
        <v>#DIV/0!</v>
      </c>
      <c r="G314" s="720"/>
      <c r="H314" s="698"/>
      <c r="I314" s="702" t="e">
        <f t="shared" si="39"/>
        <v>#DIV/0!</v>
      </c>
      <c r="J314" s="703"/>
      <c r="K314" s="698"/>
      <c r="L314" s="704"/>
      <c r="M314" s="698"/>
      <c r="N314" s="698"/>
      <c r="O314" s="766"/>
      <c r="P314" s="720"/>
      <c r="Q314" s="698"/>
      <c r="R314" s="770"/>
    </row>
    <row r="315" spans="1:18" ht="15" customHeight="1">
      <c r="A315" s="789">
        <v>4430</v>
      </c>
      <c r="B315" s="804" t="s">
        <v>221</v>
      </c>
      <c r="C315" s="791">
        <v>1100</v>
      </c>
      <c r="D315" s="792">
        <f t="shared" si="34"/>
        <v>1222</v>
      </c>
      <c r="E315" s="792">
        <f>SUM(H315+K315+N315+Q315)</f>
        <v>1222</v>
      </c>
      <c r="F315" s="760">
        <f t="shared" si="29"/>
        <v>100</v>
      </c>
      <c r="G315" s="791">
        <f>1100+122</f>
        <v>1222</v>
      </c>
      <c r="H315" s="885">
        <v>1222</v>
      </c>
      <c r="I315" s="761">
        <f t="shared" si="39"/>
        <v>100</v>
      </c>
      <c r="J315" s="886"/>
      <c r="K315" s="792"/>
      <c r="L315" s="794"/>
      <c r="M315" s="885"/>
      <c r="N315" s="885"/>
      <c r="O315" s="887"/>
      <c r="P315" s="888"/>
      <c r="Q315" s="885"/>
      <c r="R315" s="889"/>
    </row>
    <row r="316" spans="1:18" ht="12.75">
      <c r="A316" s="757">
        <v>75023</v>
      </c>
      <c r="B316" s="890" t="s">
        <v>607</v>
      </c>
      <c r="C316" s="725">
        <f>SUM(C323:C380)-SUM(C349:C355)+C317-SUM(C337:C341)-SUM(C345:C346)</f>
        <v>24228605</v>
      </c>
      <c r="D316" s="712">
        <f t="shared" si="34"/>
        <v>24794705</v>
      </c>
      <c r="E316" s="712">
        <f>H316+K316+Q316+N316</f>
        <v>22746279</v>
      </c>
      <c r="F316" s="713">
        <f t="shared" si="29"/>
        <v>91.73845383520393</v>
      </c>
      <c r="G316" s="725">
        <f>G317+SUM(G323:G336)+SUM(G342:G344)+SUM(G347:G348)+SUM(G358:G380)</f>
        <v>24794705</v>
      </c>
      <c r="H316" s="712">
        <f>H317+SUM(H323:H336)+SUM(H342:H344)+SUM(H347:H348)+SUM(H358:H380)</f>
        <v>22746279</v>
      </c>
      <c r="I316" s="719">
        <f t="shared" si="39"/>
        <v>91.73845383520393</v>
      </c>
      <c r="J316" s="717"/>
      <c r="K316" s="712"/>
      <c r="L316" s="718"/>
      <c r="M316" s="712"/>
      <c r="N316" s="712"/>
      <c r="O316" s="762"/>
      <c r="P316" s="725"/>
      <c r="Q316" s="712"/>
      <c r="R316" s="846"/>
    </row>
    <row r="317" spans="1:18" ht="35.25" customHeight="1">
      <c r="A317" s="764">
        <v>3020</v>
      </c>
      <c r="B317" s="768" t="s">
        <v>279</v>
      </c>
      <c r="C317" s="723">
        <f>SUM(C318:C322)</f>
        <v>184000</v>
      </c>
      <c r="D317" s="698">
        <f t="shared" si="34"/>
        <v>186000</v>
      </c>
      <c r="E317" s="698">
        <f aca="true" t="shared" si="40" ref="E317:E347">SUM(H317+K317+N317+Q317)</f>
        <v>161064</v>
      </c>
      <c r="F317" s="699">
        <f t="shared" si="29"/>
        <v>86.59354838709677</v>
      </c>
      <c r="G317" s="723">
        <f>SUM(G318:G322)</f>
        <v>186000</v>
      </c>
      <c r="H317" s="732">
        <f>SUM(H318:H322)</f>
        <v>161064</v>
      </c>
      <c r="I317" s="702">
        <f t="shared" si="39"/>
        <v>86.59354838709677</v>
      </c>
      <c r="J317" s="735"/>
      <c r="K317" s="732"/>
      <c r="L317" s="736"/>
      <c r="M317" s="732"/>
      <c r="N317" s="732"/>
      <c r="O317" s="803"/>
      <c r="P317" s="723"/>
      <c r="Q317" s="732"/>
      <c r="R317" s="788"/>
    </row>
    <row r="318" spans="1:20" s="818" customFormat="1" ht="15.75" customHeight="1">
      <c r="A318" s="811"/>
      <c r="B318" s="812" t="s">
        <v>608</v>
      </c>
      <c r="C318" s="813">
        <v>19000</v>
      </c>
      <c r="D318" s="814">
        <f t="shared" si="34"/>
        <v>21300</v>
      </c>
      <c r="E318" s="814">
        <f t="shared" si="40"/>
        <v>14393</v>
      </c>
      <c r="F318" s="699">
        <f t="shared" si="29"/>
        <v>67.57276995305165</v>
      </c>
      <c r="G318" s="813">
        <f>19000+3000-1500+1500-700</f>
        <v>21300</v>
      </c>
      <c r="H318" s="814">
        <v>14393</v>
      </c>
      <c r="I318" s="702">
        <f t="shared" si="39"/>
        <v>67.57276995305165</v>
      </c>
      <c r="J318" s="815"/>
      <c r="K318" s="814"/>
      <c r="L318" s="704"/>
      <c r="M318" s="814"/>
      <c r="N318" s="814"/>
      <c r="O318" s="704"/>
      <c r="P318" s="813"/>
      <c r="Q318" s="814"/>
      <c r="R318" s="831"/>
      <c r="S318" s="817"/>
      <c r="T318" s="817"/>
    </row>
    <row r="319" spans="1:20" s="818" customFormat="1" ht="12.75">
      <c r="A319" s="811"/>
      <c r="B319" s="812" t="s">
        <v>609</v>
      </c>
      <c r="C319" s="813">
        <v>75000</v>
      </c>
      <c r="D319" s="814">
        <f t="shared" si="34"/>
        <v>74000</v>
      </c>
      <c r="E319" s="814">
        <f t="shared" si="40"/>
        <v>66466</v>
      </c>
      <c r="F319" s="699">
        <f>E319/D319*100</f>
        <v>89.81891891891892</v>
      </c>
      <c r="G319" s="813">
        <f>75000-1000</f>
        <v>74000</v>
      </c>
      <c r="H319" s="814">
        <v>66466</v>
      </c>
      <c r="I319" s="702">
        <f t="shared" si="39"/>
        <v>89.81891891891892</v>
      </c>
      <c r="J319" s="815"/>
      <c r="K319" s="814"/>
      <c r="L319" s="704"/>
      <c r="M319" s="814"/>
      <c r="N319" s="814"/>
      <c r="O319" s="704"/>
      <c r="P319" s="813"/>
      <c r="Q319" s="814"/>
      <c r="R319" s="831"/>
      <c r="S319" s="817"/>
      <c r="T319" s="817"/>
    </row>
    <row r="320" spans="1:20" s="818" customFormat="1" ht="12.75">
      <c r="A320" s="811"/>
      <c r="B320" s="812" t="s">
        <v>610</v>
      </c>
      <c r="C320" s="813">
        <v>60000</v>
      </c>
      <c r="D320" s="814">
        <f t="shared" si="34"/>
        <v>60700</v>
      </c>
      <c r="E320" s="814">
        <f t="shared" si="40"/>
        <v>60663</v>
      </c>
      <c r="F320" s="699">
        <f>E320/D320*100</f>
        <v>99.93904448105437</v>
      </c>
      <c r="G320" s="813">
        <f>60000+700</f>
        <v>60700</v>
      </c>
      <c r="H320" s="814">
        <v>60663</v>
      </c>
      <c r="I320" s="702">
        <f t="shared" si="39"/>
        <v>99.93904448105437</v>
      </c>
      <c r="J320" s="815"/>
      <c r="K320" s="814"/>
      <c r="L320" s="704"/>
      <c r="M320" s="814"/>
      <c r="N320" s="814"/>
      <c r="O320" s="704"/>
      <c r="P320" s="813"/>
      <c r="Q320" s="814"/>
      <c r="R320" s="831"/>
      <c r="S320" s="817"/>
      <c r="T320" s="817"/>
    </row>
    <row r="321" spans="1:20" s="818" customFormat="1" ht="12.75" hidden="1">
      <c r="A321" s="811"/>
      <c r="B321" s="812" t="s">
        <v>611</v>
      </c>
      <c r="C321" s="813"/>
      <c r="D321" s="814">
        <f t="shared" si="34"/>
        <v>0</v>
      </c>
      <c r="E321" s="814">
        <f>SUM(H321+K321+N321+Q321)</f>
        <v>0</v>
      </c>
      <c r="F321" s="699" t="e">
        <f>E321/D321*100</f>
        <v>#DIV/0!</v>
      </c>
      <c r="G321" s="813"/>
      <c r="H321" s="814"/>
      <c r="I321" s="702" t="e">
        <f t="shared" si="39"/>
        <v>#DIV/0!</v>
      </c>
      <c r="J321" s="815"/>
      <c r="K321" s="814"/>
      <c r="L321" s="704"/>
      <c r="M321" s="814"/>
      <c r="N321" s="814"/>
      <c r="O321" s="704"/>
      <c r="P321" s="813"/>
      <c r="Q321" s="814"/>
      <c r="R321" s="831"/>
      <c r="S321" s="817"/>
      <c r="T321" s="817"/>
    </row>
    <row r="322" spans="1:20" s="818" customFormat="1" ht="12.75">
      <c r="A322" s="811"/>
      <c r="B322" s="812" t="s">
        <v>612</v>
      </c>
      <c r="C322" s="813">
        <v>30000</v>
      </c>
      <c r="D322" s="814">
        <f t="shared" si="34"/>
        <v>30000</v>
      </c>
      <c r="E322" s="814">
        <f t="shared" si="40"/>
        <v>19542</v>
      </c>
      <c r="F322" s="699">
        <f>E322/D322*100</f>
        <v>65.14</v>
      </c>
      <c r="G322" s="813">
        <v>30000</v>
      </c>
      <c r="H322" s="814">
        <v>19542</v>
      </c>
      <c r="I322" s="702">
        <f t="shared" si="39"/>
        <v>65.14</v>
      </c>
      <c r="J322" s="815"/>
      <c r="K322" s="814"/>
      <c r="L322" s="704"/>
      <c r="M322" s="814"/>
      <c r="N322" s="814"/>
      <c r="O322" s="704"/>
      <c r="P322" s="813"/>
      <c r="Q322" s="814"/>
      <c r="R322" s="831"/>
      <c r="S322" s="817"/>
      <c r="T322" s="817"/>
    </row>
    <row r="323" spans="1:18" ht="28.5" customHeight="1">
      <c r="A323" s="764">
        <v>3030</v>
      </c>
      <c r="B323" s="768" t="s">
        <v>613</v>
      </c>
      <c r="C323" s="720">
        <v>2000</v>
      </c>
      <c r="D323" s="698">
        <f t="shared" si="34"/>
        <v>2000</v>
      </c>
      <c r="E323" s="698">
        <f t="shared" si="40"/>
        <v>0</v>
      </c>
      <c r="F323" s="699"/>
      <c r="G323" s="720">
        <v>2000</v>
      </c>
      <c r="H323" s="698"/>
      <c r="I323" s="702">
        <f t="shared" si="39"/>
        <v>0</v>
      </c>
      <c r="J323" s="703"/>
      <c r="K323" s="698"/>
      <c r="L323" s="704"/>
      <c r="M323" s="698"/>
      <c r="N323" s="698"/>
      <c r="O323" s="766"/>
      <c r="P323" s="720"/>
      <c r="Q323" s="698"/>
      <c r="R323" s="770"/>
    </row>
    <row r="324" spans="1:18" ht="36.75" customHeight="1">
      <c r="A324" s="764">
        <v>3040</v>
      </c>
      <c r="B324" s="768" t="s">
        <v>614</v>
      </c>
      <c r="C324" s="720">
        <v>7000</v>
      </c>
      <c r="D324" s="698">
        <f>G324+J324+P324+M324</f>
        <v>7000</v>
      </c>
      <c r="E324" s="698">
        <f>SUM(H324+K324+N324+Q324)</f>
        <v>6100</v>
      </c>
      <c r="F324" s="699">
        <f>E324/D324*100</f>
        <v>87.14285714285714</v>
      </c>
      <c r="G324" s="720">
        <v>7000</v>
      </c>
      <c r="H324" s="698">
        <v>6100</v>
      </c>
      <c r="I324" s="702">
        <f t="shared" si="39"/>
        <v>87.14285714285714</v>
      </c>
      <c r="J324" s="703"/>
      <c r="K324" s="698"/>
      <c r="L324" s="704"/>
      <c r="M324" s="698"/>
      <c r="N324" s="698"/>
      <c r="O324" s="766"/>
      <c r="P324" s="720"/>
      <c r="Q324" s="698"/>
      <c r="R324" s="770"/>
    </row>
    <row r="325" spans="1:18" ht="27" customHeight="1">
      <c r="A325" s="764">
        <v>4010</v>
      </c>
      <c r="B325" s="768" t="s">
        <v>201</v>
      </c>
      <c r="C325" s="720">
        <v>13555500</v>
      </c>
      <c r="D325" s="698">
        <f t="shared" si="34"/>
        <v>13563055</v>
      </c>
      <c r="E325" s="698">
        <f t="shared" si="40"/>
        <v>13539315</v>
      </c>
      <c r="F325" s="699">
        <f>E325/D325*100</f>
        <v>99.82496568804005</v>
      </c>
      <c r="G325" s="720">
        <f>13555500+7555</f>
        <v>13563055</v>
      </c>
      <c r="H325" s="698">
        <v>13539315</v>
      </c>
      <c r="I325" s="702">
        <f t="shared" si="39"/>
        <v>99.82496568804005</v>
      </c>
      <c r="J325" s="703"/>
      <c r="K325" s="698"/>
      <c r="L325" s="704"/>
      <c r="M325" s="698"/>
      <c r="N325" s="698"/>
      <c r="O325" s="766"/>
      <c r="P325" s="720"/>
      <c r="Q325" s="698"/>
      <c r="R325" s="770"/>
    </row>
    <row r="326" spans="1:18" ht="24">
      <c r="A326" s="849">
        <v>4040</v>
      </c>
      <c r="B326" s="768" t="s">
        <v>280</v>
      </c>
      <c r="C326" s="720">
        <v>1035500</v>
      </c>
      <c r="D326" s="698">
        <f t="shared" si="34"/>
        <v>956945</v>
      </c>
      <c r="E326" s="698">
        <f t="shared" si="40"/>
        <v>954141</v>
      </c>
      <c r="F326" s="699">
        <f>E326/D326*100</f>
        <v>99.70698420494386</v>
      </c>
      <c r="G326" s="720">
        <f>1035500-71000-7555</f>
        <v>956945</v>
      </c>
      <c r="H326" s="698">
        <v>954141</v>
      </c>
      <c r="I326" s="702">
        <f t="shared" si="39"/>
        <v>99.70698420494386</v>
      </c>
      <c r="J326" s="703"/>
      <c r="K326" s="698"/>
      <c r="L326" s="704"/>
      <c r="M326" s="698"/>
      <c r="N326" s="698"/>
      <c r="O326" s="766"/>
      <c r="P326" s="720"/>
      <c r="Q326" s="698"/>
      <c r="R326" s="770"/>
    </row>
    <row r="327" spans="1:18" ht="24" hidden="1">
      <c r="A327" s="849">
        <v>4100</v>
      </c>
      <c r="B327" s="768" t="s">
        <v>615</v>
      </c>
      <c r="C327" s="720"/>
      <c r="D327" s="698">
        <f t="shared" si="34"/>
        <v>0</v>
      </c>
      <c r="E327" s="698">
        <f t="shared" si="40"/>
        <v>0</v>
      </c>
      <c r="F327" s="699" t="e">
        <f>E327/D327*100</f>
        <v>#DIV/0!</v>
      </c>
      <c r="G327" s="720"/>
      <c r="H327" s="698"/>
      <c r="I327" s="702" t="e">
        <f t="shared" si="39"/>
        <v>#DIV/0!</v>
      </c>
      <c r="J327" s="703"/>
      <c r="K327" s="698"/>
      <c r="L327" s="704"/>
      <c r="M327" s="698"/>
      <c r="N327" s="698"/>
      <c r="O327" s="766"/>
      <c r="P327" s="720"/>
      <c r="Q327" s="698"/>
      <c r="R327" s="770"/>
    </row>
    <row r="328" spans="1:18" ht="36" hidden="1">
      <c r="A328" s="849">
        <v>4100</v>
      </c>
      <c r="B328" s="768" t="s">
        <v>399</v>
      </c>
      <c r="C328" s="720"/>
      <c r="D328" s="698">
        <f t="shared" si="34"/>
        <v>0</v>
      </c>
      <c r="E328" s="698">
        <f t="shared" si="40"/>
        <v>0</v>
      </c>
      <c r="F328" s="699"/>
      <c r="G328" s="720"/>
      <c r="H328" s="698"/>
      <c r="I328" s="702"/>
      <c r="J328" s="703"/>
      <c r="K328" s="698"/>
      <c r="L328" s="704"/>
      <c r="M328" s="698"/>
      <c r="N328" s="698"/>
      <c r="O328" s="766"/>
      <c r="P328" s="720"/>
      <c r="Q328" s="698"/>
      <c r="R328" s="770"/>
    </row>
    <row r="329" spans="1:18" ht="26.25" customHeight="1">
      <c r="A329" s="764">
        <v>4110</v>
      </c>
      <c r="B329" s="768" t="s">
        <v>616</v>
      </c>
      <c r="C329" s="720">
        <v>2179465</v>
      </c>
      <c r="D329" s="698">
        <f t="shared" si="34"/>
        <v>2134665</v>
      </c>
      <c r="E329" s="698">
        <f t="shared" si="40"/>
        <v>2073325</v>
      </c>
      <c r="F329" s="699">
        <f aca="true" t="shared" si="41" ref="F329:F348">E329/D329*100</f>
        <v>97.12648120431075</v>
      </c>
      <c r="G329" s="720">
        <f>2179465-23000-3600-10000-5000-3200</f>
        <v>2134665</v>
      </c>
      <c r="H329" s="698">
        <v>2073325</v>
      </c>
      <c r="I329" s="702">
        <f t="shared" si="39"/>
        <v>97.12648120431075</v>
      </c>
      <c r="J329" s="703"/>
      <c r="K329" s="698"/>
      <c r="L329" s="704"/>
      <c r="M329" s="698"/>
      <c r="N329" s="698"/>
      <c r="O329" s="766"/>
      <c r="P329" s="720"/>
      <c r="Q329" s="698"/>
      <c r="R329" s="770"/>
    </row>
    <row r="330" spans="1:18" ht="36" hidden="1">
      <c r="A330" s="764">
        <v>4110</v>
      </c>
      <c r="B330" s="768" t="s">
        <v>400</v>
      </c>
      <c r="C330" s="720"/>
      <c r="D330" s="698">
        <f t="shared" si="34"/>
        <v>0</v>
      </c>
      <c r="E330" s="698">
        <f t="shared" si="40"/>
        <v>0</v>
      </c>
      <c r="F330" s="699" t="e">
        <f t="shared" si="41"/>
        <v>#DIV/0!</v>
      </c>
      <c r="G330" s="720"/>
      <c r="H330" s="698"/>
      <c r="I330" s="702" t="e">
        <f t="shared" si="39"/>
        <v>#DIV/0!</v>
      </c>
      <c r="J330" s="703"/>
      <c r="K330" s="698"/>
      <c r="L330" s="704"/>
      <c r="M330" s="698"/>
      <c r="N330" s="698"/>
      <c r="O330" s="766"/>
      <c r="P330" s="720"/>
      <c r="Q330" s="698"/>
      <c r="R330" s="770"/>
    </row>
    <row r="331" spans="1:18" ht="12.75">
      <c r="A331" s="764">
        <v>4120</v>
      </c>
      <c r="B331" s="768" t="s">
        <v>401</v>
      </c>
      <c r="C331" s="720">
        <v>351400</v>
      </c>
      <c r="D331" s="698">
        <f t="shared" si="34"/>
        <v>351400</v>
      </c>
      <c r="E331" s="698">
        <f t="shared" si="40"/>
        <v>319578</v>
      </c>
      <c r="F331" s="699">
        <f t="shared" si="41"/>
        <v>90.94422310756973</v>
      </c>
      <c r="G331" s="720">
        <v>351400</v>
      </c>
      <c r="H331" s="698">
        <v>319578</v>
      </c>
      <c r="I331" s="702">
        <f t="shared" si="39"/>
        <v>90.94422310756973</v>
      </c>
      <c r="J331" s="703"/>
      <c r="K331" s="698"/>
      <c r="L331" s="704"/>
      <c r="M331" s="698"/>
      <c r="N331" s="698"/>
      <c r="O331" s="766"/>
      <c r="P331" s="720"/>
      <c r="Q331" s="698"/>
      <c r="R331" s="770"/>
    </row>
    <row r="332" spans="1:18" ht="12.75" hidden="1">
      <c r="A332" s="764">
        <v>4120</v>
      </c>
      <c r="B332" s="768" t="s">
        <v>402</v>
      </c>
      <c r="C332" s="720"/>
      <c r="D332" s="698">
        <f t="shared" si="34"/>
        <v>0</v>
      </c>
      <c r="E332" s="698">
        <f t="shared" si="40"/>
        <v>0</v>
      </c>
      <c r="F332" s="699" t="e">
        <f t="shared" si="41"/>
        <v>#DIV/0!</v>
      </c>
      <c r="G332" s="720"/>
      <c r="H332" s="698"/>
      <c r="I332" s="702" t="e">
        <f t="shared" si="39"/>
        <v>#DIV/0!</v>
      </c>
      <c r="J332" s="703"/>
      <c r="K332" s="698"/>
      <c r="L332" s="704"/>
      <c r="M332" s="698"/>
      <c r="N332" s="698"/>
      <c r="O332" s="766"/>
      <c r="P332" s="720"/>
      <c r="Q332" s="698"/>
      <c r="R332" s="770"/>
    </row>
    <row r="333" spans="1:18" ht="12.75">
      <c r="A333" s="764">
        <v>4140</v>
      </c>
      <c r="B333" s="768" t="s">
        <v>283</v>
      </c>
      <c r="C333" s="720">
        <v>150000</v>
      </c>
      <c r="D333" s="698">
        <f t="shared" si="34"/>
        <v>150000</v>
      </c>
      <c r="E333" s="698">
        <f t="shared" si="40"/>
        <v>77182</v>
      </c>
      <c r="F333" s="699">
        <f t="shared" si="41"/>
        <v>51.45466666666667</v>
      </c>
      <c r="G333" s="720">
        <v>150000</v>
      </c>
      <c r="H333" s="698">
        <v>77182</v>
      </c>
      <c r="I333" s="702">
        <f t="shared" si="39"/>
        <v>51.45466666666667</v>
      </c>
      <c r="J333" s="703"/>
      <c r="K333" s="698"/>
      <c r="L333" s="704"/>
      <c r="M333" s="698"/>
      <c r="N333" s="698"/>
      <c r="O333" s="766"/>
      <c r="P333" s="720"/>
      <c r="Q333" s="698"/>
      <c r="R333" s="770"/>
    </row>
    <row r="334" spans="1:18" ht="24">
      <c r="A334" s="764">
        <v>4170</v>
      </c>
      <c r="B334" s="768" t="s">
        <v>242</v>
      </c>
      <c r="C334" s="720">
        <v>130000</v>
      </c>
      <c r="D334" s="698">
        <f t="shared" si="34"/>
        <v>120000</v>
      </c>
      <c r="E334" s="698">
        <f t="shared" si="40"/>
        <v>89110</v>
      </c>
      <c r="F334" s="699">
        <f t="shared" si="41"/>
        <v>74.25833333333334</v>
      </c>
      <c r="G334" s="720">
        <f>130000-30000+20000</f>
        <v>120000</v>
      </c>
      <c r="H334" s="698">
        <v>89110</v>
      </c>
      <c r="I334" s="702">
        <f t="shared" si="39"/>
        <v>74.25833333333334</v>
      </c>
      <c r="J334" s="703"/>
      <c r="K334" s="698"/>
      <c r="L334" s="704"/>
      <c r="M334" s="698"/>
      <c r="N334" s="698"/>
      <c r="O334" s="766"/>
      <c r="P334" s="720"/>
      <c r="Q334" s="698"/>
      <c r="R334" s="770"/>
    </row>
    <row r="335" spans="1:18" ht="24" hidden="1">
      <c r="A335" s="764">
        <v>4170</v>
      </c>
      <c r="B335" s="768" t="s">
        <v>403</v>
      </c>
      <c r="C335" s="720"/>
      <c r="D335" s="698">
        <f t="shared" si="34"/>
        <v>0</v>
      </c>
      <c r="E335" s="698">
        <f t="shared" si="40"/>
        <v>0</v>
      </c>
      <c r="F335" s="699" t="e">
        <f t="shared" si="41"/>
        <v>#DIV/0!</v>
      </c>
      <c r="G335" s="720"/>
      <c r="H335" s="698"/>
      <c r="I335" s="702" t="e">
        <f t="shared" si="39"/>
        <v>#DIV/0!</v>
      </c>
      <c r="J335" s="703"/>
      <c r="K335" s="698"/>
      <c r="L335" s="704"/>
      <c r="M335" s="698"/>
      <c r="N335" s="698"/>
      <c r="O335" s="766"/>
      <c r="P335" s="720"/>
      <c r="Q335" s="698"/>
      <c r="R335" s="770"/>
    </row>
    <row r="336" spans="1:18" ht="24">
      <c r="A336" s="764">
        <v>4210</v>
      </c>
      <c r="B336" s="768" t="s">
        <v>404</v>
      </c>
      <c r="C336" s="720">
        <f>SUM(C337:C341)</f>
        <v>603000</v>
      </c>
      <c r="D336" s="698">
        <f t="shared" si="34"/>
        <v>799500</v>
      </c>
      <c r="E336" s="698">
        <f t="shared" si="40"/>
        <v>715155</v>
      </c>
      <c r="F336" s="699">
        <f t="shared" si="41"/>
        <v>89.45028142589119</v>
      </c>
      <c r="G336" s="810">
        <f>SUM(G337:G341)</f>
        <v>799500</v>
      </c>
      <c r="H336" s="698">
        <f>SUM(H337:H341)</f>
        <v>715155</v>
      </c>
      <c r="I336" s="702">
        <f t="shared" si="39"/>
        <v>89.45028142589119</v>
      </c>
      <c r="J336" s="703"/>
      <c r="K336" s="698"/>
      <c r="L336" s="704"/>
      <c r="M336" s="698"/>
      <c r="N336" s="698"/>
      <c r="O336" s="766"/>
      <c r="P336" s="720"/>
      <c r="Q336" s="698"/>
      <c r="R336" s="770"/>
    </row>
    <row r="337" spans="1:20" s="818" customFormat="1" ht="15" customHeight="1">
      <c r="A337" s="811"/>
      <c r="B337" s="812" t="s">
        <v>617</v>
      </c>
      <c r="C337" s="813">
        <v>450000</v>
      </c>
      <c r="D337" s="814">
        <f t="shared" si="34"/>
        <v>580000</v>
      </c>
      <c r="E337" s="814">
        <f t="shared" si="40"/>
        <v>496222</v>
      </c>
      <c r="F337" s="699">
        <f t="shared" si="41"/>
        <v>85.5555172413793</v>
      </c>
      <c r="G337" s="813">
        <f>450000+55000+26000+35000-3000+7000+10000</f>
        <v>580000</v>
      </c>
      <c r="H337" s="814">
        <f>496577-355</f>
        <v>496222</v>
      </c>
      <c r="I337" s="702">
        <f t="shared" si="39"/>
        <v>85.5555172413793</v>
      </c>
      <c r="J337" s="815"/>
      <c r="K337" s="814"/>
      <c r="L337" s="704"/>
      <c r="M337" s="814"/>
      <c r="N337" s="814"/>
      <c r="O337" s="704"/>
      <c r="P337" s="813"/>
      <c r="Q337" s="814"/>
      <c r="R337" s="831"/>
      <c r="S337" s="817"/>
      <c r="T337" s="817"/>
    </row>
    <row r="338" spans="1:20" s="818" customFormat="1" ht="12.75">
      <c r="A338" s="811"/>
      <c r="B338" s="812" t="s">
        <v>618</v>
      </c>
      <c r="C338" s="813">
        <v>6000</v>
      </c>
      <c r="D338" s="814">
        <f t="shared" si="34"/>
        <v>7000</v>
      </c>
      <c r="E338" s="814">
        <f t="shared" si="40"/>
        <v>6674</v>
      </c>
      <c r="F338" s="699">
        <f t="shared" si="41"/>
        <v>95.34285714285714</v>
      </c>
      <c r="G338" s="813">
        <f>6000+1000</f>
        <v>7000</v>
      </c>
      <c r="H338" s="814">
        <f>6673+1</f>
        <v>6674</v>
      </c>
      <c r="I338" s="702">
        <f t="shared" si="39"/>
        <v>95.34285714285714</v>
      </c>
      <c r="J338" s="815"/>
      <c r="K338" s="814"/>
      <c r="L338" s="704"/>
      <c r="M338" s="814"/>
      <c r="N338" s="814"/>
      <c r="O338" s="704"/>
      <c r="P338" s="813"/>
      <c r="Q338" s="814"/>
      <c r="R338" s="831"/>
      <c r="S338" s="817"/>
      <c r="T338" s="817"/>
    </row>
    <row r="339" spans="1:20" s="818" customFormat="1" ht="12.75">
      <c r="A339" s="811"/>
      <c r="B339" s="812" t="s">
        <v>619</v>
      </c>
      <c r="C339" s="813">
        <v>1000</v>
      </c>
      <c r="D339" s="814">
        <f aca="true" t="shared" si="42" ref="D339:D380">G339+J339+P339+M339</f>
        <v>1000</v>
      </c>
      <c r="E339" s="814">
        <f t="shared" si="40"/>
        <v>976</v>
      </c>
      <c r="F339" s="699">
        <f t="shared" si="41"/>
        <v>97.6</v>
      </c>
      <c r="G339" s="813">
        <v>1000</v>
      </c>
      <c r="H339" s="814">
        <v>976</v>
      </c>
      <c r="I339" s="702">
        <f t="shared" si="39"/>
        <v>97.6</v>
      </c>
      <c r="J339" s="815"/>
      <c r="K339" s="814"/>
      <c r="L339" s="704"/>
      <c r="M339" s="814"/>
      <c r="N339" s="814"/>
      <c r="O339" s="704"/>
      <c r="P339" s="813"/>
      <c r="Q339" s="814"/>
      <c r="R339" s="831"/>
      <c r="S339" s="817"/>
      <c r="T339" s="817"/>
    </row>
    <row r="340" spans="1:20" s="818" customFormat="1" ht="12.75">
      <c r="A340" s="811"/>
      <c r="B340" s="812" t="s">
        <v>620</v>
      </c>
      <c r="C340" s="813">
        <v>140000</v>
      </c>
      <c r="D340" s="814">
        <f t="shared" si="42"/>
        <v>210000</v>
      </c>
      <c r="E340" s="814">
        <f t="shared" si="40"/>
        <v>210000</v>
      </c>
      <c r="F340" s="699">
        <f t="shared" si="41"/>
        <v>100</v>
      </c>
      <c r="G340" s="813">
        <f>140000+40000-30000+60000</f>
        <v>210000</v>
      </c>
      <c r="H340" s="814">
        <v>210000</v>
      </c>
      <c r="I340" s="744">
        <f t="shared" si="39"/>
        <v>100</v>
      </c>
      <c r="J340" s="815"/>
      <c r="K340" s="814"/>
      <c r="L340" s="704"/>
      <c r="M340" s="814"/>
      <c r="N340" s="814"/>
      <c r="O340" s="704"/>
      <c r="P340" s="813"/>
      <c r="Q340" s="814"/>
      <c r="R340" s="831"/>
      <c r="S340" s="817"/>
      <c r="T340" s="817"/>
    </row>
    <row r="341" spans="1:20" s="818" customFormat="1" ht="12.75">
      <c r="A341" s="811"/>
      <c r="B341" s="812" t="s">
        <v>621</v>
      </c>
      <c r="C341" s="813">
        <v>6000</v>
      </c>
      <c r="D341" s="814">
        <f t="shared" si="42"/>
        <v>1500</v>
      </c>
      <c r="E341" s="814">
        <f t="shared" si="40"/>
        <v>1283</v>
      </c>
      <c r="F341" s="699">
        <f t="shared" si="41"/>
        <v>85.53333333333333</v>
      </c>
      <c r="G341" s="813">
        <f>6000-500-4000</f>
        <v>1500</v>
      </c>
      <c r="H341" s="814">
        <v>1283</v>
      </c>
      <c r="I341" s="702">
        <f t="shared" si="39"/>
        <v>85.53333333333333</v>
      </c>
      <c r="J341" s="815"/>
      <c r="K341" s="814"/>
      <c r="L341" s="704"/>
      <c r="M341" s="814"/>
      <c r="N341" s="814"/>
      <c r="O341" s="704"/>
      <c r="P341" s="813"/>
      <c r="Q341" s="814"/>
      <c r="R341" s="831"/>
      <c r="S341" s="817"/>
      <c r="T341" s="817"/>
    </row>
    <row r="342" spans="1:18" ht="29.25" customHeight="1">
      <c r="A342" s="764">
        <v>4240</v>
      </c>
      <c r="B342" s="768" t="s">
        <v>572</v>
      </c>
      <c r="C342" s="720">
        <v>5000</v>
      </c>
      <c r="D342" s="698">
        <f t="shared" si="42"/>
        <v>5000</v>
      </c>
      <c r="E342" s="698">
        <f t="shared" si="40"/>
        <v>3455</v>
      </c>
      <c r="F342" s="699">
        <f t="shared" si="41"/>
        <v>69.1</v>
      </c>
      <c r="G342" s="720">
        <v>5000</v>
      </c>
      <c r="H342" s="698">
        <f>4137-682</f>
        <v>3455</v>
      </c>
      <c r="I342" s="702">
        <f t="shared" si="39"/>
        <v>69.1</v>
      </c>
      <c r="J342" s="703"/>
      <c r="K342" s="698"/>
      <c r="L342" s="704"/>
      <c r="M342" s="698"/>
      <c r="N342" s="698"/>
      <c r="O342" s="766"/>
      <c r="P342" s="720"/>
      <c r="Q342" s="698"/>
      <c r="R342" s="770"/>
    </row>
    <row r="343" spans="1:18" ht="12.75">
      <c r="A343" s="764">
        <v>4260</v>
      </c>
      <c r="B343" s="768" t="s">
        <v>215</v>
      </c>
      <c r="C343" s="720">
        <v>429000</v>
      </c>
      <c r="D343" s="698">
        <f t="shared" si="42"/>
        <v>539000</v>
      </c>
      <c r="E343" s="698">
        <f t="shared" si="40"/>
        <v>489190</v>
      </c>
      <c r="F343" s="699">
        <f t="shared" si="41"/>
        <v>90.75881261595548</v>
      </c>
      <c r="G343" s="720">
        <f>429000+110000</f>
        <v>539000</v>
      </c>
      <c r="H343" s="698">
        <f>489195-5</f>
        <v>489190</v>
      </c>
      <c r="I343" s="702">
        <f t="shared" si="39"/>
        <v>90.75881261595548</v>
      </c>
      <c r="J343" s="703"/>
      <c r="K343" s="698"/>
      <c r="L343" s="704"/>
      <c r="M343" s="698"/>
      <c r="N343" s="698"/>
      <c r="O343" s="766"/>
      <c r="P343" s="720"/>
      <c r="Q343" s="698"/>
      <c r="R343" s="770"/>
    </row>
    <row r="344" spans="1:18" ht="15" customHeight="1">
      <c r="A344" s="764">
        <v>4270</v>
      </c>
      <c r="B344" s="768" t="s">
        <v>622</v>
      </c>
      <c r="C344" s="720">
        <f>SUM(C345:C346)</f>
        <v>776000</v>
      </c>
      <c r="D344" s="698">
        <f t="shared" si="42"/>
        <v>320892</v>
      </c>
      <c r="E344" s="698">
        <f t="shared" si="40"/>
        <v>263341</v>
      </c>
      <c r="F344" s="699">
        <f t="shared" si="41"/>
        <v>82.06530546102738</v>
      </c>
      <c r="G344" s="720">
        <f>SUM(G345:G346)</f>
        <v>320892</v>
      </c>
      <c r="H344" s="698">
        <f>SUM(H345:H346)</f>
        <v>263341</v>
      </c>
      <c r="I344" s="702">
        <f t="shared" si="39"/>
        <v>82.06530546102738</v>
      </c>
      <c r="J344" s="703"/>
      <c r="K344" s="698"/>
      <c r="L344" s="704"/>
      <c r="M344" s="698"/>
      <c r="N344" s="698"/>
      <c r="O344" s="766"/>
      <c r="P344" s="720"/>
      <c r="Q344" s="698"/>
      <c r="R344" s="770"/>
    </row>
    <row r="345" spans="1:20" s="818" customFormat="1" ht="12">
      <c r="A345" s="811"/>
      <c r="B345" s="812" t="s">
        <v>623</v>
      </c>
      <c r="C345" s="891">
        <v>740000</v>
      </c>
      <c r="D345" s="892">
        <f t="shared" si="42"/>
        <v>284892</v>
      </c>
      <c r="E345" s="892">
        <f t="shared" si="40"/>
        <v>227678</v>
      </c>
      <c r="F345" s="699">
        <f t="shared" si="41"/>
        <v>79.91730199514203</v>
      </c>
      <c r="G345" s="891">
        <f>740000-200000-170000-10000-75108</f>
        <v>284892</v>
      </c>
      <c r="H345" s="892">
        <v>227678</v>
      </c>
      <c r="I345" s="702">
        <f t="shared" si="39"/>
        <v>79.91730199514203</v>
      </c>
      <c r="J345" s="893"/>
      <c r="K345" s="892"/>
      <c r="L345" s="704"/>
      <c r="M345" s="892"/>
      <c r="N345" s="892"/>
      <c r="O345" s="704"/>
      <c r="P345" s="891"/>
      <c r="Q345" s="892"/>
      <c r="R345" s="831"/>
      <c r="S345" s="817"/>
      <c r="T345" s="817"/>
    </row>
    <row r="346" spans="1:20" s="818" customFormat="1" ht="12">
      <c r="A346" s="811"/>
      <c r="B346" s="812" t="s">
        <v>620</v>
      </c>
      <c r="C346" s="891">
        <v>36000</v>
      </c>
      <c r="D346" s="892">
        <f t="shared" si="42"/>
        <v>36000</v>
      </c>
      <c r="E346" s="892">
        <f t="shared" si="40"/>
        <v>35663</v>
      </c>
      <c r="F346" s="699">
        <f t="shared" si="41"/>
        <v>99.06388888888888</v>
      </c>
      <c r="G346" s="891">
        <v>36000</v>
      </c>
      <c r="H346" s="892">
        <v>35663</v>
      </c>
      <c r="I346" s="702">
        <f t="shared" si="39"/>
        <v>99.06388888888888</v>
      </c>
      <c r="J346" s="893"/>
      <c r="K346" s="892"/>
      <c r="L346" s="704"/>
      <c r="M346" s="892"/>
      <c r="N346" s="892"/>
      <c r="O346" s="704"/>
      <c r="P346" s="891"/>
      <c r="Q346" s="892"/>
      <c r="R346" s="831"/>
      <c r="S346" s="817"/>
      <c r="T346" s="817"/>
    </row>
    <row r="347" spans="1:18" ht="24">
      <c r="A347" s="764">
        <v>4280</v>
      </c>
      <c r="B347" s="768" t="s">
        <v>308</v>
      </c>
      <c r="C347" s="720">
        <v>28000</v>
      </c>
      <c r="D347" s="698">
        <f t="shared" si="42"/>
        <v>28000</v>
      </c>
      <c r="E347" s="698">
        <f t="shared" si="40"/>
        <v>22372</v>
      </c>
      <c r="F347" s="699">
        <f t="shared" si="41"/>
        <v>79.9</v>
      </c>
      <c r="G347" s="720">
        <v>28000</v>
      </c>
      <c r="H347" s="698">
        <v>22372</v>
      </c>
      <c r="I347" s="702">
        <f t="shared" si="39"/>
        <v>79.9</v>
      </c>
      <c r="J347" s="703"/>
      <c r="K347" s="894"/>
      <c r="L347" s="704"/>
      <c r="M347" s="894"/>
      <c r="N347" s="894"/>
      <c r="O347" s="766"/>
      <c r="P347" s="895"/>
      <c r="Q347" s="894"/>
      <c r="R347" s="770"/>
    </row>
    <row r="348" spans="1:18" ht="24">
      <c r="A348" s="764">
        <v>4300</v>
      </c>
      <c r="B348" s="768" t="s">
        <v>624</v>
      </c>
      <c r="C348" s="720">
        <f>SUM(C349:C355)</f>
        <v>1133000</v>
      </c>
      <c r="D348" s="698">
        <f t="shared" si="42"/>
        <v>1357250</v>
      </c>
      <c r="E348" s="698">
        <f>H348+K348+Q348+N348</f>
        <v>1173383</v>
      </c>
      <c r="F348" s="699">
        <f t="shared" si="41"/>
        <v>86.45297476515012</v>
      </c>
      <c r="G348" s="720">
        <f>SUM(G350:G357)</f>
        <v>1357250</v>
      </c>
      <c r="H348" s="698">
        <f>SUM(H350:H357)</f>
        <v>1173383</v>
      </c>
      <c r="I348" s="702">
        <f t="shared" si="39"/>
        <v>86.45297476515012</v>
      </c>
      <c r="J348" s="703"/>
      <c r="K348" s="698"/>
      <c r="L348" s="704"/>
      <c r="M348" s="698"/>
      <c r="N348" s="698"/>
      <c r="O348" s="766"/>
      <c r="P348" s="720"/>
      <c r="Q348" s="698"/>
      <c r="R348" s="770"/>
    </row>
    <row r="349" spans="1:20" s="818" customFormat="1" ht="12.75" hidden="1">
      <c r="A349" s="811"/>
      <c r="B349" s="812" t="s">
        <v>625</v>
      </c>
      <c r="C349" s="891"/>
      <c r="D349" s="698">
        <f t="shared" si="42"/>
        <v>0</v>
      </c>
      <c r="E349" s="698">
        <f>H349+K349+Q349+N349</f>
        <v>0</v>
      </c>
      <c r="F349" s="699"/>
      <c r="G349" s="891"/>
      <c r="H349" s="892"/>
      <c r="I349" s="702"/>
      <c r="J349" s="893"/>
      <c r="K349" s="892"/>
      <c r="L349" s="704"/>
      <c r="M349" s="892"/>
      <c r="N349" s="892"/>
      <c r="O349" s="704"/>
      <c r="P349" s="891"/>
      <c r="Q349" s="892"/>
      <c r="R349" s="831"/>
      <c r="S349" s="817"/>
      <c r="T349" s="817"/>
    </row>
    <row r="350" spans="1:20" s="818" customFormat="1" ht="12">
      <c r="A350" s="811"/>
      <c r="B350" s="812" t="s">
        <v>623</v>
      </c>
      <c r="C350" s="891">
        <v>820000</v>
      </c>
      <c r="D350" s="892">
        <f t="shared" si="42"/>
        <v>1042750</v>
      </c>
      <c r="E350" s="894">
        <f aca="true" t="shared" si="43" ref="E350:E395">SUM(H350+K350+N350+Q350)</f>
        <v>901881</v>
      </c>
      <c r="F350" s="699">
        <f>E350/D350*100</f>
        <v>86.49062574922081</v>
      </c>
      <c r="G350" s="891">
        <f>820000+65000+20000-5220+45970+10000+10000-24000+84000+17000</f>
        <v>1042750</v>
      </c>
      <c r="H350" s="892">
        <f>900227+1654</f>
        <v>901881</v>
      </c>
      <c r="I350" s="702">
        <f t="shared" si="39"/>
        <v>86.49062574922081</v>
      </c>
      <c r="J350" s="893"/>
      <c r="K350" s="892"/>
      <c r="L350" s="704"/>
      <c r="M350" s="892"/>
      <c r="N350" s="892"/>
      <c r="O350" s="704"/>
      <c r="P350" s="891"/>
      <c r="Q350" s="892"/>
      <c r="R350" s="831"/>
      <c r="S350" s="817"/>
      <c r="T350" s="817"/>
    </row>
    <row r="351" spans="1:20" s="818" customFormat="1" ht="12" hidden="1">
      <c r="A351" s="811"/>
      <c r="B351" s="812" t="s">
        <v>609</v>
      </c>
      <c r="C351" s="891"/>
      <c r="D351" s="892">
        <f t="shared" si="42"/>
        <v>0</v>
      </c>
      <c r="E351" s="894">
        <f t="shared" si="43"/>
        <v>0</v>
      </c>
      <c r="F351" s="699" t="e">
        <f>E351/D351*100</f>
        <v>#DIV/0!</v>
      </c>
      <c r="G351" s="891"/>
      <c r="H351" s="892"/>
      <c r="I351" s="702" t="e">
        <f t="shared" si="39"/>
        <v>#DIV/0!</v>
      </c>
      <c r="J351" s="893"/>
      <c r="K351" s="892"/>
      <c r="L351" s="704"/>
      <c r="M351" s="892"/>
      <c r="N351" s="892"/>
      <c r="O351" s="704"/>
      <c r="P351" s="891"/>
      <c r="Q351" s="892"/>
      <c r="R351" s="831"/>
      <c r="S351" s="817"/>
      <c r="T351" s="817"/>
    </row>
    <row r="352" spans="1:20" s="818" customFormat="1" ht="11.25" customHeight="1">
      <c r="A352" s="811"/>
      <c r="B352" s="812" t="s">
        <v>626</v>
      </c>
      <c r="C352" s="891">
        <v>30000</v>
      </c>
      <c r="D352" s="892">
        <f t="shared" si="42"/>
        <v>30000</v>
      </c>
      <c r="E352" s="894">
        <f t="shared" si="43"/>
        <v>3785</v>
      </c>
      <c r="F352" s="699">
        <f>E352/D352*100</f>
        <v>12.616666666666667</v>
      </c>
      <c r="G352" s="891">
        <v>30000</v>
      </c>
      <c r="H352" s="892">
        <v>3785</v>
      </c>
      <c r="I352" s="702">
        <f t="shared" si="39"/>
        <v>12.616666666666667</v>
      </c>
      <c r="J352" s="893"/>
      <c r="K352" s="892"/>
      <c r="L352" s="704"/>
      <c r="M352" s="892"/>
      <c r="N352" s="892"/>
      <c r="O352" s="704"/>
      <c r="P352" s="891"/>
      <c r="Q352" s="892"/>
      <c r="R352" s="831"/>
      <c r="S352" s="817"/>
      <c r="T352" s="817"/>
    </row>
    <row r="353" spans="1:20" s="818" customFormat="1" ht="24" hidden="1">
      <c r="A353" s="811"/>
      <c r="B353" s="812" t="s">
        <v>627</v>
      </c>
      <c r="C353" s="891"/>
      <c r="D353" s="892">
        <f t="shared" si="42"/>
        <v>0</v>
      </c>
      <c r="E353" s="894">
        <f t="shared" si="43"/>
        <v>0</v>
      </c>
      <c r="F353" s="699"/>
      <c r="G353" s="891"/>
      <c r="H353" s="892"/>
      <c r="I353" s="702"/>
      <c r="J353" s="893"/>
      <c r="K353" s="892"/>
      <c r="L353" s="704"/>
      <c r="M353" s="892"/>
      <c r="N353" s="892"/>
      <c r="O353" s="704"/>
      <c r="P353" s="891"/>
      <c r="Q353" s="892"/>
      <c r="R353" s="831"/>
      <c r="S353" s="817"/>
      <c r="T353" s="817"/>
    </row>
    <row r="354" spans="1:20" s="818" customFormat="1" ht="12">
      <c r="A354" s="811"/>
      <c r="B354" s="812" t="s">
        <v>612</v>
      </c>
      <c r="C354" s="891"/>
      <c r="D354" s="892">
        <f t="shared" si="42"/>
        <v>500</v>
      </c>
      <c r="E354" s="892">
        <f t="shared" si="43"/>
        <v>85</v>
      </c>
      <c r="F354" s="699">
        <f aca="true" t="shared" si="44" ref="F354:F384">E354/D354*100</f>
        <v>17</v>
      </c>
      <c r="G354" s="891">
        <v>500</v>
      </c>
      <c r="H354" s="892">
        <v>85</v>
      </c>
      <c r="I354" s="702">
        <f t="shared" si="39"/>
        <v>17</v>
      </c>
      <c r="J354" s="893"/>
      <c r="K354" s="892"/>
      <c r="L354" s="704"/>
      <c r="M354" s="892"/>
      <c r="N354" s="892"/>
      <c r="O354" s="704"/>
      <c r="P354" s="891"/>
      <c r="Q354" s="892"/>
      <c r="R354" s="831"/>
      <c r="S354" s="817"/>
      <c r="T354" s="817"/>
    </row>
    <row r="355" spans="1:20" s="818" customFormat="1" ht="12">
      <c r="A355" s="811"/>
      <c r="B355" s="812" t="s">
        <v>628</v>
      </c>
      <c r="C355" s="891">
        <v>283000</v>
      </c>
      <c r="D355" s="892">
        <f t="shared" si="42"/>
        <v>283000</v>
      </c>
      <c r="E355" s="892">
        <f t="shared" si="43"/>
        <v>267232</v>
      </c>
      <c r="F355" s="699">
        <f t="shared" si="44"/>
        <v>94.42826855123676</v>
      </c>
      <c r="G355" s="891">
        <v>283000</v>
      </c>
      <c r="H355" s="892">
        <v>267232</v>
      </c>
      <c r="I355" s="702">
        <f t="shared" si="39"/>
        <v>94.42826855123676</v>
      </c>
      <c r="J355" s="893"/>
      <c r="K355" s="892"/>
      <c r="L355" s="704"/>
      <c r="M355" s="892"/>
      <c r="N355" s="892"/>
      <c r="O355" s="704"/>
      <c r="P355" s="891"/>
      <c r="Q355" s="892"/>
      <c r="R355" s="831"/>
      <c r="S355" s="817"/>
      <c r="T355" s="817"/>
    </row>
    <row r="356" spans="1:18" ht="33.75" customHeight="1" hidden="1">
      <c r="A356" s="764">
        <v>4390</v>
      </c>
      <c r="B356" s="812" t="s">
        <v>628</v>
      </c>
      <c r="C356" s="895"/>
      <c r="D356" s="892">
        <f t="shared" si="42"/>
        <v>0</v>
      </c>
      <c r="E356" s="892">
        <f t="shared" si="43"/>
        <v>0</v>
      </c>
      <c r="F356" s="699" t="e">
        <f t="shared" si="44"/>
        <v>#DIV/0!</v>
      </c>
      <c r="G356" s="891"/>
      <c r="H356" s="894"/>
      <c r="I356" s="702" t="e">
        <f t="shared" si="39"/>
        <v>#DIV/0!</v>
      </c>
      <c r="J356" s="896"/>
      <c r="K356" s="894"/>
      <c r="L356" s="704"/>
      <c r="M356" s="894"/>
      <c r="N356" s="894"/>
      <c r="O356" s="766"/>
      <c r="P356" s="896"/>
      <c r="Q356" s="894"/>
      <c r="R356" s="770"/>
    </row>
    <row r="357" spans="1:18" ht="9.75" customHeight="1">
      <c r="A357" s="764"/>
      <c r="B357" s="812" t="s">
        <v>309</v>
      </c>
      <c r="C357" s="895">
        <v>1000</v>
      </c>
      <c r="D357" s="892">
        <f t="shared" si="42"/>
        <v>1000</v>
      </c>
      <c r="E357" s="892">
        <f t="shared" si="43"/>
        <v>400</v>
      </c>
      <c r="F357" s="699">
        <f t="shared" si="44"/>
        <v>40</v>
      </c>
      <c r="G357" s="891">
        <v>1000</v>
      </c>
      <c r="H357" s="892">
        <v>400</v>
      </c>
      <c r="I357" s="702">
        <f t="shared" si="39"/>
        <v>40</v>
      </c>
      <c r="J357" s="896"/>
      <c r="K357" s="894"/>
      <c r="L357" s="704"/>
      <c r="M357" s="894"/>
      <c r="N357" s="894"/>
      <c r="O357" s="766"/>
      <c r="P357" s="896"/>
      <c r="Q357" s="894"/>
      <c r="R357" s="770"/>
    </row>
    <row r="358" spans="1:18" ht="24">
      <c r="A358" s="764">
        <v>4350</v>
      </c>
      <c r="B358" s="768" t="s">
        <v>405</v>
      </c>
      <c r="C358" s="720">
        <v>18000</v>
      </c>
      <c r="D358" s="698">
        <f t="shared" si="42"/>
        <v>18000</v>
      </c>
      <c r="E358" s="698">
        <f t="shared" si="43"/>
        <v>11292</v>
      </c>
      <c r="F358" s="699">
        <f t="shared" si="44"/>
        <v>62.73333333333333</v>
      </c>
      <c r="G358" s="720">
        <v>18000</v>
      </c>
      <c r="H358" s="698">
        <v>11292</v>
      </c>
      <c r="I358" s="702">
        <f t="shared" si="39"/>
        <v>62.73333333333333</v>
      </c>
      <c r="J358" s="703"/>
      <c r="K358" s="698"/>
      <c r="L358" s="704"/>
      <c r="M358" s="698"/>
      <c r="N358" s="698"/>
      <c r="O358" s="766"/>
      <c r="P358" s="698"/>
      <c r="Q358" s="698"/>
      <c r="R358" s="770"/>
    </row>
    <row r="359" spans="1:18" ht="22.5" customHeight="1" hidden="1">
      <c r="A359" s="764">
        <v>4350</v>
      </c>
      <c r="B359" s="768" t="s">
        <v>406</v>
      </c>
      <c r="C359" s="720"/>
      <c r="D359" s="698">
        <f t="shared" si="42"/>
        <v>0</v>
      </c>
      <c r="E359" s="698">
        <f t="shared" si="43"/>
        <v>0</v>
      </c>
      <c r="F359" s="699" t="e">
        <f t="shared" si="44"/>
        <v>#DIV/0!</v>
      </c>
      <c r="G359" s="720"/>
      <c r="H359" s="698"/>
      <c r="I359" s="744" t="e">
        <f t="shared" si="39"/>
        <v>#DIV/0!</v>
      </c>
      <c r="J359" s="703"/>
      <c r="K359" s="698"/>
      <c r="L359" s="704"/>
      <c r="M359" s="698"/>
      <c r="N359" s="698"/>
      <c r="O359" s="766"/>
      <c r="P359" s="698"/>
      <c r="Q359" s="698"/>
      <c r="R359" s="770"/>
    </row>
    <row r="360" spans="1:18" ht="40.5" customHeight="1">
      <c r="A360" s="764">
        <v>4360</v>
      </c>
      <c r="B360" s="828" t="s">
        <v>629</v>
      </c>
      <c r="C360" s="720">
        <v>76000</v>
      </c>
      <c r="D360" s="698">
        <f>G360+J360+P360+M360</f>
        <v>56000</v>
      </c>
      <c r="E360" s="698">
        <f>SUM(H360+K360+N360+Q360)</f>
        <v>49610</v>
      </c>
      <c r="F360" s="699">
        <f>E360/D360*100</f>
        <v>88.58928571428571</v>
      </c>
      <c r="G360" s="720">
        <f>76000-30000+10000</f>
        <v>56000</v>
      </c>
      <c r="H360" s="698">
        <f>49408+202</f>
        <v>49610</v>
      </c>
      <c r="I360" s="702">
        <f t="shared" si="39"/>
        <v>88.58928571428571</v>
      </c>
      <c r="J360" s="703"/>
      <c r="K360" s="698"/>
      <c r="L360" s="704"/>
      <c r="M360" s="698"/>
      <c r="N360" s="698"/>
      <c r="O360" s="766"/>
      <c r="P360" s="698"/>
      <c r="Q360" s="698"/>
      <c r="R360" s="770"/>
    </row>
    <row r="361" spans="1:18" ht="39" customHeight="1">
      <c r="A361" s="764">
        <v>4370</v>
      </c>
      <c r="B361" s="828" t="s">
        <v>630</v>
      </c>
      <c r="C361" s="720">
        <v>182000</v>
      </c>
      <c r="D361" s="698">
        <f>G361+J361+P361+M361</f>
        <v>147000</v>
      </c>
      <c r="E361" s="698">
        <f>SUM(H361+K361+N361+Q361)</f>
        <v>131441</v>
      </c>
      <c r="F361" s="699">
        <f>E361/D361*100</f>
        <v>89.4156462585034</v>
      </c>
      <c r="G361" s="720">
        <f>182000-20000-15000</f>
        <v>147000</v>
      </c>
      <c r="H361" s="698">
        <v>131441</v>
      </c>
      <c r="I361" s="702">
        <f t="shared" si="39"/>
        <v>89.4156462585034</v>
      </c>
      <c r="J361" s="703"/>
      <c r="K361" s="698"/>
      <c r="L361" s="704"/>
      <c r="M361" s="698"/>
      <c r="N361" s="698"/>
      <c r="O361" s="766"/>
      <c r="P361" s="698"/>
      <c r="Q361" s="698"/>
      <c r="R361" s="770"/>
    </row>
    <row r="362" spans="1:18" ht="40.5" customHeight="1">
      <c r="A362" s="764">
        <v>4390</v>
      </c>
      <c r="B362" s="768" t="s">
        <v>310</v>
      </c>
      <c r="C362" s="720">
        <v>12200</v>
      </c>
      <c r="D362" s="698">
        <f>G362+J362+P362+M362</f>
        <v>12200</v>
      </c>
      <c r="E362" s="698">
        <f>SUM(H362+K362+N362+Q362)</f>
        <v>12200</v>
      </c>
      <c r="F362" s="699">
        <f>E362/D362*100</f>
        <v>100</v>
      </c>
      <c r="G362" s="720">
        <v>12200</v>
      </c>
      <c r="H362" s="698">
        <v>12200</v>
      </c>
      <c r="I362" s="744">
        <f t="shared" si="39"/>
        <v>100</v>
      </c>
      <c r="J362" s="703"/>
      <c r="K362" s="698"/>
      <c r="L362" s="704"/>
      <c r="M362" s="698"/>
      <c r="N362" s="698"/>
      <c r="O362" s="766"/>
      <c r="P362" s="698"/>
      <c r="Q362" s="698"/>
      <c r="R362" s="770"/>
    </row>
    <row r="363" spans="1:18" ht="38.25" customHeight="1">
      <c r="A363" s="764">
        <v>4390</v>
      </c>
      <c r="B363" s="768" t="s">
        <v>311</v>
      </c>
      <c r="C363" s="720">
        <v>12000</v>
      </c>
      <c r="D363" s="698">
        <f>G363+J363+P363+M363</f>
        <v>12000</v>
      </c>
      <c r="E363" s="698">
        <f>SUM(H363+K363+N363+Q363)</f>
        <v>6965</v>
      </c>
      <c r="F363" s="699">
        <f>E363/D363*100</f>
        <v>58.04166666666667</v>
      </c>
      <c r="G363" s="720">
        <v>12000</v>
      </c>
      <c r="H363" s="698">
        <v>6965</v>
      </c>
      <c r="I363" s="744">
        <f t="shared" si="39"/>
        <v>58.04166666666667</v>
      </c>
      <c r="J363" s="703"/>
      <c r="K363" s="698"/>
      <c r="L363" s="704"/>
      <c r="M363" s="698"/>
      <c r="N363" s="698"/>
      <c r="O363" s="766"/>
      <c r="P363" s="698"/>
      <c r="Q363" s="698"/>
      <c r="R363" s="770"/>
    </row>
    <row r="364" spans="1:18" ht="23.25" customHeight="1">
      <c r="A364" s="764">
        <v>4400</v>
      </c>
      <c r="B364" s="768" t="s">
        <v>547</v>
      </c>
      <c r="C364" s="720">
        <v>11300</v>
      </c>
      <c r="D364" s="698">
        <f>G364+J364+P364+M364</f>
        <v>7300</v>
      </c>
      <c r="E364" s="698">
        <f>SUM(H364+K364+N364+Q364)</f>
        <v>6491</v>
      </c>
      <c r="F364" s="699">
        <f>E364/D364*100</f>
        <v>88.91780821917808</v>
      </c>
      <c r="G364" s="720">
        <f>11300-4000</f>
        <v>7300</v>
      </c>
      <c r="H364" s="698">
        <v>6491</v>
      </c>
      <c r="I364" s="702">
        <f t="shared" si="39"/>
        <v>88.91780821917808</v>
      </c>
      <c r="J364" s="703"/>
      <c r="K364" s="698"/>
      <c r="L364" s="704"/>
      <c r="M364" s="698"/>
      <c r="N364" s="698"/>
      <c r="O364" s="766"/>
      <c r="P364" s="698"/>
      <c r="Q364" s="698"/>
      <c r="R364" s="770"/>
    </row>
    <row r="365" spans="1:18" ht="16.5" customHeight="1">
      <c r="A365" s="764">
        <v>4410</v>
      </c>
      <c r="B365" s="768" t="s">
        <v>193</v>
      </c>
      <c r="C365" s="720">
        <v>181000</v>
      </c>
      <c r="D365" s="698">
        <f t="shared" si="42"/>
        <v>241000</v>
      </c>
      <c r="E365" s="698">
        <f t="shared" si="43"/>
        <v>208627</v>
      </c>
      <c r="F365" s="699">
        <f t="shared" si="44"/>
        <v>86.56721991701245</v>
      </c>
      <c r="G365" s="720">
        <f>181000+60000</f>
        <v>241000</v>
      </c>
      <c r="H365" s="698">
        <f>208742-115</f>
        <v>208627</v>
      </c>
      <c r="I365" s="702">
        <f t="shared" si="39"/>
        <v>86.56721991701245</v>
      </c>
      <c r="J365" s="703"/>
      <c r="K365" s="698"/>
      <c r="L365" s="704"/>
      <c r="M365" s="698"/>
      <c r="N365" s="698"/>
      <c r="O365" s="766"/>
      <c r="P365" s="698"/>
      <c r="Q365" s="698"/>
      <c r="R365" s="770"/>
    </row>
    <row r="366" spans="1:18" ht="24">
      <c r="A366" s="764">
        <v>4420</v>
      </c>
      <c r="B366" s="768" t="s">
        <v>407</v>
      </c>
      <c r="C366" s="720">
        <v>90000</v>
      </c>
      <c r="D366" s="698">
        <f t="shared" si="42"/>
        <v>90000</v>
      </c>
      <c r="E366" s="698">
        <f t="shared" si="43"/>
        <v>72373</v>
      </c>
      <c r="F366" s="699">
        <f t="shared" si="44"/>
        <v>80.41444444444444</v>
      </c>
      <c r="G366" s="720">
        <v>90000</v>
      </c>
      <c r="H366" s="698">
        <v>72373</v>
      </c>
      <c r="I366" s="702">
        <f t="shared" si="39"/>
        <v>80.41444444444444</v>
      </c>
      <c r="J366" s="703"/>
      <c r="K366" s="698"/>
      <c r="L366" s="704"/>
      <c r="M366" s="698"/>
      <c r="N366" s="698"/>
      <c r="O366" s="766"/>
      <c r="P366" s="698"/>
      <c r="Q366" s="698"/>
      <c r="R366" s="770"/>
    </row>
    <row r="367" spans="1:18" ht="24" hidden="1">
      <c r="A367" s="764">
        <v>4430</v>
      </c>
      <c r="B367" s="768" t="s">
        <v>631</v>
      </c>
      <c r="C367" s="720"/>
      <c r="D367" s="698">
        <f>G367+J367+P367+M367</f>
        <v>0</v>
      </c>
      <c r="E367" s="698">
        <f>SUM(H367+K367+N367+Q367)</f>
        <v>0</v>
      </c>
      <c r="F367" s="699" t="e">
        <f>E367/D367*100</f>
        <v>#DIV/0!</v>
      </c>
      <c r="G367" s="720"/>
      <c r="H367" s="698"/>
      <c r="I367" s="702" t="e">
        <f t="shared" si="39"/>
        <v>#DIV/0!</v>
      </c>
      <c r="J367" s="703"/>
      <c r="K367" s="698"/>
      <c r="L367" s="704"/>
      <c r="M367" s="698"/>
      <c r="N367" s="698"/>
      <c r="O367" s="766"/>
      <c r="P367" s="698"/>
      <c r="Q367" s="698"/>
      <c r="R367" s="770"/>
    </row>
    <row r="368" spans="1:18" ht="15.75" customHeight="1">
      <c r="A368" s="764">
        <v>4430</v>
      </c>
      <c r="B368" s="768" t="s">
        <v>632</v>
      </c>
      <c r="C368" s="720">
        <v>131000</v>
      </c>
      <c r="D368" s="698">
        <f t="shared" si="42"/>
        <v>211000</v>
      </c>
      <c r="E368" s="698">
        <f t="shared" si="43"/>
        <v>178975</v>
      </c>
      <c r="F368" s="699">
        <f t="shared" si="44"/>
        <v>84.82227488151659</v>
      </c>
      <c r="G368" s="720">
        <f>131000+100000-10000-10000</f>
        <v>211000</v>
      </c>
      <c r="H368" s="698">
        <v>178975</v>
      </c>
      <c r="I368" s="702">
        <f aca="true" t="shared" si="45" ref="I368:I382">H368/G368*100</f>
        <v>84.82227488151659</v>
      </c>
      <c r="J368" s="703"/>
      <c r="K368" s="698"/>
      <c r="L368" s="704"/>
      <c r="M368" s="698"/>
      <c r="N368" s="698"/>
      <c r="O368" s="766"/>
      <c r="P368" s="698"/>
      <c r="Q368" s="698"/>
      <c r="R368" s="770"/>
    </row>
    <row r="369" spans="1:18" ht="15.75" customHeight="1">
      <c r="A369" s="764">
        <v>4430</v>
      </c>
      <c r="B369" s="768" t="s">
        <v>631</v>
      </c>
      <c r="C369" s="720">
        <v>3000</v>
      </c>
      <c r="D369" s="698">
        <f t="shared" si="42"/>
        <v>3000</v>
      </c>
      <c r="E369" s="698">
        <f>SUM(H369+K369+N369+Q369)</f>
        <v>40</v>
      </c>
      <c r="F369" s="699">
        <f t="shared" si="44"/>
        <v>1.3333333333333335</v>
      </c>
      <c r="G369" s="720">
        <v>3000</v>
      </c>
      <c r="H369" s="698">
        <v>40</v>
      </c>
      <c r="I369" s="702">
        <f t="shared" si="45"/>
        <v>1.3333333333333335</v>
      </c>
      <c r="J369" s="703"/>
      <c r="K369" s="698"/>
      <c r="L369" s="704"/>
      <c r="M369" s="698"/>
      <c r="N369" s="698"/>
      <c r="O369" s="766"/>
      <c r="P369" s="698"/>
      <c r="Q369" s="698"/>
      <c r="R369" s="770"/>
    </row>
    <row r="370" spans="1:18" ht="14.25" customHeight="1">
      <c r="A370" s="764">
        <v>4440</v>
      </c>
      <c r="B370" s="768" t="s">
        <v>223</v>
      </c>
      <c r="C370" s="720">
        <v>334240</v>
      </c>
      <c r="D370" s="698">
        <f t="shared" si="42"/>
        <v>379348</v>
      </c>
      <c r="E370" s="698">
        <f t="shared" si="43"/>
        <v>334240</v>
      </c>
      <c r="F370" s="699">
        <f t="shared" si="44"/>
        <v>88.10907135400741</v>
      </c>
      <c r="G370" s="720">
        <f>334240+45108</f>
        <v>379348</v>
      </c>
      <c r="H370" s="698">
        <v>334240</v>
      </c>
      <c r="I370" s="744">
        <f t="shared" si="45"/>
        <v>88.10907135400741</v>
      </c>
      <c r="J370" s="703"/>
      <c r="K370" s="698"/>
      <c r="L370" s="704"/>
      <c r="M370" s="698"/>
      <c r="N370" s="698"/>
      <c r="O370" s="766"/>
      <c r="P370" s="698"/>
      <c r="Q370" s="698"/>
      <c r="R370" s="770"/>
    </row>
    <row r="371" spans="1:18" ht="14.25" customHeight="1" hidden="1">
      <c r="A371" s="764">
        <v>4580</v>
      </c>
      <c r="B371" s="768" t="s">
        <v>244</v>
      </c>
      <c r="C371" s="720"/>
      <c r="D371" s="698">
        <f>G371+J371+P371+M371</f>
        <v>0</v>
      </c>
      <c r="E371" s="698">
        <f>SUM(H371+K371+N371+Q371)</f>
        <v>0</v>
      </c>
      <c r="F371" s="699" t="e">
        <f t="shared" si="44"/>
        <v>#DIV/0!</v>
      </c>
      <c r="G371" s="720"/>
      <c r="H371" s="698"/>
      <c r="I371" s="744" t="e">
        <f t="shared" si="45"/>
        <v>#DIV/0!</v>
      </c>
      <c r="J371" s="703"/>
      <c r="K371" s="698"/>
      <c r="L371" s="704"/>
      <c r="M371" s="698"/>
      <c r="N371" s="698"/>
      <c r="O371" s="766"/>
      <c r="P371" s="698"/>
      <c r="Q371" s="698"/>
      <c r="R371" s="770"/>
    </row>
    <row r="372" spans="1:18" ht="36" hidden="1">
      <c r="A372" s="764">
        <v>4590</v>
      </c>
      <c r="B372" s="768" t="s">
        <v>312</v>
      </c>
      <c r="C372" s="720"/>
      <c r="D372" s="698">
        <f t="shared" si="42"/>
        <v>0</v>
      </c>
      <c r="E372" s="698">
        <f t="shared" si="43"/>
        <v>0</v>
      </c>
      <c r="F372" s="699" t="e">
        <f t="shared" si="44"/>
        <v>#DIV/0!</v>
      </c>
      <c r="G372" s="720"/>
      <c r="H372" s="698"/>
      <c r="I372" s="702" t="e">
        <f t="shared" si="45"/>
        <v>#DIV/0!</v>
      </c>
      <c r="J372" s="703"/>
      <c r="K372" s="698"/>
      <c r="L372" s="704"/>
      <c r="M372" s="698"/>
      <c r="N372" s="698"/>
      <c r="O372" s="766"/>
      <c r="P372" s="698"/>
      <c r="Q372" s="698"/>
      <c r="R372" s="770"/>
    </row>
    <row r="373" spans="1:18" ht="24" hidden="1">
      <c r="A373" s="764">
        <v>4610</v>
      </c>
      <c r="B373" s="768" t="s">
        <v>408</v>
      </c>
      <c r="C373" s="720"/>
      <c r="D373" s="698">
        <f t="shared" si="42"/>
        <v>0</v>
      </c>
      <c r="E373" s="698">
        <f t="shared" si="43"/>
        <v>0</v>
      </c>
      <c r="F373" s="699" t="e">
        <f t="shared" si="44"/>
        <v>#DIV/0!</v>
      </c>
      <c r="G373" s="720"/>
      <c r="H373" s="698"/>
      <c r="I373" s="702" t="e">
        <f t="shared" si="45"/>
        <v>#DIV/0!</v>
      </c>
      <c r="J373" s="703"/>
      <c r="K373" s="698"/>
      <c r="L373" s="704"/>
      <c r="M373" s="698"/>
      <c r="N373" s="698"/>
      <c r="O373" s="766"/>
      <c r="P373" s="698"/>
      <c r="Q373" s="698"/>
      <c r="R373" s="770"/>
    </row>
    <row r="374" spans="1:18" ht="24" hidden="1">
      <c r="A374" s="764">
        <v>4610</v>
      </c>
      <c r="B374" s="768" t="s">
        <v>409</v>
      </c>
      <c r="C374" s="720"/>
      <c r="D374" s="698">
        <f t="shared" si="42"/>
        <v>0</v>
      </c>
      <c r="E374" s="698">
        <f>SUM(H374+K374+N374+Q374)</f>
        <v>0</v>
      </c>
      <c r="F374" s="699" t="e">
        <f>E374/D374*100</f>
        <v>#DIV/0!</v>
      </c>
      <c r="G374" s="720"/>
      <c r="H374" s="698"/>
      <c r="I374" s="702" t="e">
        <f t="shared" si="45"/>
        <v>#DIV/0!</v>
      </c>
      <c r="J374" s="703"/>
      <c r="K374" s="698"/>
      <c r="L374" s="704"/>
      <c r="M374" s="698"/>
      <c r="N374" s="698"/>
      <c r="O374" s="766"/>
      <c r="P374" s="698"/>
      <c r="Q374" s="698"/>
      <c r="R374" s="770"/>
    </row>
    <row r="375" spans="1:18" ht="24" hidden="1">
      <c r="A375" s="764">
        <v>4610</v>
      </c>
      <c r="B375" s="768" t="s">
        <v>410</v>
      </c>
      <c r="C375" s="720"/>
      <c r="D375" s="698">
        <f t="shared" si="42"/>
        <v>0</v>
      </c>
      <c r="E375" s="698">
        <f t="shared" si="43"/>
        <v>0</v>
      </c>
      <c r="F375" s="699" t="e">
        <f t="shared" si="44"/>
        <v>#DIV/0!</v>
      </c>
      <c r="G375" s="720"/>
      <c r="H375" s="698"/>
      <c r="I375" s="702" t="e">
        <f t="shared" si="45"/>
        <v>#DIV/0!</v>
      </c>
      <c r="J375" s="703"/>
      <c r="K375" s="698"/>
      <c r="L375" s="704"/>
      <c r="M375" s="698"/>
      <c r="N375" s="698"/>
      <c r="O375" s="766"/>
      <c r="P375" s="698"/>
      <c r="Q375" s="698"/>
      <c r="R375" s="770"/>
    </row>
    <row r="376" spans="1:18" ht="42" customHeight="1">
      <c r="A376" s="764">
        <v>4700</v>
      </c>
      <c r="B376" s="828" t="s">
        <v>550</v>
      </c>
      <c r="C376" s="720">
        <v>123000</v>
      </c>
      <c r="D376" s="698">
        <f t="shared" si="42"/>
        <v>163000</v>
      </c>
      <c r="E376" s="698">
        <f>SUM(H376+K376+N376+Q376)</f>
        <v>141902</v>
      </c>
      <c r="F376" s="699">
        <f>E376/D376*100</f>
        <v>87.05644171779142</v>
      </c>
      <c r="G376" s="720">
        <f>123000+40000</f>
        <v>163000</v>
      </c>
      <c r="H376" s="698">
        <f>143577-1675</f>
        <v>141902</v>
      </c>
      <c r="I376" s="702">
        <f t="shared" si="45"/>
        <v>87.05644171779142</v>
      </c>
      <c r="J376" s="703"/>
      <c r="K376" s="698"/>
      <c r="L376" s="704"/>
      <c r="M376" s="698"/>
      <c r="N376" s="698"/>
      <c r="O376" s="766"/>
      <c r="P376" s="698"/>
      <c r="Q376" s="698"/>
      <c r="R376" s="770"/>
    </row>
    <row r="377" spans="1:18" ht="48.75" customHeight="1">
      <c r="A377" s="764">
        <v>4740</v>
      </c>
      <c r="B377" s="828" t="s">
        <v>235</v>
      </c>
      <c r="C377" s="720">
        <v>73000</v>
      </c>
      <c r="D377" s="698">
        <f t="shared" si="42"/>
        <v>73000</v>
      </c>
      <c r="E377" s="698">
        <f>SUM(H377+K377+N377+Q377)</f>
        <v>49651</v>
      </c>
      <c r="F377" s="699">
        <f>E377/D377*100</f>
        <v>68.0150684931507</v>
      </c>
      <c r="G377" s="720">
        <v>73000</v>
      </c>
      <c r="H377" s="698">
        <f>48969+682</f>
        <v>49651</v>
      </c>
      <c r="I377" s="702">
        <f t="shared" si="45"/>
        <v>68.0150684931507</v>
      </c>
      <c r="J377" s="703"/>
      <c r="K377" s="698"/>
      <c r="L377" s="704"/>
      <c r="M377" s="698"/>
      <c r="N377" s="698"/>
      <c r="O377" s="766"/>
      <c r="P377" s="698"/>
      <c r="Q377" s="698"/>
      <c r="R377" s="770"/>
    </row>
    <row r="378" spans="1:18" ht="48">
      <c r="A378" s="764">
        <v>4750</v>
      </c>
      <c r="B378" s="828" t="s">
        <v>411</v>
      </c>
      <c r="C378" s="720">
        <v>240000</v>
      </c>
      <c r="D378" s="698">
        <f t="shared" si="42"/>
        <v>240000</v>
      </c>
      <c r="E378" s="698">
        <f>SUM(H378+K378+N378+Q378)</f>
        <v>178837</v>
      </c>
      <c r="F378" s="699">
        <f>E378/D378*100</f>
        <v>74.51541666666667</v>
      </c>
      <c r="G378" s="720">
        <v>240000</v>
      </c>
      <c r="H378" s="698">
        <v>178837</v>
      </c>
      <c r="I378" s="702">
        <f t="shared" si="45"/>
        <v>74.51541666666667</v>
      </c>
      <c r="J378" s="703"/>
      <c r="K378" s="698"/>
      <c r="L378" s="704"/>
      <c r="M378" s="698"/>
      <c r="N378" s="698"/>
      <c r="O378" s="766"/>
      <c r="P378" s="698"/>
      <c r="Q378" s="698"/>
      <c r="R378" s="770"/>
    </row>
    <row r="379" spans="1:18" ht="27" customHeight="1">
      <c r="A379" s="764">
        <v>6050</v>
      </c>
      <c r="B379" s="768" t="s">
        <v>633</v>
      </c>
      <c r="C379" s="720">
        <v>835000</v>
      </c>
      <c r="D379" s="698">
        <f>G379+J379+P379+M379</f>
        <v>1403850</v>
      </c>
      <c r="E379" s="698">
        <f>SUM(H379+K379+N379+Q379)</f>
        <v>664119</v>
      </c>
      <c r="F379" s="699">
        <f>E379/D379*100</f>
        <v>47.30697724115824</v>
      </c>
      <c r="G379" s="720">
        <f>835000+58600+250000+140000+15250-505000+605000+70000-65000</f>
        <v>1403850</v>
      </c>
      <c r="H379" s="698">
        <v>664119</v>
      </c>
      <c r="I379" s="702">
        <f t="shared" si="45"/>
        <v>47.30697724115824</v>
      </c>
      <c r="J379" s="703"/>
      <c r="K379" s="698"/>
      <c r="L379" s="704"/>
      <c r="M379" s="698"/>
      <c r="N379" s="698"/>
      <c r="O379" s="766"/>
      <c r="P379" s="698"/>
      <c r="Q379" s="698"/>
      <c r="R379" s="770"/>
    </row>
    <row r="380" spans="1:18" ht="38.25" customHeight="1">
      <c r="A380" s="764">
        <v>6060</v>
      </c>
      <c r="B380" s="768" t="s">
        <v>634</v>
      </c>
      <c r="C380" s="720">
        <f>SUM(C381:C383)</f>
        <v>1337000</v>
      </c>
      <c r="D380" s="698">
        <f t="shared" si="42"/>
        <v>1217300</v>
      </c>
      <c r="E380" s="698">
        <f t="shared" si="43"/>
        <v>812805</v>
      </c>
      <c r="F380" s="699">
        <f t="shared" si="44"/>
        <v>66.77113283496261</v>
      </c>
      <c r="G380" s="720">
        <f>SUM(G381:G383)</f>
        <v>1217300</v>
      </c>
      <c r="H380" s="698">
        <f>SUM(H381:H383)</f>
        <v>812805</v>
      </c>
      <c r="I380" s="702">
        <f t="shared" si="45"/>
        <v>66.77113283496261</v>
      </c>
      <c r="J380" s="703"/>
      <c r="K380" s="698"/>
      <c r="L380" s="704"/>
      <c r="M380" s="698"/>
      <c r="N380" s="698"/>
      <c r="O380" s="766"/>
      <c r="P380" s="698"/>
      <c r="Q380" s="698"/>
      <c r="R380" s="770"/>
    </row>
    <row r="381" spans="1:20" s="818" customFormat="1" ht="12.75">
      <c r="A381" s="811"/>
      <c r="B381" s="812" t="s">
        <v>623</v>
      </c>
      <c r="C381" s="813">
        <v>505000</v>
      </c>
      <c r="D381" s="814">
        <f>G381+J381+P381+M381</f>
        <v>411300</v>
      </c>
      <c r="E381" s="814">
        <f>SUM(H381+K381+N381+Q381)</f>
        <v>371804</v>
      </c>
      <c r="F381" s="699">
        <f>E381/D381*100</f>
        <v>90.3972769268174</v>
      </c>
      <c r="G381" s="813">
        <f>505000+95300-43000+60000-54000+8000-107000+7000-60000</f>
        <v>411300</v>
      </c>
      <c r="H381" s="814">
        <v>371804</v>
      </c>
      <c r="I381" s="702">
        <f t="shared" si="45"/>
        <v>90.3972769268174</v>
      </c>
      <c r="J381" s="815"/>
      <c r="K381" s="814"/>
      <c r="L381" s="704"/>
      <c r="M381" s="814"/>
      <c r="N381" s="814"/>
      <c r="O381" s="704"/>
      <c r="P381" s="815"/>
      <c r="Q381" s="814"/>
      <c r="R381" s="831"/>
      <c r="S381" s="817"/>
      <c r="T381" s="817"/>
    </row>
    <row r="382" spans="1:20" s="818" customFormat="1" ht="12.75" hidden="1">
      <c r="A382" s="811"/>
      <c r="B382" s="812" t="s">
        <v>609</v>
      </c>
      <c r="C382" s="813"/>
      <c r="D382" s="814">
        <f>G382+J382+P382+M382</f>
        <v>0</v>
      </c>
      <c r="E382" s="814">
        <f>SUM(H382+K382+N382+Q382)</f>
        <v>0</v>
      </c>
      <c r="F382" s="699" t="e">
        <f>E382/D382*100</f>
        <v>#DIV/0!</v>
      </c>
      <c r="G382" s="813"/>
      <c r="H382" s="814"/>
      <c r="I382" s="702" t="e">
        <f t="shared" si="45"/>
        <v>#DIV/0!</v>
      </c>
      <c r="J382" s="815"/>
      <c r="K382" s="814"/>
      <c r="L382" s="704"/>
      <c r="M382" s="814"/>
      <c r="N382" s="814"/>
      <c r="O382" s="704"/>
      <c r="P382" s="815"/>
      <c r="Q382" s="814"/>
      <c r="R382" s="831"/>
      <c r="S382" s="817"/>
      <c r="T382" s="817"/>
    </row>
    <row r="383" spans="1:20" s="818" customFormat="1" ht="12.75">
      <c r="A383" s="820"/>
      <c r="B383" s="821" t="s">
        <v>620</v>
      </c>
      <c r="C383" s="822">
        <v>832000</v>
      </c>
      <c r="D383" s="823">
        <f>G383+J383+P383+M383</f>
        <v>806000</v>
      </c>
      <c r="E383" s="823">
        <f>SUM(H383+K383+N383+Q383)</f>
        <v>441001</v>
      </c>
      <c r="F383" s="760">
        <f>E383/D383*100</f>
        <v>54.71476426799008</v>
      </c>
      <c r="G383" s="822">
        <f>832000+30000-56000</f>
        <v>806000</v>
      </c>
      <c r="H383" s="823">
        <v>441001</v>
      </c>
      <c r="I383" s="796">
        <f>H383/G383*100</f>
        <v>54.71476426799008</v>
      </c>
      <c r="J383" s="824"/>
      <c r="K383" s="823"/>
      <c r="L383" s="794"/>
      <c r="M383" s="823"/>
      <c r="N383" s="823"/>
      <c r="O383" s="794"/>
      <c r="P383" s="824"/>
      <c r="Q383" s="823"/>
      <c r="R383" s="897"/>
      <c r="S383" s="817"/>
      <c r="T383" s="817"/>
    </row>
    <row r="384" spans="1:20" s="900" customFormat="1" ht="16.5" customHeight="1">
      <c r="A384" s="898">
        <v>75045</v>
      </c>
      <c r="B384" s="852" t="s">
        <v>361</v>
      </c>
      <c r="C384" s="725">
        <f>SUM(C385:C399)</f>
        <v>42500</v>
      </c>
      <c r="D384" s="712">
        <f aca="true" t="shared" si="46" ref="D384:E463">G384+J384+P384+M384</f>
        <v>41432</v>
      </c>
      <c r="E384" s="712">
        <f>H384+K384+Q384+N384</f>
        <v>38432</v>
      </c>
      <c r="F384" s="713">
        <f t="shared" si="44"/>
        <v>92.75921992662676</v>
      </c>
      <c r="G384" s="725"/>
      <c r="H384" s="712"/>
      <c r="I384" s="762"/>
      <c r="J384" s="717"/>
      <c r="K384" s="712"/>
      <c r="L384" s="718"/>
      <c r="M384" s="712">
        <f>SUM(M385:M399)</f>
        <v>3000</v>
      </c>
      <c r="N384" s="712">
        <f>SUM(N385:N399)</f>
        <v>0</v>
      </c>
      <c r="O384" s="876">
        <f>N384/M384*100</f>
        <v>0</v>
      </c>
      <c r="P384" s="717">
        <f>SUM(P385:P399)</f>
        <v>38432</v>
      </c>
      <c r="Q384" s="712">
        <f>SUM(Q385:Q399)</f>
        <v>38432</v>
      </c>
      <c r="R384" s="741">
        <f aca="true" t="shared" si="47" ref="R384:R395">Q384/P384*100</f>
        <v>100</v>
      </c>
      <c r="S384" s="899"/>
      <c r="T384" s="899"/>
    </row>
    <row r="385" spans="1:20" s="900" customFormat="1" ht="24" customHeight="1" hidden="1">
      <c r="A385" s="901">
        <v>3030</v>
      </c>
      <c r="B385" s="768" t="s">
        <v>199</v>
      </c>
      <c r="C385" s="720"/>
      <c r="D385" s="698">
        <f t="shared" si="46"/>
        <v>0</v>
      </c>
      <c r="E385" s="698">
        <f t="shared" si="43"/>
        <v>0</v>
      </c>
      <c r="F385" s="699"/>
      <c r="G385" s="776"/>
      <c r="H385" s="777"/>
      <c r="I385" s="766"/>
      <c r="J385" s="778"/>
      <c r="K385" s="777"/>
      <c r="L385" s="779"/>
      <c r="M385" s="777"/>
      <c r="N385" s="777"/>
      <c r="O385" s="766"/>
      <c r="P385" s="810"/>
      <c r="Q385" s="698"/>
      <c r="R385" s="744"/>
      <c r="S385" s="899"/>
      <c r="T385" s="899"/>
    </row>
    <row r="386" spans="1:20" s="900" customFormat="1" ht="23.25" customHeight="1">
      <c r="A386" s="901">
        <v>4010</v>
      </c>
      <c r="B386" s="768" t="s">
        <v>201</v>
      </c>
      <c r="C386" s="720">
        <v>10000</v>
      </c>
      <c r="D386" s="698">
        <f t="shared" si="46"/>
        <v>11002</v>
      </c>
      <c r="E386" s="698">
        <f t="shared" si="43"/>
        <v>11002</v>
      </c>
      <c r="F386" s="699">
        <f aca="true" t="shared" si="48" ref="F386:F448">E386/D386*100</f>
        <v>100</v>
      </c>
      <c r="G386" s="720"/>
      <c r="H386" s="698"/>
      <c r="I386" s="766"/>
      <c r="J386" s="703"/>
      <c r="K386" s="698"/>
      <c r="L386" s="704"/>
      <c r="M386" s="698"/>
      <c r="N386" s="698"/>
      <c r="O386" s="766"/>
      <c r="P386" s="810">
        <f>10000+1200-198</f>
        <v>11002</v>
      </c>
      <c r="Q386" s="698">
        <f>11002-1+1</f>
        <v>11002</v>
      </c>
      <c r="R386" s="744">
        <f t="shared" si="47"/>
        <v>100</v>
      </c>
      <c r="S386" s="899"/>
      <c r="T386" s="899"/>
    </row>
    <row r="387" spans="1:20" s="900" customFormat="1" ht="24" customHeight="1">
      <c r="A387" s="901">
        <v>4110</v>
      </c>
      <c r="B387" s="768" t="s">
        <v>207</v>
      </c>
      <c r="C387" s="720">
        <v>1700</v>
      </c>
      <c r="D387" s="698">
        <f t="shared" si="46"/>
        <v>1671</v>
      </c>
      <c r="E387" s="698">
        <f t="shared" si="43"/>
        <v>1671</v>
      </c>
      <c r="F387" s="699">
        <f t="shared" si="48"/>
        <v>100</v>
      </c>
      <c r="G387" s="720"/>
      <c r="H387" s="698"/>
      <c r="I387" s="766"/>
      <c r="J387" s="703"/>
      <c r="K387" s="698"/>
      <c r="L387" s="704"/>
      <c r="M387" s="698"/>
      <c r="N387" s="698"/>
      <c r="O387" s="766"/>
      <c r="P387" s="810">
        <f>1700+100-128-1</f>
        <v>1671</v>
      </c>
      <c r="Q387" s="698">
        <v>1671</v>
      </c>
      <c r="R387" s="744">
        <f t="shared" si="47"/>
        <v>100</v>
      </c>
      <c r="S387" s="899"/>
      <c r="T387" s="899"/>
    </row>
    <row r="388" spans="1:20" s="900" customFormat="1" ht="12" customHeight="1">
      <c r="A388" s="901">
        <v>4120</v>
      </c>
      <c r="B388" s="768" t="s">
        <v>588</v>
      </c>
      <c r="C388" s="720">
        <v>300</v>
      </c>
      <c r="D388" s="698">
        <f t="shared" si="46"/>
        <v>269</v>
      </c>
      <c r="E388" s="698">
        <f t="shared" si="43"/>
        <v>269</v>
      </c>
      <c r="F388" s="699">
        <f t="shared" si="48"/>
        <v>100</v>
      </c>
      <c r="G388" s="720"/>
      <c r="H388" s="698"/>
      <c r="I388" s="766"/>
      <c r="J388" s="703"/>
      <c r="K388" s="698"/>
      <c r="L388" s="704"/>
      <c r="M388" s="698"/>
      <c r="N388" s="698"/>
      <c r="O388" s="766"/>
      <c r="P388" s="810">
        <f>300+100-130-1</f>
        <v>269</v>
      </c>
      <c r="Q388" s="698">
        <f>270-1</f>
        <v>269</v>
      </c>
      <c r="R388" s="744">
        <f t="shared" si="47"/>
        <v>100</v>
      </c>
      <c r="S388" s="899"/>
      <c r="T388" s="899"/>
    </row>
    <row r="389" spans="1:20" s="900" customFormat="1" ht="24">
      <c r="A389" s="901">
        <v>4170</v>
      </c>
      <c r="B389" s="768" t="s">
        <v>242</v>
      </c>
      <c r="C389" s="720">
        <v>11000</v>
      </c>
      <c r="D389" s="698">
        <f t="shared" si="46"/>
        <v>10660</v>
      </c>
      <c r="E389" s="698">
        <f t="shared" si="43"/>
        <v>10660</v>
      </c>
      <c r="F389" s="699">
        <f t="shared" si="48"/>
        <v>100</v>
      </c>
      <c r="G389" s="720"/>
      <c r="H389" s="698"/>
      <c r="I389" s="766"/>
      <c r="J389" s="703"/>
      <c r="K389" s="698"/>
      <c r="L389" s="704"/>
      <c r="M389" s="698"/>
      <c r="N389" s="698"/>
      <c r="O389" s="745"/>
      <c r="P389" s="810">
        <f>11000-340</f>
        <v>10660</v>
      </c>
      <c r="Q389" s="698">
        <v>10660</v>
      </c>
      <c r="R389" s="744">
        <f t="shared" si="47"/>
        <v>100</v>
      </c>
      <c r="S389" s="899"/>
      <c r="T389" s="899"/>
    </row>
    <row r="390" spans="1:20" s="900" customFormat="1" ht="28.5" customHeight="1">
      <c r="A390" s="901">
        <v>4170</v>
      </c>
      <c r="B390" s="768" t="s">
        <v>412</v>
      </c>
      <c r="C390" s="720">
        <v>1000</v>
      </c>
      <c r="D390" s="698">
        <f>G390+J390+P390+M390</f>
        <v>500</v>
      </c>
      <c r="E390" s="698">
        <f>SUM(H390+K390+N390+Q390)</f>
        <v>500</v>
      </c>
      <c r="F390" s="699">
        <f>E390/D390*100</f>
        <v>100</v>
      </c>
      <c r="G390" s="720"/>
      <c r="H390" s="698"/>
      <c r="I390" s="766"/>
      <c r="J390" s="703"/>
      <c r="K390" s="698"/>
      <c r="L390" s="704"/>
      <c r="M390" s="698"/>
      <c r="N390" s="698"/>
      <c r="O390" s="702"/>
      <c r="P390" s="810">
        <f>1000-500</f>
        <v>500</v>
      </c>
      <c r="Q390" s="698">
        <v>500</v>
      </c>
      <c r="R390" s="744">
        <f t="shared" si="47"/>
        <v>100</v>
      </c>
      <c r="S390" s="899"/>
      <c r="T390" s="899"/>
    </row>
    <row r="391" spans="1:20" s="900" customFormat="1" ht="12.75">
      <c r="A391" s="901">
        <v>4190</v>
      </c>
      <c r="B391" s="768" t="s">
        <v>785</v>
      </c>
      <c r="C391" s="720"/>
      <c r="D391" s="698">
        <f>G391+J391+P391+M391</f>
        <v>1800</v>
      </c>
      <c r="E391" s="698">
        <f>SUM(H391+K391+N391+Q391)</f>
        <v>1800</v>
      </c>
      <c r="F391" s="699">
        <f>E391/D391*100</f>
        <v>100</v>
      </c>
      <c r="G391" s="720"/>
      <c r="H391" s="698"/>
      <c r="I391" s="766"/>
      <c r="J391" s="703"/>
      <c r="K391" s="698"/>
      <c r="L391" s="704"/>
      <c r="M391" s="698"/>
      <c r="N391" s="698"/>
      <c r="O391" s="702"/>
      <c r="P391" s="810">
        <v>1800</v>
      </c>
      <c r="Q391" s="698">
        <v>1800</v>
      </c>
      <c r="R391" s="744">
        <f t="shared" si="47"/>
        <v>100</v>
      </c>
      <c r="S391" s="899"/>
      <c r="T391" s="899"/>
    </row>
    <row r="392" spans="1:20" s="900" customFormat="1" ht="25.5" customHeight="1">
      <c r="A392" s="901">
        <v>4210</v>
      </c>
      <c r="B392" s="768" t="s">
        <v>211</v>
      </c>
      <c r="C392" s="720">
        <v>6000</v>
      </c>
      <c r="D392" s="698">
        <f t="shared" si="46"/>
        <v>2551</v>
      </c>
      <c r="E392" s="698">
        <f t="shared" si="43"/>
        <v>2551</v>
      </c>
      <c r="F392" s="699">
        <f t="shared" si="48"/>
        <v>100</v>
      </c>
      <c r="G392" s="720"/>
      <c r="H392" s="698"/>
      <c r="I392" s="766"/>
      <c r="J392" s="703"/>
      <c r="K392" s="698"/>
      <c r="L392" s="704"/>
      <c r="M392" s="698"/>
      <c r="N392" s="698"/>
      <c r="O392" s="702"/>
      <c r="P392" s="810">
        <f>6000-1000-1400-1000-49</f>
        <v>2551</v>
      </c>
      <c r="Q392" s="698">
        <v>2551</v>
      </c>
      <c r="R392" s="744">
        <f t="shared" si="47"/>
        <v>100</v>
      </c>
      <c r="S392" s="899"/>
      <c r="T392" s="899"/>
    </row>
    <row r="393" spans="1:20" s="900" customFormat="1" ht="16.5" customHeight="1" hidden="1">
      <c r="A393" s="901">
        <v>4270</v>
      </c>
      <c r="B393" s="768" t="s">
        <v>217</v>
      </c>
      <c r="C393" s="720"/>
      <c r="D393" s="698">
        <f t="shared" si="46"/>
        <v>0</v>
      </c>
      <c r="E393" s="698">
        <f t="shared" si="43"/>
        <v>0</v>
      </c>
      <c r="F393" s="699" t="e">
        <f t="shared" si="48"/>
        <v>#DIV/0!</v>
      </c>
      <c r="G393" s="720"/>
      <c r="H393" s="698"/>
      <c r="I393" s="766"/>
      <c r="J393" s="703"/>
      <c r="K393" s="698"/>
      <c r="L393" s="704"/>
      <c r="M393" s="698"/>
      <c r="N393" s="698"/>
      <c r="O393" s="702" t="e">
        <f>N393/M393*100</f>
        <v>#DIV/0!</v>
      </c>
      <c r="P393" s="810"/>
      <c r="Q393" s="698"/>
      <c r="R393" s="744" t="e">
        <f t="shared" si="47"/>
        <v>#DIV/0!</v>
      </c>
      <c r="S393" s="899"/>
      <c r="T393" s="899"/>
    </row>
    <row r="394" spans="1:20" s="900" customFormat="1" ht="27" customHeight="1">
      <c r="A394" s="901">
        <v>4300</v>
      </c>
      <c r="B394" s="768" t="s">
        <v>413</v>
      </c>
      <c r="C394" s="720">
        <v>4500</v>
      </c>
      <c r="D394" s="698">
        <f t="shared" si="46"/>
        <v>3934</v>
      </c>
      <c r="E394" s="698">
        <f t="shared" si="43"/>
        <v>3934</v>
      </c>
      <c r="F394" s="699">
        <f t="shared" si="48"/>
        <v>100</v>
      </c>
      <c r="G394" s="720"/>
      <c r="H394" s="698"/>
      <c r="I394" s="766"/>
      <c r="J394" s="703"/>
      <c r="K394" s="698"/>
      <c r="L394" s="704"/>
      <c r="M394" s="698"/>
      <c r="N394" s="698"/>
      <c r="O394" s="702"/>
      <c r="P394" s="810">
        <f>4500-566</f>
        <v>3934</v>
      </c>
      <c r="Q394" s="698">
        <v>3934</v>
      </c>
      <c r="R394" s="744">
        <f t="shared" si="47"/>
        <v>100</v>
      </c>
      <c r="S394" s="899"/>
      <c r="T394" s="899"/>
    </row>
    <row r="395" spans="1:20" s="900" customFormat="1" ht="16.5" customHeight="1">
      <c r="A395" s="901">
        <v>4300</v>
      </c>
      <c r="B395" s="768" t="s">
        <v>236</v>
      </c>
      <c r="C395" s="720">
        <v>8000</v>
      </c>
      <c r="D395" s="698">
        <f t="shared" si="46"/>
        <v>9045</v>
      </c>
      <c r="E395" s="698">
        <f t="shared" si="43"/>
        <v>6045</v>
      </c>
      <c r="F395" s="699">
        <f t="shared" si="48"/>
        <v>66.83250414593698</v>
      </c>
      <c r="G395" s="720"/>
      <c r="H395" s="698"/>
      <c r="I395" s="766"/>
      <c r="J395" s="703"/>
      <c r="K395" s="703"/>
      <c r="L395" s="704"/>
      <c r="M395" s="698">
        <v>3000</v>
      </c>
      <c r="N395" s="698"/>
      <c r="O395" s="702">
        <f>N395/M395*100</f>
        <v>0</v>
      </c>
      <c r="P395" s="879">
        <f>5000+1000-800+845</f>
        <v>6045</v>
      </c>
      <c r="Q395" s="698">
        <v>6045</v>
      </c>
      <c r="R395" s="744">
        <f t="shared" si="47"/>
        <v>100</v>
      </c>
      <c r="S395" s="899"/>
      <c r="T395" s="899"/>
    </row>
    <row r="396" spans="1:20" s="900" customFormat="1" ht="48" hidden="1">
      <c r="A396" s="901">
        <v>4370</v>
      </c>
      <c r="B396" s="828" t="s">
        <v>635</v>
      </c>
      <c r="C396" s="720"/>
      <c r="D396" s="698">
        <f>G396+J396+P396+M396</f>
        <v>0</v>
      </c>
      <c r="E396" s="698">
        <f>SUM(H396+K396+N396+Q396)</f>
        <v>0</v>
      </c>
      <c r="F396" s="699" t="e">
        <f>E396/D396*100</f>
        <v>#DIV/0!</v>
      </c>
      <c r="G396" s="720"/>
      <c r="H396" s="698"/>
      <c r="I396" s="766"/>
      <c r="J396" s="703"/>
      <c r="K396" s="703"/>
      <c r="L396" s="704"/>
      <c r="M396" s="698"/>
      <c r="N396" s="698"/>
      <c r="O396" s="702"/>
      <c r="P396" s="879"/>
      <c r="Q396" s="698"/>
      <c r="R396" s="702"/>
      <c r="S396" s="899"/>
      <c r="T396" s="899"/>
    </row>
    <row r="397" spans="1:20" s="900" customFormat="1" ht="60" hidden="1">
      <c r="A397" s="764">
        <v>4740</v>
      </c>
      <c r="B397" s="828" t="s">
        <v>235</v>
      </c>
      <c r="C397" s="720"/>
      <c r="D397" s="698">
        <f>G397+J397+P397+M397</f>
        <v>0</v>
      </c>
      <c r="E397" s="698">
        <f>SUM(H397+K397+N397+Q397)</f>
        <v>0</v>
      </c>
      <c r="F397" s="699" t="e">
        <f>E397/D397*100</f>
        <v>#DIV/0!</v>
      </c>
      <c r="G397" s="720"/>
      <c r="H397" s="698"/>
      <c r="I397" s="766"/>
      <c r="J397" s="703"/>
      <c r="K397" s="703"/>
      <c r="L397" s="704"/>
      <c r="M397" s="698"/>
      <c r="N397" s="698"/>
      <c r="O397" s="702"/>
      <c r="P397" s="879"/>
      <c r="Q397" s="698"/>
      <c r="R397" s="744"/>
      <c r="S397" s="899"/>
      <c r="T397" s="899"/>
    </row>
    <row r="398" spans="1:20" s="900" customFormat="1" ht="36" hidden="1">
      <c r="A398" s="764">
        <v>4750</v>
      </c>
      <c r="B398" s="828" t="s">
        <v>551</v>
      </c>
      <c r="C398" s="720"/>
      <c r="D398" s="698">
        <f>G398+J398+P398+M398</f>
        <v>0</v>
      </c>
      <c r="E398" s="698">
        <f>SUM(H398+K398+N398+Q398)</f>
        <v>0</v>
      </c>
      <c r="F398" s="699" t="e">
        <f>E398/D398*100</f>
        <v>#DIV/0!</v>
      </c>
      <c r="G398" s="720"/>
      <c r="H398" s="698"/>
      <c r="I398" s="766"/>
      <c r="J398" s="703"/>
      <c r="K398" s="703"/>
      <c r="L398" s="704"/>
      <c r="M398" s="698"/>
      <c r="N398" s="698"/>
      <c r="O398" s="702"/>
      <c r="P398" s="879"/>
      <c r="Q398" s="698"/>
      <c r="R398" s="744"/>
      <c r="S398" s="899"/>
      <c r="T398" s="899"/>
    </row>
    <row r="399" spans="1:20" s="900" customFormat="1" ht="14.25" customHeight="1" hidden="1">
      <c r="A399" s="902">
        <v>4410</v>
      </c>
      <c r="B399" s="804" t="s">
        <v>193</v>
      </c>
      <c r="C399" s="791"/>
      <c r="D399" s="698">
        <f>G399+J399+P399+M399</f>
        <v>0</v>
      </c>
      <c r="E399" s="698">
        <f>SUM(H399+K399+N399+Q399)</f>
        <v>0</v>
      </c>
      <c r="F399" s="699"/>
      <c r="G399" s="791"/>
      <c r="H399" s="792"/>
      <c r="I399" s="806"/>
      <c r="J399" s="793"/>
      <c r="K399" s="793"/>
      <c r="L399" s="794"/>
      <c r="M399" s="792"/>
      <c r="N399" s="792"/>
      <c r="O399" s="796"/>
      <c r="P399" s="903"/>
      <c r="Q399" s="792"/>
      <c r="R399" s="702"/>
      <c r="S399" s="899"/>
      <c r="T399" s="899"/>
    </row>
    <row r="400" spans="1:20" s="900" customFormat="1" ht="27.75" customHeight="1">
      <c r="A400" s="898">
        <v>75075</v>
      </c>
      <c r="B400" s="852" t="s">
        <v>636</v>
      </c>
      <c r="C400" s="725">
        <f>SUM(C401:C413)+C424+C431</f>
        <v>1339000</v>
      </c>
      <c r="D400" s="712">
        <f t="shared" si="46"/>
        <v>1550843</v>
      </c>
      <c r="E400" s="712">
        <f t="shared" si="46"/>
        <v>1515027</v>
      </c>
      <c r="F400" s="713">
        <f t="shared" si="48"/>
        <v>97.69054636736278</v>
      </c>
      <c r="G400" s="725">
        <f>SUM(G401:G413)+G424+G431</f>
        <v>1550843</v>
      </c>
      <c r="H400" s="712">
        <f>SUM(H401:H413)+H424+H431</f>
        <v>1515027</v>
      </c>
      <c r="I400" s="719">
        <f aca="true" t="shared" si="49" ref="I400:I462">H400/G400*100</f>
        <v>97.69054636736278</v>
      </c>
      <c r="J400" s="717"/>
      <c r="K400" s="717"/>
      <c r="L400" s="719"/>
      <c r="M400" s="712"/>
      <c r="N400" s="712"/>
      <c r="O400" s="801"/>
      <c r="P400" s="712"/>
      <c r="Q400" s="712"/>
      <c r="R400" s="799"/>
      <c r="S400" s="899"/>
      <c r="T400" s="899"/>
    </row>
    <row r="401" spans="1:20" s="649" customFormat="1" ht="84" hidden="1">
      <c r="A401" s="901">
        <v>2820</v>
      </c>
      <c r="B401" s="768" t="s">
        <v>637</v>
      </c>
      <c r="C401" s="723"/>
      <c r="D401" s="732">
        <f t="shared" si="46"/>
        <v>0</v>
      </c>
      <c r="E401" s="732">
        <f t="shared" si="46"/>
        <v>0</v>
      </c>
      <c r="F401" s="699" t="e">
        <f t="shared" si="48"/>
        <v>#DIV/0!</v>
      </c>
      <c r="G401" s="723"/>
      <c r="H401" s="732"/>
      <c r="I401" s="702" t="e">
        <f t="shared" si="49"/>
        <v>#DIV/0!</v>
      </c>
      <c r="J401" s="735"/>
      <c r="K401" s="735"/>
      <c r="L401" s="707"/>
      <c r="M401" s="732"/>
      <c r="N401" s="732"/>
      <c r="O401" s="803"/>
      <c r="P401" s="732"/>
      <c r="Q401" s="732"/>
      <c r="R401" s="707"/>
      <c r="S401" s="648"/>
      <c r="T401" s="648"/>
    </row>
    <row r="402" spans="1:20" s="649" customFormat="1" ht="24">
      <c r="A402" s="901">
        <v>4170</v>
      </c>
      <c r="B402" s="768" t="s">
        <v>638</v>
      </c>
      <c r="C402" s="720">
        <v>2000</v>
      </c>
      <c r="D402" s="698">
        <f>G402+J402+P402+M402</f>
        <v>2800</v>
      </c>
      <c r="E402" s="698">
        <f>H402+K402+Q402+N402</f>
        <v>2730</v>
      </c>
      <c r="F402" s="699">
        <f>E402/D402*100</f>
        <v>97.5</v>
      </c>
      <c r="G402" s="720">
        <f>2000+800</f>
        <v>2800</v>
      </c>
      <c r="H402" s="698">
        <v>2730</v>
      </c>
      <c r="I402" s="702">
        <f t="shared" si="49"/>
        <v>97.5</v>
      </c>
      <c r="J402" s="703"/>
      <c r="K402" s="703"/>
      <c r="L402" s="702"/>
      <c r="M402" s="698"/>
      <c r="N402" s="698"/>
      <c r="O402" s="766"/>
      <c r="P402" s="698"/>
      <c r="Q402" s="698"/>
      <c r="R402" s="702"/>
      <c r="S402" s="648"/>
      <c r="T402" s="648"/>
    </row>
    <row r="403" spans="1:20" s="649" customFormat="1" ht="24" customHeight="1">
      <c r="A403" s="901">
        <v>4210</v>
      </c>
      <c r="B403" s="768" t="s">
        <v>639</v>
      </c>
      <c r="C403" s="720">
        <v>34000</v>
      </c>
      <c r="D403" s="698">
        <f>G403+J403+P403+M403</f>
        <v>51400</v>
      </c>
      <c r="E403" s="698">
        <f>H403+K403+Q403+N403</f>
        <v>47276</v>
      </c>
      <c r="F403" s="699">
        <f>E403/D403*100</f>
        <v>91.97665369649806</v>
      </c>
      <c r="G403" s="720">
        <f>34000+10000+11000-7600+4000</f>
        <v>51400</v>
      </c>
      <c r="H403" s="698">
        <v>47276</v>
      </c>
      <c r="I403" s="702">
        <f t="shared" si="49"/>
        <v>91.97665369649806</v>
      </c>
      <c r="J403" s="703"/>
      <c r="K403" s="703"/>
      <c r="L403" s="702"/>
      <c r="M403" s="698"/>
      <c r="N403" s="698"/>
      <c r="O403" s="766"/>
      <c r="P403" s="698"/>
      <c r="Q403" s="698"/>
      <c r="R403" s="702"/>
      <c r="S403" s="648"/>
      <c r="T403" s="648"/>
    </row>
    <row r="404" spans="1:20" s="649" customFormat="1" ht="24" customHeight="1">
      <c r="A404" s="901">
        <v>4210</v>
      </c>
      <c r="B404" s="768" t="s">
        <v>640</v>
      </c>
      <c r="C404" s="720">
        <v>8000</v>
      </c>
      <c r="D404" s="698">
        <f>G404+J404+P404+M404</f>
        <v>8000</v>
      </c>
      <c r="E404" s="698">
        <f t="shared" si="46"/>
        <v>5127</v>
      </c>
      <c r="F404" s="699">
        <f>E404/D404*100</f>
        <v>64.08749999999999</v>
      </c>
      <c r="G404" s="720">
        <v>8000</v>
      </c>
      <c r="H404" s="698">
        <v>5127</v>
      </c>
      <c r="I404" s="702">
        <f t="shared" si="49"/>
        <v>64.08749999999999</v>
      </c>
      <c r="J404" s="703"/>
      <c r="K404" s="703"/>
      <c r="L404" s="702"/>
      <c r="M404" s="698"/>
      <c r="N404" s="698"/>
      <c r="O404" s="766"/>
      <c r="P404" s="698"/>
      <c r="Q404" s="698"/>
      <c r="R404" s="702"/>
      <c r="S404" s="648"/>
      <c r="T404" s="648"/>
    </row>
    <row r="405" spans="1:20" s="649" customFormat="1" ht="15.75" customHeight="1">
      <c r="A405" s="901">
        <v>4260</v>
      </c>
      <c r="B405" s="768" t="s">
        <v>313</v>
      </c>
      <c r="C405" s="720"/>
      <c r="D405" s="698">
        <f>G405+J405+P405+M405</f>
        <v>1708</v>
      </c>
      <c r="E405" s="698">
        <f>H405+K405+Q405+N405</f>
        <v>1464</v>
      </c>
      <c r="F405" s="699">
        <f>E405/D405*100</f>
        <v>85.71428571428571</v>
      </c>
      <c r="G405" s="720">
        <v>1708</v>
      </c>
      <c r="H405" s="698">
        <v>1464</v>
      </c>
      <c r="I405" s="702">
        <f t="shared" si="49"/>
        <v>85.71428571428571</v>
      </c>
      <c r="J405" s="703"/>
      <c r="K405" s="703"/>
      <c r="L405" s="702"/>
      <c r="M405" s="698"/>
      <c r="N405" s="698"/>
      <c r="O405" s="766"/>
      <c r="P405" s="698"/>
      <c r="Q405" s="698"/>
      <c r="R405" s="702"/>
      <c r="S405" s="648"/>
      <c r="T405" s="648"/>
    </row>
    <row r="406" spans="1:20" s="649" customFormat="1" ht="24">
      <c r="A406" s="901">
        <v>4300</v>
      </c>
      <c r="B406" s="768" t="s">
        <v>642</v>
      </c>
      <c r="C406" s="720">
        <v>50000</v>
      </c>
      <c r="D406" s="698">
        <f t="shared" si="46"/>
        <v>72200</v>
      </c>
      <c r="E406" s="698">
        <f t="shared" si="46"/>
        <v>70598</v>
      </c>
      <c r="F406" s="699">
        <f t="shared" si="48"/>
        <v>97.78116343490305</v>
      </c>
      <c r="G406" s="720">
        <f>50000+23000-800</f>
        <v>72200</v>
      </c>
      <c r="H406" s="698">
        <v>70598</v>
      </c>
      <c r="I406" s="702">
        <f t="shared" si="49"/>
        <v>97.78116343490305</v>
      </c>
      <c r="J406" s="703"/>
      <c r="K406" s="698"/>
      <c r="L406" s="702"/>
      <c r="M406" s="698"/>
      <c r="N406" s="698"/>
      <c r="O406" s="766"/>
      <c r="P406" s="698"/>
      <c r="Q406" s="698"/>
      <c r="R406" s="702"/>
      <c r="S406" s="648"/>
      <c r="T406" s="648"/>
    </row>
    <row r="407" spans="1:20" s="649" customFormat="1" ht="24">
      <c r="A407" s="901">
        <v>4300</v>
      </c>
      <c r="B407" s="768" t="s">
        <v>314</v>
      </c>
      <c r="C407" s="720">
        <v>40000</v>
      </c>
      <c r="D407" s="698">
        <f>G407+J407+P407+M407</f>
        <v>40000</v>
      </c>
      <c r="E407" s="698">
        <f>H407+K407+Q407+N407</f>
        <v>39675</v>
      </c>
      <c r="F407" s="699">
        <f>E407/D407*100</f>
        <v>99.1875</v>
      </c>
      <c r="G407" s="720">
        <f>40000</f>
        <v>40000</v>
      </c>
      <c r="H407" s="698">
        <v>39675</v>
      </c>
      <c r="I407" s="702">
        <f t="shared" si="49"/>
        <v>99.1875</v>
      </c>
      <c r="J407" s="703"/>
      <c r="K407" s="698"/>
      <c r="L407" s="702"/>
      <c r="M407" s="698"/>
      <c r="N407" s="698"/>
      <c r="O407" s="766"/>
      <c r="P407" s="698"/>
      <c r="Q407" s="698"/>
      <c r="R407" s="702"/>
      <c r="S407" s="648"/>
      <c r="T407" s="648"/>
    </row>
    <row r="408" spans="1:20" s="649" customFormat="1" ht="24">
      <c r="A408" s="901">
        <v>4300</v>
      </c>
      <c r="B408" s="768" t="s">
        <v>641</v>
      </c>
      <c r="C408" s="720">
        <v>400000</v>
      </c>
      <c r="D408" s="698">
        <f>G408+J408+P408+M408</f>
        <v>446918</v>
      </c>
      <c r="E408" s="698">
        <f t="shared" si="46"/>
        <v>441470</v>
      </c>
      <c r="F408" s="699">
        <f>E408/D408*100</f>
        <v>98.78098443114844</v>
      </c>
      <c r="G408" s="720">
        <f>400000-18882-2000+25600+12000+5000+3200+17000+5000</f>
        <v>446918</v>
      </c>
      <c r="H408" s="698">
        <v>441470</v>
      </c>
      <c r="I408" s="702">
        <f t="shared" si="49"/>
        <v>98.78098443114844</v>
      </c>
      <c r="J408" s="703"/>
      <c r="K408" s="698"/>
      <c r="L408" s="702"/>
      <c r="M408" s="698"/>
      <c r="N408" s="698"/>
      <c r="O408" s="766"/>
      <c r="P408" s="698"/>
      <c r="Q408" s="698"/>
      <c r="R408" s="702"/>
      <c r="S408" s="648"/>
      <c r="T408" s="648"/>
    </row>
    <row r="409" spans="1:20" s="900" customFormat="1" ht="24">
      <c r="A409" s="901">
        <v>4300</v>
      </c>
      <c r="B409" s="768" t="s">
        <v>643</v>
      </c>
      <c r="C409" s="720">
        <v>770000</v>
      </c>
      <c r="D409" s="698">
        <f t="shared" si="46"/>
        <v>840000</v>
      </c>
      <c r="E409" s="698">
        <f t="shared" si="46"/>
        <v>835719</v>
      </c>
      <c r="F409" s="699">
        <f t="shared" si="48"/>
        <v>99.49035714285715</v>
      </c>
      <c r="G409" s="720">
        <f>770000+70000</f>
        <v>840000</v>
      </c>
      <c r="H409" s="698">
        <v>835719</v>
      </c>
      <c r="I409" s="744">
        <f t="shared" si="49"/>
        <v>99.49035714285715</v>
      </c>
      <c r="J409" s="703"/>
      <c r="K409" s="698"/>
      <c r="L409" s="702"/>
      <c r="M409" s="698"/>
      <c r="N409" s="698"/>
      <c r="O409" s="766"/>
      <c r="P409" s="698"/>
      <c r="Q409" s="698"/>
      <c r="R409" s="702"/>
      <c r="S409" s="899"/>
      <c r="T409" s="899"/>
    </row>
    <row r="410" spans="1:20" s="900" customFormat="1" ht="25.5" customHeight="1">
      <c r="A410" s="764">
        <v>4400</v>
      </c>
      <c r="B410" s="828" t="s">
        <v>547</v>
      </c>
      <c r="C410" s="720"/>
      <c r="D410" s="698">
        <f t="shared" si="46"/>
        <v>7174</v>
      </c>
      <c r="E410" s="698">
        <f t="shared" si="46"/>
        <v>7174</v>
      </c>
      <c r="F410" s="699">
        <f t="shared" si="48"/>
        <v>100</v>
      </c>
      <c r="G410" s="720">
        <v>7174</v>
      </c>
      <c r="H410" s="698">
        <v>7174</v>
      </c>
      <c r="I410" s="744">
        <f t="shared" si="49"/>
        <v>100</v>
      </c>
      <c r="J410" s="703"/>
      <c r="K410" s="698"/>
      <c r="L410" s="702"/>
      <c r="M410" s="698"/>
      <c r="N410" s="698"/>
      <c r="O410" s="766"/>
      <c r="P410" s="698"/>
      <c r="Q410" s="698"/>
      <c r="R410" s="702"/>
      <c r="S410" s="899"/>
      <c r="T410" s="899"/>
    </row>
    <row r="411" spans="1:20" s="649" customFormat="1" ht="24">
      <c r="A411" s="901">
        <v>4350</v>
      </c>
      <c r="B411" s="768" t="s">
        <v>644</v>
      </c>
      <c r="C411" s="720">
        <v>35000</v>
      </c>
      <c r="D411" s="698">
        <f t="shared" si="46"/>
        <v>6000</v>
      </c>
      <c r="E411" s="698">
        <f t="shared" si="46"/>
        <v>5978</v>
      </c>
      <c r="F411" s="699">
        <f t="shared" si="48"/>
        <v>99.63333333333333</v>
      </c>
      <c r="G411" s="720">
        <f>35000-9000-18000-2000</f>
        <v>6000</v>
      </c>
      <c r="H411" s="698">
        <v>5978</v>
      </c>
      <c r="I411" s="702">
        <f t="shared" si="49"/>
        <v>99.63333333333333</v>
      </c>
      <c r="J411" s="703"/>
      <c r="K411" s="698"/>
      <c r="L411" s="702"/>
      <c r="M411" s="698"/>
      <c r="N411" s="698"/>
      <c r="O411" s="766"/>
      <c r="P411" s="698"/>
      <c r="Q411" s="698"/>
      <c r="R411" s="702"/>
      <c r="S411" s="648"/>
      <c r="T411" s="648"/>
    </row>
    <row r="412" spans="1:20" s="649" customFormat="1" ht="48" hidden="1">
      <c r="A412" s="901">
        <v>6060</v>
      </c>
      <c r="B412" s="768" t="s">
        <v>593</v>
      </c>
      <c r="C412" s="720"/>
      <c r="D412" s="698">
        <f>G412+J412+P412+M412</f>
        <v>0</v>
      </c>
      <c r="E412" s="698">
        <f>H412+K412+Q412+N412</f>
        <v>0</v>
      </c>
      <c r="F412" s="699" t="e">
        <f>E412/D412*100</f>
        <v>#DIV/0!</v>
      </c>
      <c r="G412" s="720"/>
      <c r="H412" s="698"/>
      <c r="I412" s="702" t="e">
        <f t="shared" si="49"/>
        <v>#DIV/0!</v>
      </c>
      <c r="J412" s="703"/>
      <c r="K412" s="698"/>
      <c r="L412" s="702"/>
      <c r="M412" s="698"/>
      <c r="N412" s="698"/>
      <c r="O412" s="766"/>
      <c r="P412" s="698"/>
      <c r="Q412" s="698"/>
      <c r="R412" s="702"/>
      <c r="S412" s="648"/>
      <c r="T412" s="648"/>
    </row>
    <row r="413" spans="1:20" s="900" customFormat="1" ht="60">
      <c r="A413" s="904"/>
      <c r="B413" s="848" t="s">
        <v>414</v>
      </c>
      <c r="C413" s="776">
        <f>SUM(C414:C423)</f>
        <v>0</v>
      </c>
      <c r="D413" s="777">
        <f t="shared" si="46"/>
        <v>74643</v>
      </c>
      <c r="E413" s="777">
        <f t="shared" si="46"/>
        <v>57816</v>
      </c>
      <c r="F413" s="699">
        <f t="shared" si="48"/>
        <v>77.45669386278686</v>
      </c>
      <c r="G413" s="776">
        <f>SUM(G414:G423)</f>
        <v>74643</v>
      </c>
      <c r="H413" s="905">
        <f>SUM(H414:H423)</f>
        <v>57816</v>
      </c>
      <c r="I413" s="744">
        <f t="shared" si="49"/>
        <v>77.45669386278686</v>
      </c>
      <c r="J413" s="778"/>
      <c r="K413" s="777"/>
      <c r="L413" s="782"/>
      <c r="M413" s="777"/>
      <c r="N413" s="777"/>
      <c r="O413" s="906"/>
      <c r="P413" s="777"/>
      <c r="Q413" s="777"/>
      <c r="R413" s="907"/>
      <c r="S413" s="899"/>
      <c r="T413" s="899"/>
    </row>
    <row r="414" spans="1:20" s="900" customFormat="1" ht="27" customHeight="1">
      <c r="A414" s="901">
        <v>4110</v>
      </c>
      <c r="B414" s="768" t="s">
        <v>281</v>
      </c>
      <c r="C414" s="720"/>
      <c r="D414" s="698">
        <f t="shared" si="46"/>
        <v>1431</v>
      </c>
      <c r="E414" s="698">
        <f t="shared" si="46"/>
        <v>1290</v>
      </c>
      <c r="F414" s="699">
        <f t="shared" si="48"/>
        <v>90.14675052410901</v>
      </c>
      <c r="G414" s="720">
        <v>1431</v>
      </c>
      <c r="H414" s="698">
        <v>1290</v>
      </c>
      <c r="I414" s="744">
        <f t="shared" si="49"/>
        <v>90.14675052410901</v>
      </c>
      <c r="J414" s="703"/>
      <c r="K414" s="698"/>
      <c r="L414" s="702"/>
      <c r="M414" s="698"/>
      <c r="N414" s="698"/>
      <c r="O414" s="766"/>
      <c r="P414" s="698"/>
      <c r="Q414" s="698"/>
      <c r="R414" s="702"/>
      <c r="S414" s="899"/>
      <c r="T414" s="899"/>
    </row>
    <row r="415" spans="1:20" s="900" customFormat="1" ht="12.75">
      <c r="A415" s="901">
        <v>4120</v>
      </c>
      <c r="B415" s="768" t="s">
        <v>584</v>
      </c>
      <c r="C415" s="720"/>
      <c r="D415" s="698">
        <f t="shared" si="46"/>
        <v>221</v>
      </c>
      <c r="E415" s="698">
        <f t="shared" si="46"/>
        <v>208</v>
      </c>
      <c r="F415" s="699">
        <f t="shared" si="48"/>
        <v>94.11764705882352</v>
      </c>
      <c r="G415" s="720">
        <v>221</v>
      </c>
      <c r="H415" s="698">
        <v>208</v>
      </c>
      <c r="I415" s="744">
        <f t="shared" si="49"/>
        <v>94.11764705882352</v>
      </c>
      <c r="J415" s="703"/>
      <c r="K415" s="698"/>
      <c r="L415" s="702"/>
      <c r="M415" s="698"/>
      <c r="N415" s="698"/>
      <c r="O415" s="766"/>
      <c r="P415" s="698"/>
      <c r="Q415" s="698"/>
      <c r="R415" s="702"/>
      <c r="S415" s="899"/>
      <c r="T415" s="899"/>
    </row>
    <row r="416" spans="1:20" s="900" customFormat="1" ht="24">
      <c r="A416" s="901">
        <v>4178</v>
      </c>
      <c r="B416" s="768" t="s">
        <v>645</v>
      </c>
      <c r="C416" s="720"/>
      <c r="D416" s="698">
        <f t="shared" si="46"/>
        <v>7650</v>
      </c>
      <c r="E416" s="698">
        <f t="shared" si="46"/>
        <v>7219</v>
      </c>
      <c r="F416" s="699">
        <f t="shared" si="48"/>
        <v>94.36601307189542</v>
      </c>
      <c r="G416" s="720">
        <v>7650</v>
      </c>
      <c r="H416" s="698">
        <v>7219</v>
      </c>
      <c r="I416" s="744">
        <f t="shared" si="49"/>
        <v>94.36601307189542</v>
      </c>
      <c r="J416" s="703"/>
      <c r="K416" s="698"/>
      <c r="L416" s="702"/>
      <c r="M416" s="698"/>
      <c r="N416" s="698"/>
      <c r="O416" s="766"/>
      <c r="P416" s="698"/>
      <c r="Q416" s="698"/>
      <c r="R416" s="702"/>
      <c r="S416" s="899"/>
      <c r="T416" s="899"/>
    </row>
    <row r="417" spans="1:20" s="900" customFormat="1" ht="24">
      <c r="A417" s="901">
        <v>4179</v>
      </c>
      <c r="B417" s="768" t="s">
        <v>645</v>
      </c>
      <c r="C417" s="720"/>
      <c r="D417" s="698">
        <f t="shared" si="46"/>
        <v>1350</v>
      </c>
      <c r="E417" s="698">
        <f t="shared" si="46"/>
        <v>1274</v>
      </c>
      <c r="F417" s="699">
        <f t="shared" si="48"/>
        <v>94.37037037037037</v>
      </c>
      <c r="G417" s="720">
        <v>1350</v>
      </c>
      <c r="H417" s="698">
        <v>1274</v>
      </c>
      <c r="I417" s="744">
        <f t="shared" si="49"/>
        <v>94.37037037037037</v>
      </c>
      <c r="J417" s="703"/>
      <c r="K417" s="698"/>
      <c r="L417" s="702"/>
      <c r="M417" s="698"/>
      <c r="N417" s="698"/>
      <c r="O417" s="766"/>
      <c r="P417" s="698"/>
      <c r="Q417" s="698"/>
      <c r="R417" s="702"/>
      <c r="S417" s="899"/>
      <c r="T417" s="899"/>
    </row>
    <row r="418" spans="1:20" s="900" customFormat="1" ht="24">
      <c r="A418" s="901">
        <v>4218</v>
      </c>
      <c r="B418" s="768" t="s">
        <v>211</v>
      </c>
      <c r="C418" s="720"/>
      <c r="D418" s="698">
        <f t="shared" si="46"/>
        <v>459</v>
      </c>
      <c r="E418" s="698">
        <f>H418+K418+Q418+N418</f>
        <v>370</v>
      </c>
      <c r="F418" s="699">
        <f>E418/D418*100</f>
        <v>80.61002178649237</v>
      </c>
      <c r="G418" s="720">
        <v>459</v>
      </c>
      <c r="H418" s="698">
        <v>370</v>
      </c>
      <c r="I418" s="744">
        <f t="shared" si="49"/>
        <v>80.61002178649237</v>
      </c>
      <c r="J418" s="703"/>
      <c r="K418" s="698"/>
      <c r="L418" s="702"/>
      <c r="M418" s="698"/>
      <c r="N418" s="698"/>
      <c r="O418" s="766"/>
      <c r="P418" s="698"/>
      <c r="Q418" s="698"/>
      <c r="R418" s="702"/>
      <c r="S418" s="899"/>
      <c r="T418" s="899"/>
    </row>
    <row r="419" spans="1:20" s="900" customFormat="1" ht="24">
      <c r="A419" s="901">
        <v>4219</v>
      </c>
      <c r="B419" s="768" t="s">
        <v>211</v>
      </c>
      <c r="C419" s="720"/>
      <c r="D419" s="698">
        <f t="shared" si="46"/>
        <v>81</v>
      </c>
      <c r="E419" s="698">
        <f>H419+K419+Q419+N419</f>
        <v>65</v>
      </c>
      <c r="F419" s="699">
        <f>E419/D419*100</f>
        <v>80.24691358024691</v>
      </c>
      <c r="G419" s="720">
        <v>81</v>
      </c>
      <c r="H419" s="698">
        <v>65</v>
      </c>
      <c r="I419" s="744">
        <f t="shared" si="49"/>
        <v>80.24691358024691</v>
      </c>
      <c r="J419" s="703"/>
      <c r="K419" s="698"/>
      <c r="L419" s="702"/>
      <c r="M419" s="698"/>
      <c r="N419" s="698"/>
      <c r="O419" s="766"/>
      <c r="P419" s="698"/>
      <c r="Q419" s="698"/>
      <c r="R419" s="702"/>
      <c r="S419" s="899"/>
      <c r="T419" s="899"/>
    </row>
    <row r="420" spans="1:20" s="900" customFormat="1" ht="18" customHeight="1">
      <c r="A420" s="901">
        <v>4308</v>
      </c>
      <c r="B420" s="768" t="s">
        <v>219</v>
      </c>
      <c r="C420" s="720"/>
      <c r="D420" s="698">
        <f t="shared" si="46"/>
        <v>46283</v>
      </c>
      <c r="E420" s="698">
        <f t="shared" si="46"/>
        <v>35765</v>
      </c>
      <c r="F420" s="699">
        <f t="shared" si="48"/>
        <v>77.27459326318518</v>
      </c>
      <c r="G420" s="720">
        <v>46283</v>
      </c>
      <c r="H420" s="698">
        <v>35765</v>
      </c>
      <c r="I420" s="744">
        <f t="shared" si="49"/>
        <v>77.27459326318518</v>
      </c>
      <c r="J420" s="703"/>
      <c r="K420" s="698"/>
      <c r="L420" s="702"/>
      <c r="M420" s="698"/>
      <c r="N420" s="698"/>
      <c r="O420" s="766"/>
      <c r="P420" s="698"/>
      <c r="Q420" s="698"/>
      <c r="R420" s="702"/>
      <c r="S420" s="899"/>
      <c r="T420" s="899"/>
    </row>
    <row r="421" spans="1:20" s="900" customFormat="1" ht="17.25" customHeight="1">
      <c r="A421" s="901">
        <v>4309</v>
      </c>
      <c r="B421" s="768" t="s">
        <v>219</v>
      </c>
      <c r="C421" s="720"/>
      <c r="D421" s="698">
        <f>G421+J421+P421+M421</f>
        <v>8168</v>
      </c>
      <c r="E421" s="698">
        <f>H421+K421+Q421+N421</f>
        <v>6311</v>
      </c>
      <c r="F421" s="699">
        <f t="shared" si="48"/>
        <v>77.26493633692458</v>
      </c>
      <c r="G421" s="720">
        <v>8168</v>
      </c>
      <c r="H421" s="698">
        <v>6311</v>
      </c>
      <c r="I421" s="744">
        <f t="shared" si="49"/>
        <v>77.26493633692458</v>
      </c>
      <c r="J421" s="703"/>
      <c r="K421" s="698"/>
      <c r="L421" s="702"/>
      <c r="M421" s="698"/>
      <c r="N421" s="698"/>
      <c r="O421" s="766"/>
      <c r="P421" s="698"/>
      <c r="Q421" s="698"/>
      <c r="R421" s="702"/>
      <c r="S421" s="899"/>
      <c r="T421" s="899"/>
    </row>
    <row r="422" spans="1:20" s="900" customFormat="1" ht="27.75" customHeight="1">
      <c r="A422" s="901">
        <v>4388</v>
      </c>
      <c r="B422" s="768" t="s">
        <v>562</v>
      </c>
      <c r="C422" s="720"/>
      <c r="D422" s="698">
        <f>G422+J422+P422+M422</f>
        <v>7650</v>
      </c>
      <c r="E422" s="698">
        <f>H422+K422+Q422+N422</f>
        <v>4517</v>
      </c>
      <c r="F422" s="699">
        <f t="shared" si="48"/>
        <v>59.04575163398693</v>
      </c>
      <c r="G422" s="720">
        <v>7650</v>
      </c>
      <c r="H422" s="698">
        <v>4517</v>
      </c>
      <c r="I422" s="744">
        <f t="shared" si="49"/>
        <v>59.04575163398693</v>
      </c>
      <c r="J422" s="703"/>
      <c r="K422" s="698"/>
      <c r="L422" s="702"/>
      <c r="M422" s="698"/>
      <c r="N422" s="698"/>
      <c r="O422" s="766"/>
      <c r="P422" s="698"/>
      <c r="Q422" s="698"/>
      <c r="R422" s="702"/>
      <c r="S422" s="899"/>
      <c r="T422" s="899"/>
    </row>
    <row r="423" spans="1:20" s="900" customFormat="1" ht="27.75" customHeight="1">
      <c r="A423" s="901">
        <v>4389</v>
      </c>
      <c r="B423" s="768" t="s">
        <v>562</v>
      </c>
      <c r="C423" s="720"/>
      <c r="D423" s="698">
        <f t="shared" si="46"/>
        <v>1350</v>
      </c>
      <c r="E423" s="698">
        <f t="shared" si="46"/>
        <v>797</v>
      </c>
      <c r="F423" s="699">
        <f t="shared" si="48"/>
        <v>59.03703703703703</v>
      </c>
      <c r="G423" s="720">
        <v>1350</v>
      </c>
      <c r="H423" s="698">
        <v>797</v>
      </c>
      <c r="I423" s="744">
        <f t="shared" si="49"/>
        <v>59.03703703703703</v>
      </c>
      <c r="J423" s="703"/>
      <c r="K423" s="698"/>
      <c r="L423" s="702"/>
      <c r="M423" s="698"/>
      <c r="N423" s="698"/>
      <c r="O423" s="766"/>
      <c r="P423" s="698"/>
      <c r="Q423" s="698"/>
      <c r="R423" s="702"/>
      <c r="S423" s="899"/>
      <c r="T423" s="899"/>
    </row>
    <row r="424" spans="1:20" s="900" customFormat="1" ht="36" hidden="1">
      <c r="A424" s="774"/>
      <c r="B424" s="848" t="s">
        <v>646</v>
      </c>
      <c r="C424" s="776">
        <f>SUM(C425:C430)</f>
        <v>0</v>
      </c>
      <c r="D424" s="777">
        <f t="shared" si="46"/>
        <v>0</v>
      </c>
      <c r="E424" s="777">
        <f t="shared" si="46"/>
        <v>0</v>
      </c>
      <c r="F424" s="699" t="e">
        <f t="shared" si="48"/>
        <v>#DIV/0!</v>
      </c>
      <c r="G424" s="776">
        <f>SUM(G425:G430)</f>
        <v>0</v>
      </c>
      <c r="H424" s="777">
        <f>SUM(H425:H430)</f>
        <v>0</v>
      </c>
      <c r="I424" s="702" t="e">
        <f t="shared" si="49"/>
        <v>#DIV/0!</v>
      </c>
      <c r="J424" s="778"/>
      <c r="K424" s="777"/>
      <c r="L424" s="782"/>
      <c r="M424" s="777"/>
      <c r="N424" s="777"/>
      <c r="O424" s="906"/>
      <c r="P424" s="777"/>
      <c r="Q424" s="777"/>
      <c r="R424" s="782"/>
      <c r="S424" s="899"/>
      <c r="T424" s="899"/>
    </row>
    <row r="425" spans="1:20" s="649" customFormat="1" ht="36" hidden="1">
      <c r="A425" s="764">
        <v>4112</v>
      </c>
      <c r="B425" s="768" t="s">
        <v>207</v>
      </c>
      <c r="C425" s="720"/>
      <c r="D425" s="698">
        <f t="shared" si="46"/>
        <v>0</v>
      </c>
      <c r="E425" s="698">
        <f t="shared" si="46"/>
        <v>0</v>
      </c>
      <c r="F425" s="699" t="e">
        <f t="shared" si="48"/>
        <v>#DIV/0!</v>
      </c>
      <c r="G425" s="720"/>
      <c r="H425" s="698"/>
      <c r="I425" s="702" t="e">
        <f t="shared" si="49"/>
        <v>#DIV/0!</v>
      </c>
      <c r="J425" s="703"/>
      <c r="K425" s="698"/>
      <c r="L425" s="702"/>
      <c r="M425" s="698"/>
      <c r="N425" s="698"/>
      <c r="O425" s="766"/>
      <c r="P425" s="698"/>
      <c r="Q425" s="698"/>
      <c r="R425" s="702"/>
      <c r="S425" s="648"/>
      <c r="T425" s="648"/>
    </row>
    <row r="426" spans="1:20" s="649" customFormat="1" ht="12.75" hidden="1">
      <c r="A426" s="764">
        <v>4122</v>
      </c>
      <c r="B426" s="768" t="s">
        <v>584</v>
      </c>
      <c r="C426" s="720"/>
      <c r="D426" s="698">
        <f t="shared" si="46"/>
        <v>0</v>
      </c>
      <c r="E426" s="698">
        <f t="shared" si="46"/>
        <v>0</v>
      </c>
      <c r="F426" s="699" t="e">
        <f t="shared" si="48"/>
        <v>#DIV/0!</v>
      </c>
      <c r="G426" s="720"/>
      <c r="H426" s="698"/>
      <c r="I426" s="702" t="e">
        <f t="shared" si="49"/>
        <v>#DIV/0!</v>
      </c>
      <c r="J426" s="703"/>
      <c r="K426" s="698"/>
      <c r="L426" s="702"/>
      <c r="M426" s="698"/>
      <c r="N426" s="698"/>
      <c r="O426" s="766"/>
      <c r="P426" s="698"/>
      <c r="Q426" s="698"/>
      <c r="R426" s="702"/>
      <c r="S426" s="648"/>
      <c r="T426" s="648"/>
    </row>
    <row r="427" spans="1:20" s="649" customFormat="1" ht="24" hidden="1">
      <c r="A427" s="901">
        <v>4171</v>
      </c>
      <c r="B427" s="768" t="s">
        <v>242</v>
      </c>
      <c r="C427" s="720"/>
      <c r="D427" s="698">
        <f>G427+J427+P427+M427</f>
        <v>0</v>
      </c>
      <c r="E427" s="698">
        <f>H427+K427+Q427+N427</f>
        <v>0</v>
      </c>
      <c r="F427" s="699" t="e">
        <f>E427/D427*100</f>
        <v>#DIV/0!</v>
      </c>
      <c r="G427" s="720"/>
      <c r="H427" s="698"/>
      <c r="I427" s="702" t="e">
        <f t="shared" si="49"/>
        <v>#DIV/0!</v>
      </c>
      <c r="J427" s="703"/>
      <c r="K427" s="698"/>
      <c r="L427" s="702"/>
      <c r="M427" s="698"/>
      <c r="N427" s="698"/>
      <c r="O427" s="766"/>
      <c r="P427" s="698"/>
      <c r="Q427" s="698"/>
      <c r="R427" s="702"/>
      <c r="S427" s="648"/>
      <c r="T427" s="648"/>
    </row>
    <row r="428" spans="1:20" s="649" customFormat="1" ht="24" hidden="1">
      <c r="A428" s="901">
        <v>4172</v>
      </c>
      <c r="B428" s="768" t="s">
        <v>242</v>
      </c>
      <c r="C428" s="720"/>
      <c r="D428" s="698">
        <f>G428+J428+P428+M428</f>
        <v>0</v>
      </c>
      <c r="E428" s="698">
        <f>H428+K428+Q428+N428</f>
        <v>0</v>
      </c>
      <c r="F428" s="699" t="e">
        <f>E428/D428*100</f>
        <v>#DIV/0!</v>
      </c>
      <c r="G428" s="720"/>
      <c r="H428" s="698"/>
      <c r="I428" s="702" t="e">
        <f t="shared" si="49"/>
        <v>#DIV/0!</v>
      </c>
      <c r="J428" s="703"/>
      <c r="K428" s="698"/>
      <c r="L428" s="702"/>
      <c r="M428" s="698"/>
      <c r="N428" s="698"/>
      <c r="O428" s="766"/>
      <c r="P428" s="698"/>
      <c r="Q428" s="698"/>
      <c r="R428" s="702"/>
      <c r="S428" s="648"/>
      <c r="T428" s="648"/>
    </row>
    <row r="429" spans="1:20" s="900" customFormat="1" ht="24" hidden="1">
      <c r="A429" s="901">
        <v>4301</v>
      </c>
      <c r="B429" s="768" t="s">
        <v>219</v>
      </c>
      <c r="C429" s="720"/>
      <c r="D429" s="698">
        <f t="shared" si="46"/>
        <v>0</v>
      </c>
      <c r="E429" s="698">
        <f t="shared" si="46"/>
        <v>0</v>
      </c>
      <c r="F429" s="699" t="e">
        <f t="shared" si="48"/>
        <v>#DIV/0!</v>
      </c>
      <c r="G429" s="720"/>
      <c r="H429" s="698"/>
      <c r="I429" s="702" t="e">
        <f t="shared" si="49"/>
        <v>#DIV/0!</v>
      </c>
      <c r="J429" s="778"/>
      <c r="K429" s="777"/>
      <c r="L429" s="782"/>
      <c r="M429" s="777"/>
      <c r="N429" s="777"/>
      <c r="O429" s="906"/>
      <c r="P429" s="777"/>
      <c r="Q429" s="777"/>
      <c r="R429" s="782"/>
      <c r="S429" s="899"/>
      <c r="T429" s="899"/>
    </row>
    <row r="430" spans="1:20" s="900" customFormat="1" ht="24" hidden="1">
      <c r="A430" s="901">
        <v>4302</v>
      </c>
      <c r="B430" s="768" t="s">
        <v>219</v>
      </c>
      <c r="C430" s="720"/>
      <c r="D430" s="698">
        <f t="shared" si="46"/>
        <v>0</v>
      </c>
      <c r="E430" s="698">
        <f t="shared" si="46"/>
        <v>0</v>
      </c>
      <c r="F430" s="699" t="e">
        <f t="shared" si="48"/>
        <v>#DIV/0!</v>
      </c>
      <c r="G430" s="720"/>
      <c r="H430" s="698"/>
      <c r="I430" s="702" t="e">
        <f t="shared" si="49"/>
        <v>#DIV/0!</v>
      </c>
      <c r="J430" s="778"/>
      <c r="K430" s="777"/>
      <c r="L430" s="782"/>
      <c r="M430" s="777"/>
      <c r="N430" s="777"/>
      <c r="O430" s="906"/>
      <c r="P430" s="777"/>
      <c r="Q430" s="777"/>
      <c r="R430" s="782"/>
      <c r="S430" s="899"/>
      <c r="T430" s="899"/>
    </row>
    <row r="431" spans="1:20" s="900" customFormat="1" ht="36" hidden="1">
      <c r="A431" s="774"/>
      <c r="B431" s="848" t="s">
        <v>647</v>
      </c>
      <c r="C431" s="776">
        <f>SUM(C432:C439)</f>
        <v>0</v>
      </c>
      <c r="D431" s="777">
        <f t="shared" si="46"/>
        <v>0</v>
      </c>
      <c r="E431" s="777">
        <f t="shared" si="46"/>
        <v>0</v>
      </c>
      <c r="F431" s="699" t="e">
        <f t="shared" si="48"/>
        <v>#DIV/0!</v>
      </c>
      <c r="G431" s="776">
        <f>SUM(G432:G439)</f>
        <v>0</v>
      </c>
      <c r="H431" s="777">
        <f>SUM(H432:H439)</f>
        <v>0</v>
      </c>
      <c r="I431" s="702" t="e">
        <f t="shared" si="49"/>
        <v>#DIV/0!</v>
      </c>
      <c r="J431" s="778"/>
      <c r="K431" s="777"/>
      <c r="L431" s="782"/>
      <c r="M431" s="777"/>
      <c r="N431" s="777"/>
      <c r="O431" s="906"/>
      <c r="P431" s="777"/>
      <c r="Q431" s="777"/>
      <c r="R431" s="782"/>
      <c r="S431" s="899"/>
      <c r="T431" s="899"/>
    </row>
    <row r="432" spans="1:20" s="649" customFormat="1" ht="36" hidden="1">
      <c r="A432" s="764">
        <v>4112</v>
      </c>
      <c r="B432" s="768" t="s">
        <v>207</v>
      </c>
      <c r="C432" s="720"/>
      <c r="D432" s="698">
        <f t="shared" si="46"/>
        <v>0</v>
      </c>
      <c r="E432" s="698">
        <f t="shared" si="46"/>
        <v>0</v>
      </c>
      <c r="F432" s="699" t="e">
        <f t="shared" si="48"/>
        <v>#DIV/0!</v>
      </c>
      <c r="G432" s="720"/>
      <c r="H432" s="698"/>
      <c r="I432" s="702" t="e">
        <f t="shared" si="49"/>
        <v>#DIV/0!</v>
      </c>
      <c r="J432" s="703"/>
      <c r="K432" s="698"/>
      <c r="L432" s="702"/>
      <c r="M432" s="698"/>
      <c r="N432" s="698"/>
      <c r="O432" s="766"/>
      <c r="P432" s="698"/>
      <c r="Q432" s="698"/>
      <c r="R432" s="702"/>
      <c r="S432" s="648"/>
      <c r="T432" s="648"/>
    </row>
    <row r="433" spans="1:20" s="649" customFormat="1" ht="12.75" hidden="1">
      <c r="A433" s="764">
        <v>4122</v>
      </c>
      <c r="B433" s="768" t="s">
        <v>648</v>
      </c>
      <c r="C433" s="720"/>
      <c r="D433" s="698">
        <f t="shared" si="46"/>
        <v>0</v>
      </c>
      <c r="E433" s="698">
        <f t="shared" si="46"/>
        <v>0</v>
      </c>
      <c r="F433" s="699" t="e">
        <f>E433/D433*100</f>
        <v>#DIV/0!</v>
      </c>
      <c r="G433" s="720"/>
      <c r="H433" s="698"/>
      <c r="I433" s="702" t="e">
        <f t="shared" si="49"/>
        <v>#DIV/0!</v>
      </c>
      <c r="J433" s="703"/>
      <c r="K433" s="698"/>
      <c r="L433" s="702"/>
      <c r="M433" s="698"/>
      <c r="N433" s="698"/>
      <c r="O433" s="766"/>
      <c r="P433" s="698"/>
      <c r="Q433" s="698"/>
      <c r="R433" s="702"/>
      <c r="S433" s="648"/>
      <c r="T433" s="648"/>
    </row>
    <row r="434" spans="1:20" s="649" customFormat="1" ht="24" hidden="1">
      <c r="A434" s="901">
        <v>4171</v>
      </c>
      <c r="B434" s="768" t="s">
        <v>242</v>
      </c>
      <c r="C434" s="720"/>
      <c r="D434" s="698">
        <f t="shared" si="46"/>
        <v>0</v>
      </c>
      <c r="E434" s="698">
        <f t="shared" si="46"/>
        <v>0</v>
      </c>
      <c r="F434" s="699" t="e">
        <f>E434/D434*100</f>
        <v>#DIV/0!</v>
      </c>
      <c r="G434" s="720"/>
      <c r="H434" s="698"/>
      <c r="I434" s="702" t="e">
        <f t="shared" si="49"/>
        <v>#DIV/0!</v>
      </c>
      <c r="J434" s="703"/>
      <c r="K434" s="698"/>
      <c r="L434" s="702"/>
      <c r="M434" s="698"/>
      <c r="N434" s="698"/>
      <c r="O434" s="766"/>
      <c r="P434" s="698"/>
      <c r="Q434" s="698"/>
      <c r="R434" s="702"/>
      <c r="S434" s="648"/>
      <c r="T434" s="648"/>
    </row>
    <row r="435" spans="1:20" s="649" customFormat="1" ht="24" hidden="1">
      <c r="A435" s="901">
        <v>4172</v>
      </c>
      <c r="B435" s="768" t="s">
        <v>242</v>
      </c>
      <c r="C435" s="720"/>
      <c r="D435" s="698">
        <f t="shared" si="46"/>
        <v>0</v>
      </c>
      <c r="E435" s="698">
        <f t="shared" si="46"/>
        <v>0</v>
      </c>
      <c r="F435" s="699" t="e">
        <f>E435/D435*100</f>
        <v>#DIV/0!</v>
      </c>
      <c r="G435" s="720"/>
      <c r="H435" s="698"/>
      <c r="I435" s="702" t="e">
        <f t="shared" si="49"/>
        <v>#DIV/0!</v>
      </c>
      <c r="J435" s="703"/>
      <c r="K435" s="698"/>
      <c r="L435" s="702"/>
      <c r="M435" s="698"/>
      <c r="N435" s="698"/>
      <c r="O435" s="766"/>
      <c r="P435" s="698"/>
      <c r="Q435" s="698"/>
      <c r="R435" s="702"/>
      <c r="S435" s="648"/>
      <c r="T435" s="648"/>
    </row>
    <row r="436" spans="1:20" s="649" customFormat="1" ht="24" hidden="1">
      <c r="A436" s="764">
        <v>4211</v>
      </c>
      <c r="B436" s="768" t="s">
        <v>211</v>
      </c>
      <c r="C436" s="720"/>
      <c r="D436" s="698">
        <f t="shared" si="46"/>
        <v>0</v>
      </c>
      <c r="E436" s="698">
        <f t="shared" si="46"/>
        <v>0</v>
      </c>
      <c r="F436" s="699" t="e">
        <f t="shared" si="48"/>
        <v>#DIV/0!</v>
      </c>
      <c r="G436" s="720"/>
      <c r="H436" s="698"/>
      <c r="I436" s="702" t="e">
        <f t="shared" si="49"/>
        <v>#DIV/0!</v>
      </c>
      <c r="J436" s="703"/>
      <c r="K436" s="698"/>
      <c r="L436" s="702"/>
      <c r="M436" s="698"/>
      <c r="N436" s="698"/>
      <c r="O436" s="766"/>
      <c r="P436" s="698"/>
      <c r="Q436" s="698"/>
      <c r="R436" s="702"/>
      <c r="S436" s="648"/>
      <c r="T436" s="648"/>
    </row>
    <row r="437" spans="1:20" s="900" customFormat="1" ht="24" hidden="1">
      <c r="A437" s="764">
        <v>4212</v>
      </c>
      <c r="B437" s="768" t="s">
        <v>211</v>
      </c>
      <c r="C437" s="720"/>
      <c r="D437" s="698">
        <f t="shared" si="46"/>
        <v>0</v>
      </c>
      <c r="E437" s="698">
        <f t="shared" si="46"/>
        <v>0</v>
      </c>
      <c r="F437" s="699" t="e">
        <f t="shared" si="48"/>
        <v>#DIV/0!</v>
      </c>
      <c r="G437" s="720"/>
      <c r="H437" s="698"/>
      <c r="I437" s="702" t="e">
        <f t="shared" si="49"/>
        <v>#DIV/0!</v>
      </c>
      <c r="J437" s="703"/>
      <c r="K437" s="698"/>
      <c r="L437" s="702"/>
      <c r="M437" s="698"/>
      <c r="N437" s="698"/>
      <c r="O437" s="766"/>
      <c r="P437" s="698"/>
      <c r="Q437" s="698"/>
      <c r="R437" s="702"/>
      <c r="S437" s="899"/>
      <c r="T437" s="899"/>
    </row>
    <row r="438" spans="1:20" s="900" customFormat="1" ht="24" hidden="1">
      <c r="A438" s="901">
        <v>4301</v>
      </c>
      <c r="B438" s="768" t="s">
        <v>219</v>
      </c>
      <c r="C438" s="720"/>
      <c r="D438" s="698">
        <f t="shared" si="46"/>
        <v>0</v>
      </c>
      <c r="E438" s="698">
        <f t="shared" si="46"/>
        <v>0</v>
      </c>
      <c r="F438" s="699" t="e">
        <f t="shared" si="48"/>
        <v>#DIV/0!</v>
      </c>
      <c r="G438" s="720"/>
      <c r="H438" s="698"/>
      <c r="I438" s="702" t="e">
        <f t="shared" si="49"/>
        <v>#DIV/0!</v>
      </c>
      <c r="J438" s="703"/>
      <c r="K438" s="698"/>
      <c r="L438" s="702"/>
      <c r="M438" s="698"/>
      <c r="N438" s="698"/>
      <c r="O438" s="766"/>
      <c r="P438" s="698"/>
      <c r="Q438" s="698"/>
      <c r="R438" s="702"/>
      <c r="S438" s="899"/>
      <c r="T438" s="899"/>
    </row>
    <row r="439" spans="1:20" s="900" customFormat="1" ht="24" hidden="1">
      <c r="A439" s="901">
        <v>4302</v>
      </c>
      <c r="B439" s="768" t="s">
        <v>219</v>
      </c>
      <c r="C439" s="791"/>
      <c r="D439" s="698">
        <f t="shared" si="46"/>
        <v>0</v>
      </c>
      <c r="E439" s="698">
        <f t="shared" si="46"/>
        <v>0</v>
      </c>
      <c r="F439" s="699" t="e">
        <f t="shared" si="48"/>
        <v>#DIV/0!</v>
      </c>
      <c r="G439" s="791"/>
      <c r="H439" s="792"/>
      <c r="I439" s="702" t="e">
        <f t="shared" si="49"/>
        <v>#DIV/0!</v>
      </c>
      <c r="J439" s="793"/>
      <c r="K439" s="792"/>
      <c r="L439" s="796"/>
      <c r="M439" s="792"/>
      <c r="N439" s="792"/>
      <c r="O439" s="806"/>
      <c r="P439" s="792"/>
      <c r="Q439" s="792"/>
      <c r="R439" s="796"/>
      <c r="S439" s="899"/>
      <c r="T439" s="899"/>
    </row>
    <row r="440" spans="1:18" ht="12.75">
      <c r="A440" s="757">
        <v>75095</v>
      </c>
      <c r="B440" s="852" t="s">
        <v>649</v>
      </c>
      <c r="C440" s="725">
        <f>SUM(C441:C452)</f>
        <v>183450</v>
      </c>
      <c r="D440" s="712">
        <f t="shared" si="46"/>
        <v>198328</v>
      </c>
      <c r="E440" s="712">
        <f>SUM(E441:E452)</f>
        <v>182282</v>
      </c>
      <c r="F440" s="713">
        <f t="shared" si="48"/>
        <v>91.9093622685652</v>
      </c>
      <c r="G440" s="725">
        <f>SUM(G441:G452)</f>
        <v>198328</v>
      </c>
      <c r="H440" s="712">
        <f>SUM(H441:H452)</f>
        <v>182282</v>
      </c>
      <c r="I440" s="719">
        <f t="shared" si="49"/>
        <v>91.9093622685652</v>
      </c>
      <c r="J440" s="717"/>
      <c r="K440" s="712"/>
      <c r="L440" s="718"/>
      <c r="M440" s="712"/>
      <c r="N440" s="712"/>
      <c r="O440" s="762"/>
      <c r="P440" s="712"/>
      <c r="Q440" s="712"/>
      <c r="R440" s="719"/>
    </row>
    <row r="441" spans="1:18" ht="48" hidden="1">
      <c r="A441" s="764">
        <v>3020</v>
      </c>
      <c r="B441" s="768" t="s">
        <v>650</v>
      </c>
      <c r="C441" s="720"/>
      <c r="D441" s="698">
        <f t="shared" si="46"/>
        <v>0</v>
      </c>
      <c r="E441" s="698">
        <f aca="true" t="shared" si="50" ref="E441:E448">SUM(H441+K441+N441+Q441)</f>
        <v>0</v>
      </c>
      <c r="F441" s="699" t="e">
        <f t="shared" si="48"/>
        <v>#DIV/0!</v>
      </c>
      <c r="G441" s="723"/>
      <c r="H441" s="732"/>
      <c r="I441" s="702" t="e">
        <f t="shared" si="49"/>
        <v>#DIV/0!</v>
      </c>
      <c r="J441" s="703"/>
      <c r="K441" s="698"/>
      <c r="L441" s="704"/>
      <c r="M441" s="698"/>
      <c r="N441" s="698"/>
      <c r="O441" s="766"/>
      <c r="P441" s="698"/>
      <c r="Q441" s="698"/>
      <c r="R441" s="770"/>
    </row>
    <row r="442" spans="1:18" ht="25.5" customHeight="1">
      <c r="A442" s="764">
        <v>4110</v>
      </c>
      <c r="B442" s="768" t="s">
        <v>207</v>
      </c>
      <c r="C442" s="720">
        <v>2850</v>
      </c>
      <c r="D442" s="698">
        <f t="shared" si="46"/>
        <v>2540</v>
      </c>
      <c r="E442" s="698">
        <f t="shared" si="50"/>
        <v>1497</v>
      </c>
      <c r="F442" s="699">
        <f t="shared" si="48"/>
        <v>58.93700787401575</v>
      </c>
      <c r="G442" s="720">
        <f>2850-200+200+550-300+192+100-400-462+10</f>
        <v>2540</v>
      </c>
      <c r="H442" s="698">
        <v>1497</v>
      </c>
      <c r="I442" s="702">
        <f t="shared" si="49"/>
        <v>58.93700787401575</v>
      </c>
      <c r="J442" s="703"/>
      <c r="K442" s="698"/>
      <c r="L442" s="704"/>
      <c r="M442" s="698"/>
      <c r="N442" s="698"/>
      <c r="O442" s="766"/>
      <c r="P442" s="698"/>
      <c r="Q442" s="698"/>
      <c r="R442" s="770"/>
    </row>
    <row r="443" spans="1:18" ht="12.75" hidden="1">
      <c r="A443" s="764">
        <v>4120</v>
      </c>
      <c r="B443" s="768" t="s">
        <v>584</v>
      </c>
      <c r="C443" s="720"/>
      <c r="D443" s="698">
        <f>G443+J443+P443+M443</f>
        <v>0</v>
      </c>
      <c r="E443" s="698">
        <f>SUM(H443+K443+N443+Q443)</f>
        <v>0</v>
      </c>
      <c r="F443" s="699" t="e">
        <f>E443/D443*100</f>
        <v>#DIV/0!</v>
      </c>
      <c r="G443" s="720"/>
      <c r="H443" s="698"/>
      <c r="I443" s="702" t="e">
        <f t="shared" si="49"/>
        <v>#DIV/0!</v>
      </c>
      <c r="J443" s="703"/>
      <c r="K443" s="698"/>
      <c r="L443" s="704"/>
      <c r="M443" s="698"/>
      <c r="N443" s="698"/>
      <c r="O443" s="766"/>
      <c r="P443" s="698"/>
      <c r="Q443" s="698"/>
      <c r="R443" s="770"/>
    </row>
    <row r="444" spans="1:18" ht="24">
      <c r="A444" s="764">
        <v>4170</v>
      </c>
      <c r="B444" s="768" t="s">
        <v>242</v>
      </c>
      <c r="C444" s="720">
        <v>45250</v>
      </c>
      <c r="D444" s="698">
        <f t="shared" si="46"/>
        <v>30250</v>
      </c>
      <c r="E444" s="698">
        <f t="shared" si="50"/>
        <v>25893</v>
      </c>
      <c r="F444" s="699">
        <f t="shared" si="48"/>
        <v>85.59669421487604</v>
      </c>
      <c r="G444" s="720">
        <f>45250-1240-800+300-3200-200+340-1200-1600-1200-2000-2100+300-290-1800-450+140</f>
        <v>30250</v>
      </c>
      <c r="H444" s="698">
        <v>25893</v>
      </c>
      <c r="I444" s="702">
        <f t="shared" si="49"/>
        <v>85.59669421487604</v>
      </c>
      <c r="J444" s="703"/>
      <c r="K444" s="698"/>
      <c r="L444" s="704"/>
      <c r="M444" s="698"/>
      <c r="N444" s="698"/>
      <c r="O444" s="766"/>
      <c r="P444" s="698"/>
      <c r="Q444" s="698"/>
      <c r="R444" s="770"/>
    </row>
    <row r="445" spans="1:18" ht="24">
      <c r="A445" s="764">
        <v>4210</v>
      </c>
      <c r="B445" s="768" t="s">
        <v>211</v>
      </c>
      <c r="C445" s="720">
        <v>42350</v>
      </c>
      <c r="D445" s="698">
        <f t="shared" si="46"/>
        <v>42967</v>
      </c>
      <c r="E445" s="698">
        <f t="shared" si="50"/>
        <v>40395</v>
      </c>
      <c r="F445" s="699">
        <f t="shared" si="48"/>
        <v>94.01401075243791</v>
      </c>
      <c r="G445" s="720">
        <f>42350+800-1888+400-340-550+700-9360+4000-60+1500+1033+550-92+1600-1500+1427-150+250-550+2532+160+151+4</f>
        <v>42967</v>
      </c>
      <c r="H445" s="698">
        <v>40395</v>
      </c>
      <c r="I445" s="702">
        <f t="shared" si="49"/>
        <v>94.01401075243791</v>
      </c>
      <c r="J445" s="703"/>
      <c r="K445" s="698"/>
      <c r="L445" s="704"/>
      <c r="M445" s="698"/>
      <c r="N445" s="698"/>
      <c r="O445" s="766"/>
      <c r="P445" s="698"/>
      <c r="Q445" s="698"/>
      <c r="R445" s="770"/>
    </row>
    <row r="446" spans="1:18" ht="12.75">
      <c r="A446" s="764">
        <v>4260</v>
      </c>
      <c r="B446" s="768" t="s">
        <v>215</v>
      </c>
      <c r="C446" s="720">
        <v>13050</v>
      </c>
      <c r="D446" s="698">
        <f t="shared" si="46"/>
        <v>24909</v>
      </c>
      <c r="E446" s="698">
        <f t="shared" si="50"/>
        <v>20517</v>
      </c>
      <c r="F446" s="699">
        <f t="shared" si="48"/>
        <v>82.36781886065278</v>
      </c>
      <c r="G446" s="720">
        <f>13050+220+4500+1480+3208+801+400+240+1800-520-160-110</f>
        <v>24909</v>
      </c>
      <c r="H446" s="698">
        <v>20517</v>
      </c>
      <c r="I446" s="702">
        <f t="shared" si="49"/>
        <v>82.36781886065278</v>
      </c>
      <c r="J446" s="703"/>
      <c r="K446" s="698"/>
      <c r="L446" s="704"/>
      <c r="M446" s="698"/>
      <c r="N446" s="698"/>
      <c r="O446" s="766"/>
      <c r="P446" s="698"/>
      <c r="Q446" s="698"/>
      <c r="R446" s="770"/>
    </row>
    <row r="447" spans="1:18" ht="24" hidden="1">
      <c r="A447" s="764">
        <v>4270</v>
      </c>
      <c r="B447" s="768" t="s">
        <v>217</v>
      </c>
      <c r="C447" s="720"/>
      <c r="D447" s="698">
        <f t="shared" si="46"/>
        <v>0</v>
      </c>
      <c r="E447" s="698">
        <f t="shared" si="50"/>
        <v>0</v>
      </c>
      <c r="F447" s="699" t="e">
        <f t="shared" si="48"/>
        <v>#DIV/0!</v>
      </c>
      <c r="G447" s="720"/>
      <c r="H447" s="698"/>
      <c r="I447" s="702" t="e">
        <f t="shared" si="49"/>
        <v>#DIV/0!</v>
      </c>
      <c r="J447" s="703"/>
      <c r="K447" s="698"/>
      <c r="L447" s="704"/>
      <c r="M447" s="698"/>
      <c r="N447" s="698"/>
      <c r="O447" s="766"/>
      <c r="P447" s="698"/>
      <c r="Q447" s="698"/>
      <c r="R447" s="770"/>
    </row>
    <row r="448" spans="1:18" ht="15" customHeight="1">
      <c r="A448" s="764">
        <v>4300</v>
      </c>
      <c r="B448" s="768" t="s">
        <v>651</v>
      </c>
      <c r="C448" s="720">
        <v>24250</v>
      </c>
      <c r="D448" s="698">
        <f t="shared" si="46"/>
        <v>30524</v>
      </c>
      <c r="E448" s="698">
        <f t="shared" si="50"/>
        <v>29057</v>
      </c>
      <c r="F448" s="699">
        <f t="shared" si="48"/>
        <v>95.19394574760844</v>
      </c>
      <c r="G448" s="720">
        <f>24250+1068+170+2720+120+500+92+880+1000-250+150+50-1000+1900-1262+150-4-20+10</f>
        <v>30524</v>
      </c>
      <c r="H448" s="698">
        <f>29782-725</f>
        <v>29057</v>
      </c>
      <c r="I448" s="702">
        <f t="shared" si="49"/>
        <v>95.19394574760844</v>
      </c>
      <c r="J448" s="703"/>
      <c r="K448" s="698"/>
      <c r="L448" s="704"/>
      <c r="M448" s="698"/>
      <c r="N448" s="698"/>
      <c r="O448" s="766"/>
      <c r="P448" s="698"/>
      <c r="Q448" s="698"/>
      <c r="R448" s="770"/>
    </row>
    <row r="449" spans="1:18" ht="36" customHeight="1">
      <c r="A449" s="764">
        <v>4370</v>
      </c>
      <c r="B449" s="768" t="s">
        <v>546</v>
      </c>
      <c r="C449" s="720">
        <v>6450</v>
      </c>
      <c r="D449" s="698">
        <f t="shared" si="46"/>
        <v>6199</v>
      </c>
      <c r="E449" s="698">
        <f>SUM(H449+K449+N449+Q449)</f>
        <v>4918</v>
      </c>
      <c r="F449" s="699">
        <f>E449/D449*100</f>
        <v>79.33537667365704</v>
      </c>
      <c r="G449" s="720">
        <f>6450+100-120-250+290-50+120-290-151+100</f>
        <v>6199</v>
      </c>
      <c r="H449" s="698">
        <v>4918</v>
      </c>
      <c r="I449" s="702">
        <f t="shared" si="49"/>
        <v>79.33537667365704</v>
      </c>
      <c r="J449" s="703"/>
      <c r="K449" s="698"/>
      <c r="L449" s="704"/>
      <c r="M449" s="698"/>
      <c r="N449" s="698"/>
      <c r="O449" s="766"/>
      <c r="P449" s="698"/>
      <c r="Q449" s="698"/>
      <c r="R449" s="770"/>
    </row>
    <row r="450" spans="1:18" ht="24.75" customHeight="1">
      <c r="A450" s="764">
        <v>4400</v>
      </c>
      <c r="B450" s="828" t="s">
        <v>547</v>
      </c>
      <c r="C450" s="720">
        <v>44900</v>
      </c>
      <c r="D450" s="698">
        <f t="shared" si="46"/>
        <v>56459</v>
      </c>
      <c r="E450" s="698">
        <f>SUM(H450+K450+N450+Q450)</f>
        <v>56224</v>
      </c>
      <c r="F450" s="699">
        <f>E450/D450*100</f>
        <v>99.58376875254609</v>
      </c>
      <c r="G450" s="720">
        <f>44900+3700+5100+100+2700-4500+3600-870+5160-1033-800-1330-1000+1000-430+162</f>
        <v>56459</v>
      </c>
      <c r="H450" s="698">
        <f>55499+725</f>
        <v>56224</v>
      </c>
      <c r="I450" s="702">
        <f t="shared" si="49"/>
        <v>99.58376875254609</v>
      </c>
      <c r="J450" s="703"/>
      <c r="K450" s="698"/>
      <c r="L450" s="704"/>
      <c r="M450" s="698"/>
      <c r="N450" s="698"/>
      <c r="O450" s="766"/>
      <c r="P450" s="698"/>
      <c r="Q450" s="698"/>
      <c r="R450" s="770"/>
    </row>
    <row r="451" spans="1:18" ht="51.75" customHeight="1">
      <c r="A451" s="764">
        <v>4740</v>
      </c>
      <c r="B451" s="828" t="s">
        <v>235</v>
      </c>
      <c r="C451" s="720">
        <v>1200</v>
      </c>
      <c r="D451" s="698">
        <f>G451+J451+P451+M451</f>
        <v>1400</v>
      </c>
      <c r="E451" s="698">
        <f>SUM(H451+K451+N451+Q451)</f>
        <v>1031</v>
      </c>
      <c r="F451" s="699">
        <f>E451/D451*100</f>
        <v>73.64285714285714</v>
      </c>
      <c r="G451" s="720">
        <f>1200+40+400+60-50+150+100-400-110+10</f>
        <v>1400</v>
      </c>
      <c r="H451" s="698">
        <v>1031</v>
      </c>
      <c r="I451" s="702">
        <f t="shared" si="49"/>
        <v>73.64285714285714</v>
      </c>
      <c r="J451" s="703"/>
      <c r="K451" s="698"/>
      <c r="L451" s="704"/>
      <c r="M451" s="698"/>
      <c r="N451" s="698"/>
      <c r="O451" s="766"/>
      <c r="P451" s="698"/>
      <c r="Q451" s="698"/>
      <c r="R451" s="770"/>
    </row>
    <row r="452" spans="1:18" ht="41.25" customHeight="1">
      <c r="A452" s="764">
        <v>4750</v>
      </c>
      <c r="B452" s="768" t="s">
        <v>652</v>
      </c>
      <c r="C452" s="791">
        <v>3150</v>
      </c>
      <c r="D452" s="792">
        <f t="shared" si="46"/>
        <v>3080</v>
      </c>
      <c r="E452" s="792">
        <f>SUM(H452+K452+N452+Q452)</f>
        <v>2750</v>
      </c>
      <c r="F452" s="760">
        <f aca="true" t="shared" si="51" ref="F452:F463">E452/D452*100</f>
        <v>89.28571428571429</v>
      </c>
      <c r="G452" s="791">
        <f>3150+1200+200+400-200-150+100+150-450-1430+110</f>
        <v>3080</v>
      </c>
      <c r="H452" s="792">
        <v>2750</v>
      </c>
      <c r="I452" s="796">
        <f t="shared" si="49"/>
        <v>89.28571428571429</v>
      </c>
      <c r="J452" s="793"/>
      <c r="K452" s="792"/>
      <c r="L452" s="794"/>
      <c r="M452" s="792"/>
      <c r="N452" s="792"/>
      <c r="O452" s="806"/>
      <c r="P452" s="792"/>
      <c r="Q452" s="792"/>
      <c r="R452" s="797"/>
    </row>
    <row r="453" spans="1:18" ht="12.75" customHeight="1">
      <c r="A453" s="757">
        <v>75095</v>
      </c>
      <c r="B453" s="852" t="s">
        <v>233</v>
      </c>
      <c r="C453" s="725">
        <f>SUM(C454:C465)</f>
        <v>2670500</v>
      </c>
      <c r="D453" s="712">
        <f t="shared" si="46"/>
        <v>2654500</v>
      </c>
      <c r="E453" s="712">
        <f>H453+K453+Q453+N453</f>
        <v>2498600</v>
      </c>
      <c r="F453" s="713">
        <f t="shared" si="51"/>
        <v>94.1269542286683</v>
      </c>
      <c r="G453" s="725">
        <f>SUM(G455:G468)</f>
        <v>2654500</v>
      </c>
      <c r="H453" s="712">
        <f>SUM(H455:H468)</f>
        <v>2498600</v>
      </c>
      <c r="I453" s="719">
        <f t="shared" si="49"/>
        <v>94.1269542286683</v>
      </c>
      <c r="J453" s="717"/>
      <c r="K453" s="712"/>
      <c r="L453" s="718"/>
      <c r="M453" s="712"/>
      <c r="N453" s="712"/>
      <c r="O453" s="762"/>
      <c r="P453" s="712"/>
      <c r="Q453" s="712"/>
      <c r="R453" s="846"/>
    </row>
    <row r="454" spans="1:18" ht="48" hidden="1">
      <c r="A454" s="764">
        <v>3040</v>
      </c>
      <c r="B454" s="768" t="s">
        <v>415</v>
      </c>
      <c r="C454" s="720"/>
      <c r="D454" s="698">
        <f t="shared" si="46"/>
        <v>0</v>
      </c>
      <c r="E454" s="698">
        <f aca="true" t="shared" si="52" ref="E454:E476">SUM(H454+K454+N454+Q454)</f>
        <v>0</v>
      </c>
      <c r="F454" s="699" t="e">
        <f t="shared" si="51"/>
        <v>#DIV/0!</v>
      </c>
      <c r="G454" s="720"/>
      <c r="H454" s="698"/>
      <c r="I454" s="702" t="e">
        <f t="shared" si="49"/>
        <v>#DIV/0!</v>
      </c>
      <c r="J454" s="703"/>
      <c r="K454" s="698"/>
      <c r="L454" s="704"/>
      <c r="M454" s="698"/>
      <c r="N454" s="698"/>
      <c r="O454" s="766"/>
      <c r="P454" s="698"/>
      <c r="Q454" s="698"/>
      <c r="R454" s="770"/>
    </row>
    <row r="455" spans="1:18" ht="26.25" customHeight="1">
      <c r="A455" s="764">
        <v>4110</v>
      </c>
      <c r="B455" s="768" t="s">
        <v>416</v>
      </c>
      <c r="C455" s="720">
        <v>2000</v>
      </c>
      <c r="D455" s="698">
        <f t="shared" si="46"/>
        <v>2000</v>
      </c>
      <c r="E455" s="698">
        <f t="shared" si="52"/>
        <v>0</v>
      </c>
      <c r="F455" s="699">
        <f t="shared" si="51"/>
        <v>0</v>
      </c>
      <c r="G455" s="720">
        <v>2000</v>
      </c>
      <c r="H455" s="698"/>
      <c r="I455" s="702">
        <f t="shared" si="49"/>
        <v>0</v>
      </c>
      <c r="J455" s="703"/>
      <c r="K455" s="698"/>
      <c r="L455" s="704"/>
      <c r="M455" s="698"/>
      <c r="N455" s="698"/>
      <c r="O455" s="766"/>
      <c r="P455" s="698"/>
      <c r="Q455" s="698"/>
      <c r="R455" s="770"/>
    </row>
    <row r="456" spans="1:18" ht="12.75">
      <c r="A456" s="764">
        <v>4120</v>
      </c>
      <c r="B456" s="768" t="s">
        <v>417</v>
      </c>
      <c r="C456" s="720">
        <v>2000</v>
      </c>
      <c r="D456" s="698">
        <f t="shared" si="46"/>
        <v>2000</v>
      </c>
      <c r="E456" s="698">
        <f t="shared" si="52"/>
        <v>0</v>
      </c>
      <c r="F456" s="699">
        <f t="shared" si="51"/>
        <v>0</v>
      </c>
      <c r="G456" s="720">
        <v>2000</v>
      </c>
      <c r="H456" s="698"/>
      <c r="I456" s="702">
        <f t="shared" si="49"/>
        <v>0</v>
      </c>
      <c r="J456" s="703"/>
      <c r="K456" s="698"/>
      <c r="L456" s="704"/>
      <c r="M456" s="698"/>
      <c r="N456" s="698"/>
      <c r="O456" s="766"/>
      <c r="P456" s="698"/>
      <c r="Q456" s="698"/>
      <c r="R456" s="770"/>
    </row>
    <row r="457" spans="1:18" ht="24">
      <c r="A457" s="764">
        <v>4170</v>
      </c>
      <c r="B457" s="768" t="s">
        <v>418</v>
      </c>
      <c r="C457" s="720">
        <v>10000</v>
      </c>
      <c r="D457" s="698">
        <f t="shared" si="46"/>
        <v>10000</v>
      </c>
      <c r="E457" s="698">
        <f t="shared" si="52"/>
        <v>1500</v>
      </c>
      <c r="F457" s="699">
        <f t="shared" si="51"/>
        <v>15</v>
      </c>
      <c r="G457" s="720">
        <v>10000</v>
      </c>
      <c r="H457" s="698">
        <v>1500</v>
      </c>
      <c r="I457" s="702">
        <f t="shared" si="49"/>
        <v>15</v>
      </c>
      <c r="J457" s="703"/>
      <c r="K457" s="698"/>
      <c r="L457" s="704"/>
      <c r="M457" s="698"/>
      <c r="N457" s="698"/>
      <c r="O457" s="766"/>
      <c r="P457" s="698"/>
      <c r="Q457" s="698"/>
      <c r="R457" s="770"/>
    </row>
    <row r="458" spans="1:18" ht="24">
      <c r="A458" s="764">
        <v>4210</v>
      </c>
      <c r="B458" s="768" t="s">
        <v>419</v>
      </c>
      <c r="C458" s="720">
        <v>9000</v>
      </c>
      <c r="D458" s="698">
        <f t="shared" si="46"/>
        <v>6000</v>
      </c>
      <c r="E458" s="698">
        <f t="shared" si="52"/>
        <v>1172</v>
      </c>
      <c r="F458" s="699">
        <f t="shared" si="51"/>
        <v>19.53333333333333</v>
      </c>
      <c r="G458" s="720">
        <f>9000-3000</f>
        <v>6000</v>
      </c>
      <c r="H458" s="698">
        <v>1172</v>
      </c>
      <c r="I458" s="702">
        <f t="shared" si="49"/>
        <v>19.53333333333333</v>
      </c>
      <c r="J458" s="703"/>
      <c r="K458" s="698"/>
      <c r="L458" s="704"/>
      <c r="M458" s="698"/>
      <c r="N458" s="698"/>
      <c r="O458" s="766"/>
      <c r="P458" s="698"/>
      <c r="Q458" s="698"/>
      <c r="R458" s="770"/>
    </row>
    <row r="459" spans="1:18" ht="24">
      <c r="A459" s="764">
        <v>4300</v>
      </c>
      <c r="B459" s="768" t="s">
        <v>420</v>
      </c>
      <c r="C459" s="720">
        <v>100000</v>
      </c>
      <c r="D459" s="698">
        <f t="shared" si="46"/>
        <v>187000</v>
      </c>
      <c r="E459" s="698">
        <f>SUM(H459+K459+N459+Q459)</f>
        <v>127711</v>
      </c>
      <c r="F459" s="699">
        <f t="shared" si="51"/>
        <v>68.29465240641711</v>
      </c>
      <c r="G459" s="720">
        <f>100000+62000-13000+38000</f>
        <v>187000</v>
      </c>
      <c r="H459" s="698">
        <v>127711</v>
      </c>
      <c r="I459" s="702">
        <f t="shared" si="49"/>
        <v>68.29465240641711</v>
      </c>
      <c r="J459" s="703"/>
      <c r="K459" s="698"/>
      <c r="L459" s="704"/>
      <c r="M459" s="698"/>
      <c r="N459" s="698"/>
      <c r="O459" s="766"/>
      <c r="P459" s="698"/>
      <c r="Q459" s="698"/>
      <c r="R459" s="770"/>
    </row>
    <row r="460" spans="1:18" ht="24">
      <c r="A460" s="901">
        <v>4350</v>
      </c>
      <c r="B460" s="768" t="s">
        <v>653</v>
      </c>
      <c r="C460" s="720">
        <v>3500</v>
      </c>
      <c r="D460" s="698">
        <f t="shared" si="46"/>
        <v>3500</v>
      </c>
      <c r="E460" s="698">
        <f>SUM(H460+K460+N460+Q460)</f>
        <v>1048</v>
      </c>
      <c r="F460" s="699">
        <f t="shared" si="51"/>
        <v>29.942857142857143</v>
      </c>
      <c r="G460" s="720">
        <v>3500</v>
      </c>
      <c r="H460" s="698">
        <v>1048</v>
      </c>
      <c r="I460" s="702">
        <f t="shared" si="49"/>
        <v>29.942857142857143</v>
      </c>
      <c r="J460" s="703"/>
      <c r="K460" s="698"/>
      <c r="L460" s="704"/>
      <c r="M460" s="698"/>
      <c r="N460" s="698"/>
      <c r="O460" s="766"/>
      <c r="P460" s="698"/>
      <c r="Q460" s="698"/>
      <c r="R460" s="770"/>
    </row>
    <row r="461" spans="1:18" ht="24" customHeight="1">
      <c r="A461" s="764">
        <v>4380</v>
      </c>
      <c r="B461" s="768" t="s">
        <v>654</v>
      </c>
      <c r="C461" s="720">
        <v>35000</v>
      </c>
      <c r="D461" s="698">
        <f t="shared" si="46"/>
        <v>35000</v>
      </c>
      <c r="E461" s="698">
        <f>SUM(H461+K461+N461+Q461)</f>
        <v>24969</v>
      </c>
      <c r="F461" s="699">
        <f t="shared" si="51"/>
        <v>71.34</v>
      </c>
      <c r="G461" s="720">
        <v>35000</v>
      </c>
      <c r="H461" s="698">
        <v>24969</v>
      </c>
      <c r="I461" s="702">
        <f t="shared" si="49"/>
        <v>71.34</v>
      </c>
      <c r="J461" s="703"/>
      <c r="K461" s="698"/>
      <c r="L461" s="704"/>
      <c r="M461" s="698"/>
      <c r="N461" s="698"/>
      <c r="O461" s="766"/>
      <c r="P461" s="698"/>
      <c r="Q461" s="698"/>
      <c r="R461" s="770"/>
    </row>
    <row r="462" spans="1:18" ht="37.5" customHeight="1">
      <c r="A462" s="764">
        <v>4390</v>
      </c>
      <c r="B462" s="768" t="s">
        <v>655</v>
      </c>
      <c r="C462" s="720">
        <v>150000</v>
      </c>
      <c r="D462" s="698">
        <f t="shared" si="46"/>
        <v>112000</v>
      </c>
      <c r="E462" s="698">
        <f>SUM(H462+K462+N462+Q462)</f>
        <v>110230</v>
      </c>
      <c r="F462" s="699">
        <f t="shared" si="51"/>
        <v>98.41964285714285</v>
      </c>
      <c r="G462" s="720">
        <f>150000-38000</f>
        <v>112000</v>
      </c>
      <c r="H462" s="698">
        <v>110230</v>
      </c>
      <c r="I462" s="702">
        <f t="shared" si="49"/>
        <v>98.41964285714285</v>
      </c>
      <c r="J462" s="703"/>
      <c r="K462" s="698"/>
      <c r="L462" s="704"/>
      <c r="M462" s="698"/>
      <c r="N462" s="698"/>
      <c r="O462" s="766"/>
      <c r="P462" s="698"/>
      <c r="Q462" s="698"/>
      <c r="R462" s="770"/>
    </row>
    <row r="463" spans="1:18" ht="24">
      <c r="A463" s="764">
        <v>4430</v>
      </c>
      <c r="B463" s="768" t="s">
        <v>421</v>
      </c>
      <c r="C463" s="720">
        <v>1691000</v>
      </c>
      <c r="D463" s="698">
        <f t="shared" si="46"/>
        <v>1629000</v>
      </c>
      <c r="E463" s="698">
        <f t="shared" si="52"/>
        <v>1570843</v>
      </c>
      <c r="F463" s="699">
        <f t="shared" si="51"/>
        <v>96.42989564149785</v>
      </c>
      <c r="G463" s="720">
        <f>1691000-65000+3000</f>
        <v>1629000</v>
      </c>
      <c r="H463" s="698">
        <v>1570843</v>
      </c>
      <c r="I463" s="702">
        <f>H463/G463*100</f>
        <v>96.42989564149785</v>
      </c>
      <c r="J463" s="703"/>
      <c r="K463" s="698"/>
      <c r="L463" s="704"/>
      <c r="M463" s="698"/>
      <c r="N463" s="698"/>
      <c r="O463" s="766"/>
      <c r="P463" s="698"/>
      <c r="Q463" s="698"/>
      <c r="R463" s="770"/>
    </row>
    <row r="464" spans="1:18" ht="61.5" customHeight="1">
      <c r="A464" s="764">
        <v>2810</v>
      </c>
      <c r="B464" s="768" t="s">
        <v>556</v>
      </c>
      <c r="C464" s="720"/>
      <c r="D464" s="698">
        <f>G464+J464+P464+M464</f>
        <v>668000</v>
      </c>
      <c r="E464" s="698">
        <f>SUM(H464+K464+N464+Q464)</f>
        <v>661127</v>
      </c>
      <c r="F464" s="699">
        <f>E464/D464*100</f>
        <v>98.97110778443114</v>
      </c>
      <c r="G464" s="810">
        <v>668000</v>
      </c>
      <c r="H464" s="698">
        <v>661127</v>
      </c>
      <c r="I464" s="702">
        <f>H464/G464*100</f>
        <v>98.97110778443114</v>
      </c>
      <c r="J464" s="703"/>
      <c r="K464" s="698"/>
      <c r="L464" s="704"/>
      <c r="M464" s="703"/>
      <c r="N464" s="703"/>
      <c r="O464" s="766"/>
      <c r="P464" s="698"/>
      <c r="Q464" s="698"/>
      <c r="R464" s="770"/>
    </row>
    <row r="465" spans="1:18" ht="64.5" customHeight="1" thickBot="1">
      <c r="A465" s="764">
        <v>2820</v>
      </c>
      <c r="B465" s="768" t="s">
        <v>637</v>
      </c>
      <c r="C465" s="720">
        <v>668000</v>
      </c>
      <c r="D465" s="698">
        <f aca="true" t="shared" si="53" ref="D465:D533">G465+J465+P465+M465</f>
        <v>0</v>
      </c>
      <c r="E465" s="698">
        <f t="shared" si="52"/>
        <v>0</v>
      </c>
      <c r="F465" s="699"/>
      <c r="G465" s="810">
        <f>668000-668000</f>
        <v>0</v>
      </c>
      <c r="H465" s="698"/>
      <c r="I465" s="744"/>
      <c r="J465" s="703"/>
      <c r="K465" s="698"/>
      <c r="L465" s="704"/>
      <c r="M465" s="720"/>
      <c r="N465" s="703"/>
      <c r="O465" s="766"/>
      <c r="P465" s="698"/>
      <c r="Q465" s="698"/>
      <c r="R465" s="770"/>
    </row>
    <row r="466" spans="1:20" s="818" customFormat="1" ht="12.75" customHeight="1" hidden="1">
      <c r="A466" s="811"/>
      <c r="B466" s="812" t="s">
        <v>656</v>
      </c>
      <c r="C466" s="891"/>
      <c r="D466" s="698">
        <f t="shared" si="53"/>
        <v>0</v>
      </c>
      <c r="E466" s="698">
        <f t="shared" si="52"/>
        <v>0</v>
      </c>
      <c r="F466" s="699" t="e">
        <f aca="true" t="shared" si="54" ref="F466:F529">E466/D466*100</f>
        <v>#DIV/0!</v>
      </c>
      <c r="G466" s="891"/>
      <c r="H466" s="892"/>
      <c r="I466" s="744" t="e">
        <f aca="true" t="shared" si="55" ref="I466:I471">H466/G466*100</f>
        <v>#DIV/0!</v>
      </c>
      <c r="J466" s="893"/>
      <c r="K466" s="892"/>
      <c r="L466" s="704"/>
      <c r="M466" s="891"/>
      <c r="N466" s="893"/>
      <c r="O466" s="704"/>
      <c r="P466" s="892"/>
      <c r="Q466" s="892"/>
      <c r="R466" s="831"/>
      <c r="S466" s="817"/>
      <c r="T466" s="817"/>
    </row>
    <row r="467" spans="1:20" s="818" customFormat="1" ht="15" customHeight="1" hidden="1" thickBot="1" thickTop="1">
      <c r="A467" s="811"/>
      <c r="B467" s="812" t="s">
        <v>657</v>
      </c>
      <c r="C467" s="891"/>
      <c r="D467" s="698">
        <f t="shared" si="53"/>
        <v>0</v>
      </c>
      <c r="E467" s="698">
        <f t="shared" si="52"/>
        <v>0</v>
      </c>
      <c r="F467" s="699" t="e">
        <f t="shared" si="54"/>
        <v>#DIV/0!</v>
      </c>
      <c r="G467" s="891"/>
      <c r="H467" s="892"/>
      <c r="I467" s="744" t="e">
        <f t="shared" si="55"/>
        <v>#DIV/0!</v>
      </c>
      <c r="J467" s="893"/>
      <c r="K467" s="892"/>
      <c r="L467" s="704"/>
      <c r="M467" s="891"/>
      <c r="N467" s="893"/>
      <c r="O467" s="704"/>
      <c r="P467" s="892"/>
      <c r="Q467" s="892"/>
      <c r="R467" s="831"/>
      <c r="S467" s="817"/>
      <c r="T467" s="817"/>
    </row>
    <row r="468" spans="1:20" s="862" customFormat="1" ht="18" customHeight="1" hidden="1" thickTop="1">
      <c r="A468" s="855"/>
      <c r="B468" s="856" t="s">
        <v>315</v>
      </c>
      <c r="C468" s="908"/>
      <c r="D468" s="858">
        <f t="shared" si="53"/>
        <v>0</v>
      </c>
      <c r="E468" s="858">
        <f t="shared" si="52"/>
        <v>0</v>
      </c>
      <c r="F468" s="699" t="e">
        <f t="shared" si="54"/>
        <v>#DIV/0!</v>
      </c>
      <c r="G468" s="857">
        <f>SUM(G469:G476)</f>
        <v>0</v>
      </c>
      <c r="H468" s="858">
        <f>SUM(H469:H476)</f>
        <v>0</v>
      </c>
      <c r="I468" s="744" t="e">
        <f t="shared" si="55"/>
        <v>#DIV/0!</v>
      </c>
      <c r="J468" s="909"/>
      <c r="K468" s="909"/>
      <c r="L468" s="779"/>
      <c r="M468" s="908"/>
      <c r="N468" s="909"/>
      <c r="O468" s="779"/>
      <c r="P468" s="910"/>
      <c r="Q468" s="910"/>
      <c r="R468" s="860"/>
      <c r="S468" s="861"/>
      <c r="T468" s="861"/>
    </row>
    <row r="469" spans="1:18" ht="25.5" customHeight="1" hidden="1" thickBot="1" thickTop="1">
      <c r="A469" s="764">
        <v>4110</v>
      </c>
      <c r="B469" s="768" t="s">
        <v>422</v>
      </c>
      <c r="C469" s="895"/>
      <c r="D469" s="698">
        <f t="shared" si="53"/>
        <v>0</v>
      </c>
      <c r="E469" s="698">
        <f t="shared" si="52"/>
        <v>0</v>
      </c>
      <c r="F469" s="699" t="e">
        <f t="shared" si="54"/>
        <v>#DIV/0!</v>
      </c>
      <c r="G469" s="895"/>
      <c r="H469" s="894"/>
      <c r="I469" s="744" t="e">
        <f t="shared" si="55"/>
        <v>#DIV/0!</v>
      </c>
      <c r="J469" s="896"/>
      <c r="K469" s="896"/>
      <c r="L469" s="766"/>
      <c r="M469" s="895"/>
      <c r="N469" s="896"/>
      <c r="O469" s="766"/>
      <c r="P469" s="894"/>
      <c r="Q469" s="894"/>
      <c r="R469" s="770"/>
    </row>
    <row r="470" spans="1:18" ht="18" customHeight="1" hidden="1" thickTop="1">
      <c r="A470" s="764">
        <v>4120</v>
      </c>
      <c r="B470" s="768" t="s">
        <v>423</v>
      </c>
      <c r="C470" s="895"/>
      <c r="D470" s="698">
        <f t="shared" si="53"/>
        <v>0</v>
      </c>
      <c r="E470" s="698">
        <f t="shared" si="52"/>
        <v>0</v>
      </c>
      <c r="F470" s="699" t="e">
        <f t="shared" si="54"/>
        <v>#DIV/0!</v>
      </c>
      <c r="G470" s="895"/>
      <c r="H470" s="894"/>
      <c r="I470" s="744" t="e">
        <f t="shared" si="55"/>
        <v>#DIV/0!</v>
      </c>
      <c r="J470" s="896"/>
      <c r="K470" s="896"/>
      <c r="L470" s="766"/>
      <c r="M470" s="895"/>
      <c r="N470" s="896"/>
      <c r="O470" s="766"/>
      <c r="P470" s="894"/>
      <c r="Q470" s="894"/>
      <c r="R470" s="770"/>
    </row>
    <row r="471" spans="1:18" ht="25.5" customHeight="1" hidden="1">
      <c r="A471" s="764">
        <v>4170</v>
      </c>
      <c r="B471" s="768" t="s">
        <v>424</v>
      </c>
      <c r="C471" s="895"/>
      <c r="D471" s="698">
        <f t="shared" si="53"/>
        <v>0</v>
      </c>
      <c r="E471" s="698">
        <f t="shared" si="52"/>
        <v>0</v>
      </c>
      <c r="F471" s="699" t="e">
        <f t="shared" si="54"/>
        <v>#DIV/0!</v>
      </c>
      <c r="G471" s="895"/>
      <c r="H471" s="894"/>
      <c r="I471" s="744" t="e">
        <f t="shared" si="55"/>
        <v>#DIV/0!</v>
      </c>
      <c r="J471" s="896"/>
      <c r="K471" s="896"/>
      <c r="L471" s="766"/>
      <c r="M471" s="895"/>
      <c r="N471" s="896"/>
      <c r="O471" s="766"/>
      <c r="P471" s="894"/>
      <c r="Q471" s="894"/>
      <c r="R471" s="770"/>
    </row>
    <row r="472" spans="1:18" ht="25.5" customHeight="1" hidden="1">
      <c r="A472" s="764">
        <v>4210</v>
      </c>
      <c r="B472" s="768" t="s">
        <v>425</v>
      </c>
      <c r="C472" s="895"/>
      <c r="D472" s="698">
        <f t="shared" si="53"/>
        <v>0</v>
      </c>
      <c r="E472" s="698">
        <f t="shared" si="52"/>
        <v>0</v>
      </c>
      <c r="F472" s="699" t="e">
        <f t="shared" si="54"/>
        <v>#DIV/0!</v>
      </c>
      <c r="G472" s="895"/>
      <c r="H472" s="894"/>
      <c r="I472" s="744" t="e">
        <f>H472/G472*100</f>
        <v>#DIV/0!</v>
      </c>
      <c r="J472" s="896"/>
      <c r="K472" s="896"/>
      <c r="L472" s="766"/>
      <c r="M472" s="895"/>
      <c r="N472" s="896"/>
      <c r="O472" s="766"/>
      <c r="P472" s="894"/>
      <c r="Q472" s="894"/>
      <c r="R472" s="770"/>
    </row>
    <row r="473" spans="1:18" ht="25.5" customHeight="1" hidden="1">
      <c r="A473" s="764">
        <v>4300</v>
      </c>
      <c r="B473" s="768" t="s">
        <v>426</v>
      </c>
      <c r="C473" s="895"/>
      <c r="D473" s="698">
        <f t="shared" si="53"/>
        <v>0</v>
      </c>
      <c r="E473" s="698">
        <f t="shared" si="52"/>
        <v>0</v>
      </c>
      <c r="F473" s="699" t="e">
        <f t="shared" si="54"/>
        <v>#DIV/0!</v>
      </c>
      <c r="G473" s="895"/>
      <c r="H473" s="894"/>
      <c r="I473" s="744" t="e">
        <f>H473/G473*100</f>
        <v>#DIV/0!</v>
      </c>
      <c r="J473" s="896"/>
      <c r="K473" s="896"/>
      <c r="L473" s="766"/>
      <c r="M473" s="895"/>
      <c r="N473" s="896"/>
      <c r="O473" s="766"/>
      <c r="P473" s="894"/>
      <c r="Q473" s="894"/>
      <c r="R473" s="770"/>
    </row>
    <row r="474" spans="1:18" ht="52.5" customHeight="1" hidden="1">
      <c r="A474" s="764">
        <v>4370</v>
      </c>
      <c r="B474" s="828" t="s">
        <v>316</v>
      </c>
      <c r="C474" s="895"/>
      <c r="D474" s="698">
        <f t="shared" si="53"/>
        <v>0</v>
      </c>
      <c r="E474" s="698">
        <f t="shared" si="52"/>
        <v>0</v>
      </c>
      <c r="F474" s="699" t="e">
        <f t="shared" si="54"/>
        <v>#DIV/0!</v>
      </c>
      <c r="G474" s="895"/>
      <c r="H474" s="894"/>
      <c r="I474" s="744" t="e">
        <f>H474/G474*100</f>
        <v>#DIV/0!</v>
      </c>
      <c r="J474" s="896"/>
      <c r="K474" s="896"/>
      <c r="L474" s="766"/>
      <c r="M474" s="895"/>
      <c r="N474" s="896"/>
      <c r="O474" s="766"/>
      <c r="P474" s="894"/>
      <c r="Q474" s="894"/>
      <c r="R474" s="770"/>
    </row>
    <row r="475" spans="1:18" ht="49.5" customHeight="1" hidden="1">
      <c r="A475" s="764">
        <v>4740</v>
      </c>
      <c r="B475" s="828" t="s">
        <v>317</v>
      </c>
      <c r="C475" s="895"/>
      <c r="D475" s="698">
        <f t="shared" si="53"/>
        <v>0</v>
      </c>
      <c r="E475" s="698">
        <f t="shared" si="52"/>
        <v>0</v>
      </c>
      <c r="F475" s="699" t="e">
        <f t="shared" si="54"/>
        <v>#DIV/0!</v>
      </c>
      <c r="G475" s="895"/>
      <c r="H475" s="894"/>
      <c r="I475" s="744" t="e">
        <f>H475/G475*100</f>
        <v>#DIV/0!</v>
      </c>
      <c r="J475" s="896"/>
      <c r="K475" s="896"/>
      <c r="L475" s="766"/>
      <c r="M475" s="895"/>
      <c r="N475" s="896"/>
      <c r="O475" s="766"/>
      <c r="P475" s="894"/>
      <c r="Q475" s="894"/>
      <c r="R475" s="770"/>
    </row>
    <row r="476" spans="1:18" ht="37.5" customHeight="1" hidden="1">
      <c r="A476" s="764">
        <v>4750</v>
      </c>
      <c r="B476" s="828" t="s">
        <v>318</v>
      </c>
      <c r="C476" s="895"/>
      <c r="D476" s="748">
        <f t="shared" si="53"/>
        <v>0</v>
      </c>
      <c r="E476" s="748">
        <f t="shared" si="52"/>
        <v>0</v>
      </c>
      <c r="F476" s="699" t="e">
        <f t="shared" si="54"/>
        <v>#DIV/0!</v>
      </c>
      <c r="G476" s="895"/>
      <c r="H476" s="894"/>
      <c r="I476" s="744" t="e">
        <f>H476/G476*100</f>
        <v>#DIV/0!</v>
      </c>
      <c r="J476" s="896"/>
      <c r="K476" s="896"/>
      <c r="L476" s="766"/>
      <c r="M476" s="895"/>
      <c r="N476" s="896"/>
      <c r="O476" s="766"/>
      <c r="P476" s="894"/>
      <c r="Q476" s="894"/>
      <c r="R476" s="770"/>
    </row>
    <row r="477" spans="1:20" s="756" customFormat="1" ht="77.25" customHeight="1" thickBot="1" thickTop="1">
      <c r="A477" s="749">
        <v>751</v>
      </c>
      <c r="B477" s="750" t="s">
        <v>658</v>
      </c>
      <c r="C477" s="751">
        <f>C478</f>
        <v>17577</v>
      </c>
      <c r="D477" s="674">
        <f t="shared" si="53"/>
        <v>132897</v>
      </c>
      <c r="E477" s="674">
        <f>H477+K477+Q477+N477</f>
        <v>132112</v>
      </c>
      <c r="F477" s="675">
        <f t="shared" si="54"/>
        <v>99.40931698984929</v>
      </c>
      <c r="G477" s="751"/>
      <c r="H477" s="674"/>
      <c r="I477" s="754"/>
      <c r="J477" s="674">
        <f>J478+J492+J485</f>
        <v>132897</v>
      </c>
      <c r="K477" s="678">
        <f>K478+K492+K485</f>
        <v>132112</v>
      </c>
      <c r="L477" s="677">
        <f aca="true" t="shared" si="56" ref="L477:L503">K477/J477*100</f>
        <v>99.40931698984929</v>
      </c>
      <c r="M477" s="751"/>
      <c r="N477" s="678"/>
      <c r="O477" s="754"/>
      <c r="P477" s="674"/>
      <c r="Q477" s="674"/>
      <c r="R477" s="851"/>
      <c r="S477" s="682"/>
      <c r="T477" s="682"/>
    </row>
    <row r="478" spans="1:20" s="756" customFormat="1" ht="48.75" thickTop="1">
      <c r="A478" s="835">
        <v>75101</v>
      </c>
      <c r="B478" s="836" t="s">
        <v>659</v>
      </c>
      <c r="C478" s="837">
        <f>SUM(C479:C484)</f>
        <v>17577</v>
      </c>
      <c r="D478" s="759">
        <f t="shared" si="53"/>
        <v>17577</v>
      </c>
      <c r="E478" s="759">
        <f>SUM(E479:E484)</f>
        <v>16801</v>
      </c>
      <c r="F478" s="760">
        <f t="shared" si="54"/>
        <v>95.58513967116117</v>
      </c>
      <c r="G478" s="837"/>
      <c r="H478" s="759"/>
      <c r="I478" s="806"/>
      <c r="J478" s="759">
        <f>SUM(J479:J484)</f>
        <v>17577</v>
      </c>
      <c r="K478" s="759">
        <f>SUM(K479:K484)</f>
        <v>16801</v>
      </c>
      <c r="L478" s="761">
        <f t="shared" si="56"/>
        <v>95.58513967116117</v>
      </c>
      <c r="M478" s="837"/>
      <c r="N478" s="839"/>
      <c r="O478" s="806"/>
      <c r="P478" s="759"/>
      <c r="Q478" s="759"/>
      <c r="R478" s="797"/>
      <c r="S478" s="682"/>
      <c r="T478" s="682"/>
    </row>
    <row r="479" spans="1:18" ht="26.25" customHeight="1">
      <c r="A479" s="784">
        <v>4110</v>
      </c>
      <c r="B479" s="785" t="s">
        <v>207</v>
      </c>
      <c r="C479" s="723">
        <v>2321</v>
      </c>
      <c r="D479" s="732">
        <f t="shared" si="53"/>
        <v>2321</v>
      </c>
      <c r="E479" s="732">
        <f aca="true" t="shared" si="57" ref="E479:E509">SUM(H479+K479+N479+Q479)</f>
        <v>2050</v>
      </c>
      <c r="F479" s="721">
        <f t="shared" si="54"/>
        <v>88.32399827660491</v>
      </c>
      <c r="G479" s="723"/>
      <c r="H479" s="732"/>
      <c r="I479" s="803"/>
      <c r="J479" s="884">
        <v>2321</v>
      </c>
      <c r="K479" s="732">
        <f>2051-1</f>
        <v>2050</v>
      </c>
      <c r="L479" s="786">
        <f t="shared" si="56"/>
        <v>88.32399827660491</v>
      </c>
      <c r="M479" s="723"/>
      <c r="N479" s="735"/>
      <c r="O479" s="803"/>
      <c r="P479" s="732"/>
      <c r="Q479" s="732"/>
      <c r="R479" s="788"/>
    </row>
    <row r="480" spans="1:18" ht="12.75">
      <c r="A480" s="764">
        <v>4120</v>
      </c>
      <c r="B480" s="768" t="s">
        <v>660</v>
      </c>
      <c r="C480" s="720">
        <v>331</v>
      </c>
      <c r="D480" s="698">
        <f t="shared" si="53"/>
        <v>336</v>
      </c>
      <c r="E480" s="698">
        <f t="shared" si="57"/>
        <v>331</v>
      </c>
      <c r="F480" s="699">
        <f t="shared" si="54"/>
        <v>98.51190476190477</v>
      </c>
      <c r="G480" s="720"/>
      <c r="H480" s="698"/>
      <c r="I480" s="766"/>
      <c r="J480" s="879">
        <f>331+5</f>
        <v>336</v>
      </c>
      <c r="K480" s="698">
        <v>331</v>
      </c>
      <c r="L480" s="744">
        <f t="shared" si="56"/>
        <v>98.51190476190477</v>
      </c>
      <c r="M480" s="720"/>
      <c r="N480" s="703"/>
      <c r="O480" s="766"/>
      <c r="P480" s="698"/>
      <c r="Q480" s="698"/>
      <c r="R480" s="770"/>
    </row>
    <row r="481" spans="1:18" ht="24">
      <c r="A481" s="764">
        <v>4170</v>
      </c>
      <c r="B481" s="768" t="s">
        <v>242</v>
      </c>
      <c r="C481" s="720">
        <v>13500</v>
      </c>
      <c r="D481" s="698">
        <f t="shared" si="53"/>
        <v>13500</v>
      </c>
      <c r="E481" s="698">
        <f t="shared" si="57"/>
        <v>13500</v>
      </c>
      <c r="F481" s="699">
        <f t="shared" si="54"/>
        <v>100</v>
      </c>
      <c r="G481" s="720"/>
      <c r="H481" s="698"/>
      <c r="I481" s="766"/>
      <c r="J481" s="879">
        <v>13500</v>
      </c>
      <c r="K481" s="698">
        <v>13500</v>
      </c>
      <c r="L481" s="744">
        <f t="shared" si="56"/>
        <v>100</v>
      </c>
      <c r="M481" s="720"/>
      <c r="N481" s="703"/>
      <c r="O481" s="766"/>
      <c r="P481" s="698"/>
      <c r="Q481" s="698"/>
      <c r="R481" s="770"/>
    </row>
    <row r="482" spans="1:18" ht="24">
      <c r="A482" s="764">
        <v>4210</v>
      </c>
      <c r="B482" s="768" t="s">
        <v>661</v>
      </c>
      <c r="C482" s="720">
        <v>425</v>
      </c>
      <c r="D482" s="698">
        <f t="shared" si="53"/>
        <v>420</v>
      </c>
      <c r="E482" s="698">
        <f t="shared" si="57"/>
        <v>420</v>
      </c>
      <c r="F482" s="699">
        <f t="shared" si="54"/>
        <v>100</v>
      </c>
      <c r="G482" s="720"/>
      <c r="H482" s="698"/>
      <c r="I482" s="766"/>
      <c r="J482" s="879">
        <f>425-5</f>
        <v>420</v>
      </c>
      <c r="K482" s="698">
        <v>420</v>
      </c>
      <c r="L482" s="744">
        <f t="shared" si="56"/>
        <v>100</v>
      </c>
      <c r="M482" s="720"/>
      <c r="N482" s="703"/>
      <c r="O482" s="766"/>
      <c r="P482" s="698"/>
      <c r="Q482" s="698"/>
      <c r="R482" s="770"/>
    </row>
    <row r="483" spans="1:18" ht="51" customHeight="1">
      <c r="A483" s="764">
        <v>4740</v>
      </c>
      <c r="B483" s="828" t="s">
        <v>235</v>
      </c>
      <c r="C483" s="720">
        <v>500</v>
      </c>
      <c r="D483" s="698">
        <f>G483+J483+P483+M483</f>
        <v>500</v>
      </c>
      <c r="E483" s="698">
        <f>SUM(H483+K483+N483+Q483)</f>
        <v>500</v>
      </c>
      <c r="F483" s="699">
        <f>E483/D483*100</f>
        <v>100</v>
      </c>
      <c r="G483" s="720"/>
      <c r="H483" s="698"/>
      <c r="I483" s="766"/>
      <c r="J483" s="879">
        <v>500</v>
      </c>
      <c r="K483" s="698">
        <v>500</v>
      </c>
      <c r="L483" s="744">
        <f t="shared" si="56"/>
        <v>100</v>
      </c>
      <c r="M483" s="720"/>
      <c r="N483" s="703"/>
      <c r="O483" s="766"/>
      <c r="P483" s="698"/>
      <c r="Q483" s="698"/>
      <c r="R483" s="770"/>
    </row>
    <row r="484" spans="1:20" s="756" customFormat="1" ht="36">
      <c r="A484" s="764">
        <v>4750</v>
      </c>
      <c r="B484" s="828" t="s">
        <v>551</v>
      </c>
      <c r="C484" s="720">
        <v>500</v>
      </c>
      <c r="D484" s="698">
        <f t="shared" si="53"/>
        <v>500</v>
      </c>
      <c r="E484" s="698">
        <f t="shared" si="57"/>
        <v>0</v>
      </c>
      <c r="F484" s="699">
        <f t="shared" si="54"/>
        <v>0</v>
      </c>
      <c r="G484" s="720"/>
      <c r="H484" s="698"/>
      <c r="I484" s="766"/>
      <c r="J484" s="810">
        <v>500</v>
      </c>
      <c r="K484" s="698"/>
      <c r="L484" s="744">
        <f t="shared" si="56"/>
        <v>0</v>
      </c>
      <c r="M484" s="720"/>
      <c r="N484" s="703"/>
      <c r="O484" s="766"/>
      <c r="P484" s="698"/>
      <c r="Q484" s="698"/>
      <c r="R484" s="770"/>
      <c r="S484" s="682"/>
      <c r="T484" s="682"/>
    </row>
    <row r="485" spans="1:20" s="756" customFormat="1" ht="24" hidden="1">
      <c r="A485" s="757">
        <v>75107</v>
      </c>
      <c r="B485" s="852" t="s">
        <v>662</v>
      </c>
      <c r="C485" s="725"/>
      <c r="D485" s="712">
        <f t="shared" si="53"/>
        <v>0</v>
      </c>
      <c r="E485" s="712">
        <f t="shared" si="57"/>
        <v>0</v>
      </c>
      <c r="F485" s="741" t="e">
        <f t="shared" si="54"/>
        <v>#DIV/0!</v>
      </c>
      <c r="G485" s="725"/>
      <c r="H485" s="712"/>
      <c r="I485" s="762"/>
      <c r="J485" s="880">
        <f>SUM(J486:J491)</f>
        <v>0</v>
      </c>
      <c r="K485" s="712">
        <f>SUM(K486:K491)</f>
        <v>0</v>
      </c>
      <c r="L485" s="741" t="e">
        <f t="shared" si="56"/>
        <v>#DIV/0!</v>
      </c>
      <c r="M485" s="725"/>
      <c r="N485" s="717"/>
      <c r="O485" s="801"/>
      <c r="P485" s="717"/>
      <c r="Q485" s="712"/>
      <c r="R485" s="802"/>
      <c r="S485" s="682"/>
      <c r="T485" s="682"/>
    </row>
    <row r="486" spans="1:20" s="756" customFormat="1" ht="24" hidden="1">
      <c r="A486" s="764">
        <v>3030</v>
      </c>
      <c r="B486" s="768" t="s">
        <v>199</v>
      </c>
      <c r="C486" s="720"/>
      <c r="D486" s="698">
        <f t="shared" si="53"/>
        <v>0</v>
      </c>
      <c r="E486" s="698">
        <f t="shared" si="57"/>
        <v>0</v>
      </c>
      <c r="F486" s="699" t="e">
        <f t="shared" si="54"/>
        <v>#DIV/0!</v>
      </c>
      <c r="G486" s="720"/>
      <c r="H486" s="698"/>
      <c r="I486" s="766"/>
      <c r="J486" s="879"/>
      <c r="K486" s="698"/>
      <c r="L486" s="744" t="e">
        <f t="shared" si="56"/>
        <v>#DIV/0!</v>
      </c>
      <c r="M486" s="720"/>
      <c r="N486" s="703"/>
      <c r="O486" s="766"/>
      <c r="P486" s="703"/>
      <c r="Q486" s="698"/>
      <c r="R486" s="770"/>
      <c r="S486" s="682"/>
      <c r="T486" s="682"/>
    </row>
    <row r="487" spans="1:20" s="756" customFormat="1" ht="36" hidden="1">
      <c r="A487" s="764">
        <v>4110</v>
      </c>
      <c r="B487" s="768" t="s">
        <v>207</v>
      </c>
      <c r="C487" s="720"/>
      <c r="D487" s="698">
        <f t="shared" si="53"/>
        <v>0</v>
      </c>
      <c r="E487" s="698">
        <f t="shared" si="57"/>
        <v>0</v>
      </c>
      <c r="F487" s="699" t="e">
        <f t="shared" si="54"/>
        <v>#DIV/0!</v>
      </c>
      <c r="G487" s="720"/>
      <c r="H487" s="698"/>
      <c r="I487" s="766"/>
      <c r="J487" s="879"/>
      <c r="K487" s="698"/>
      <c r="L487" s="744" t="e">
        <f t="shared" si="56"/>
        <v>#DIV/0!</v>
      </c>
      <c r="M487" s="720"/>
      <c r="N487" s="703"/>
      <c r="O487" s="766"/>
      <c r="P487" s="703"/>
      <c r="Q487" s="698"/>
      <c r="R487" s="770"/>
      <c r="S487" s="682"/>
      <c r="T487" s="682"/>
    </row>
    <row r="488" spans="1:20" s="756" customFormat="1" ht="12.75" hidden="1">
      <c r="A488" s="764">
        <v>4120</v>
      </c>
      <c r="B488" s="768" t="s">
        <v>584</v>
      </c>
      <c r="C488" s="720"/>
      <c r="D488" s="698">
        <f t="shared" si="53"/>
        <v>0</v>
      </c>
      <c r="E488" s="698">
        <f t="shared" si="57"/>
        <v>0</v>
      </c>
      <c r="F488" s="699" t="e">
        <f t="shared" si="54"/>
        <v>#DIV/0!</v>
      </c>
      <c r="G488" s="720"/>
      <c r="H488" s="698"/>
      <c r="I488" s="766"/>
      <c r="J488" s="879"/>
      <c r="K488" s="698"/>
      <c r="L488" s="744" t="e">
        <f t="shared" si="56"/>
        <v>#DIV/0!</v>
      </c>
      <c r="M488" s="720"/>
      <c r="N488" s="703"/>
      <c r="O488" s="766"/>
      <c r="P488" s="703"/>
      <c r="Q488" s="698"/>
      <c r="R488" s="770"/>
      <c r="S488" s="682"/>
      <c r="T488" s="682"/>
    </row>
    <row r="489" spans="1:20" s="756" customFormat="1" ht="24" hidden="1">
      <c r="A489" s="764">
        <v>4170</v>
      </c>
      <c r="B489" s="768" t="s">
        <v>242</v>
      </c>
      <c r="C489" s="720"/>
      <c r="D489" s="698">
        <f t="shared" si="53"/>
        <v>0</v>
      </c>
      <c r="E489" s="698">
        <f t="shared" si="57"/>
        <v>0</v>
      </c>
      <c r="F489" s="699" t="e">
        <f t="shared" si="54"/>
        <v>#DIV/0!</v>
      </c>
      <c r="G489" s="720"/>
      <c r="H489" s="698"/>
      <c r="I489" s="766"/>
      <c r="J489" s="879"/>
      <c r="K489" s="698"/>
      <c r="L489" s="744" t="e">
        <f t="shared" si="56"/>
        <v>#DIV/0!</v>
      </c>
      <c r="M489" s="720"/>
      <c r="N489" s="703"/>
      <c r="O489" s="766"/>
      <c r="P489" s="703"/>
      <c r="Q489" s="698"/>
      <c r="R489" s="770"/>
      <c r="S489" s="682"/>
      <c r="T489" s="682"/>
    </row>
    <row r="490" spans="1:20" s="756" customFormat="1" ht="24" hidden="1">
      <c r="A490" s="764">
        <v>4210</v>
      </c>
      <c r="B490" s="768" t="s">
        <v>211</v>
      </c>
      <c r="C490" s="720"/>
      <c r="D490" s="698">
        <f t="shared" si="53"/>
        <v>0</v>
      </c>
      <c r="E490" s="698">
        <f t="shared" si="57"/>
        <v>0</v>
      </c>
      <c r="F490" s="699" t="e">
        <f t="shared" si="54"/>
        <v>#DIV/0!</v>
      </c>
      <c r="G490" s="720"/>
      <c r="H490" s="698"/>
      <c r="I490" s="766"/>
      <c r="J490" s="879"/>
      <c r="K490" s="698"/>
      <c r="L490" s="744" t="e">
        <f t="shared" si="56"/>
        <v>#DIV/0!</v>
      </c>
      <c r="M490" s="720"/>
      <c r="N490" s="703"/>
      <c r="O490" s="766"/>
      <c r="P490" s="703"/>
      <c r="Q490" s="698"/>
      <c r="R490" s="770"/>
      <c r="S490" s="682"/>
      <c r="T490" s="682"/>
    </row>
    <row r="491" spans="1:20" s="756" customFormat="1" ht="24" hidden="1">
      <c r="A491" s="764">
        <v>4300</v>
      </c>
      <c r="B491" s="768" t="s">
        <v>219</v>
      </c>
      <c r="C491" s="720"/>
      <c r="D491" s="698">
        <f t="shared" si="53"/>
        <v>0</v>
      </c>
      <c r="E491" s="698">
        <f t="shared" si="57"/>
        <v>0</v>
      </c>
      <c r="F491" s="699" t="e">
        <f t="shared" si="54"/>
        <v>#DIV/0!</v>
      </c>
      <c r="G491" s="720"/>
      <c r="H491" s="698"/>
      <c r="I491" s="766"/>
      <c r="J491" s="879"/>
      <c r="K491" s="698"/>
      <c r="L491" s="744" t="e">
        <f t="shared" si="56"/>
        <v>#DIV/0!</v>
      </c>
      <c r="M491" s="720"/>
      <c r="N491" s="703"/>
      <c r="O491" s="766"/>
      <c r="P491" s="703"/>
      <c r="Q491" s="698"/>
      <c r="R491" s="770"/>
      <c r="S491" s="682"/>
      <c r="T491" s="682"/>
    </row>
    <row r="492" spans="1:20" s="756" customFormat="1" ht="24">
      <c r="A492" s="757">
        <v>75113</v>
      </c>
      <c r="B492" s="852" t="s">
        <v>759</v>
      </c>
      <c r="C492" s="725"/>
      <c r="D492" s="712">
        <f t="shared" si="53"/>
        <v>115320</v>
      </c>
      <c r="E492" s="712">
        <f t="shared" si="57"/>
        <v>115311</v>
      </c>
      <c r="F492" s="726">
        <f t="shared" si="54"/>
        <v>99.99219562955255</v>
      </c>
      <c r="G492" s="725"/>
      <c r="H492" s="712"/>
      <c r="I492" s="762"/>
      <c r="J492" s="800">
        <f>SUM(J493:J503)</f>
        <v>115320</v>
      </c>
      <c r="K492" s="712">
        <f>SUM(K493:K503)</f>
        <v>115311</v>
      </c>
      <c r="L492" s="741">
        <f t="shared" si="56"/>
        <v>99.99219562955255</v>
      </c>
      <c r="M492" s="725"/>
      <c r="N492" s="717"/>
      <c r="O492" s="801"/>
      <c r="P492" s="717"/>
      <c r="Q492" s="712"/>
      <c r="R492" s="802"/>
      <c r="S492" s="682"/>
      <c r="T492" s="682"/>
    </row>
    <row r="493" spans="1:18" ht="35.25" customHeight="1" hidden="1">
      <c r="A493" s="764">
        <v>3020</v>
      </c>
      <c r="B493" s="768" t="s">
        <v>663</v>
      </c>
      <c r="C493" s="720"/>
      <c r="D493" s="698">
        <f t="shared" si="53"/>
        <v>0</v>
      </c>
      <c r="E493" s="698">
        <f t="shared" si="57"/>
        <v>0</v>
      </c>
      <c r="F493" s="699" t="e">
        <f t="shared" si="54"/>
        <v>#DIV/0!</v>
      </c>
      <c r="G493" s="720"/>
      <c r="H493" s="698"/>
      <c r="I493" s="766"/>
      <c r="J493" s="698"/>
      <c r="K493" s="703">
        <v>0</v>
      </c>
      <c r="L493" s="744" t="e">
        <f t="shared" si="56"/>
        <v>#DIV/0!</v>
      </c>
      <c r="M493" s="720"/>
      <c r="N493" s="703"/>
      <c r="O493" s="766"/>
      <c r="P493" s="703"/>
      <c r="Q493" s="698"/>
      <c r="R493" s="770"/>
    </row>
    <row r="494" spans="1:18" ht="24.75" customHeight="1">
      <c r="A494" s="764">
        <v>3030</v>
      </c>
      <c r="B494" s="768" t="s">
        <v>199</v>
      </c>
      <c r="C494" s="720"/>
      <c r="D494" s="698">
        <f t="shared" si="53"/>
        <v>54765</v>
      </c>
      <c r="E494" s="698">
        <f t="shared" si="57"/>
        <v>54765</v>
      </c>
      <c r="F494" s="699">
        <f t="shared" si="54"/>
        <v>100</v>
      </c>
      <c r="G494" s="720"/>
      <c r="H494" s="698"/>
      <c r="I494" s="766"/>
      <c r="J494" s="698">
        <f>55710-945</f>
        <v>54765</v>
      </c>
      <c r="K494" s="703">
        <v>54765</v>
      </c>
      <c r="L494" s="744">
        <f t="shared" si="56"/>
        <v>100</v>
      </c>
      <c r="M494" s="720"/>
      <c r="N494" s="703"/>
      <c r="O494" s="766"/>
      <c r="P494" s="703"/>
      <c r="Q494" s="698"/>
      <c r="R494" s="770"/>
    </row>
    <row r="495" spans="1:18" ht="24.75" customHeight="1">
      <c r="A495" s="764">
        <v>4110</v>
      </c>
      <c r="B495" s="768" t="s">
        <v>207</v>
      </c>
      <c r="C495" s="720"/>
      <c r="D495" s="698">
        <f t="shared" si="53"/>
        <v>2818</v>
      </c>
      <c r="E495" s="698">
        <f t="shared" si="57"/>
        <v>2818</v>
      </c>
      <c r="F495" s="699">
        <f t="shared" si="54"/>
        <v>100</v>
      </c>
      <c r="G495" s="720"/>
      <c r="H495" s="698"/>
      <c r="I495" s="766"/>
      <c r="J495" s="698">
        <f>2191+629-2</f>
        <v>2818</v>
      </c>
      <c r="K495" s="703">
        <f>2817+1</f>
        <v>2818</v>
      </c>
      <c r="L495" s="744">
        <f t="shared" si="56"/>
        <v>100</v>
      </c>
      <c r="M495" s="720"/>
      <c r="N495" s="703"/>
      <c r="O495" s="766"/>
      <c r="P495" s="703"/>
      <c r="Q495" s="698"/>
      <c r="R495" s="770"/>
    </row>
    <row r="496" spans="1:18" ht="15" customHeight="1">
      <c r="A496" s="764">
        <v>4120</v>
      </c>
      <c r="B496" s="768" t="s">
        <v>584</v>
      </c>
      <c r="C496" s="720"/>
      <c r="D496" s="698">
        <f t="shared" si="53"/>
        <v>390</v>
      </c>
      <c r="E496" s="698">
        <f t="shared" si="57"/>
        <v>386</v>
      </c>
      <c r="F496" s="699">
        <f t="shared" si="54"/>
        <v>98.97435897435898</v>
      </c>
      <c r="G496" s="720"/>
      <c r="H496" s="698"/>
      <c r="I496" s="766"/>
      <c r="J496" s="698">
        <f>354+101-65</f>
        <v>390</v>
      </c>
      <c r="K496" s="703">
        <v>386</v>
      </c>
      <c r="L496" s="744">
        <f t="shared" si="56"/>
        <v>98.97435897435898</v>
      </c>
      <c r="M496" s="720"/>
      <c r="N496" s="703"/>
      <c r="O496" s="766"/>
      <c r="P496" s="703"/>
      <c r="Q496" s="698"/>
      <c r="R496" s="770"/>
    </row>
    <row r="497" spans="1:20" s="756" customFormat="1" ht="26.25" customHeight="1">
      <c r="A497" s="764">
        <v>4170</v>
      </c>
      <c r="B497" s="768" t="s">
        <v>242</v>
      </c>
      <c r="C497" s="720"/>
      <c r="D497" s="698">
        <f t="shared" si="53"/>
        <v>26770</v>
      </c>
      <c r="E497" s="698">
        <f t="shared" si="57"/>
        <v>26768</v>
      </c>
      <c r="F497" s="699">
        <f t="shared" si="54"/>
        <v>99.99252895031752</v>
      </c>
      <c r="G497" s="720"/>
      <c r="H497" s="698"/>
      <c r="I497" s="766"/>
      <c r="J497" s="698">
        <f>23400+3370</f>
        <v>26770</v>
      </c>
      <c r="K497" s="703">
        <v>26768</v>
      </c>
      <c r="L497" s="744">
        <f t="shared" si="56"/>
        <v>99.99252895031752</v>
      </c>
      <c r="M497" s="720"/>
      <c r="N497" s="703"/>
      <c r="O497" s="766"/>
      <c r="P497" s="703"/>
      <c r="Q497" s="698"/>
      <c r="R497" s="770"/>
      <c r="S497" s="682"/>
      <c r="T497" s="682"/>
    </row>
    <row r="498" spans="1:20" s="756" customFormat="1" ht="24.75" customHeight="1">
      <c r="A498" s="764">
        <v>4210</v>
      </c>
      <c r="B498" s="768" t="s">
        <v>211</v>
      </c>
      <c r="C498" s="720"/>
      <c r="D498" s="698">
        <f t="shared" si="53"/>
        <v>7240</v>
      </c>
      <c r="E498" s="698">
        <f t="shared" si="57"/>
        <v>7238</v>
      </c>
      <c r="F498" s="699">
        <f t="shared" si="54"/>
        <v>99.97237569060773</v>
      </c>
      <c r="G498" s="720"/>
      <c r="H498" s="698"/>
      <c r="I498" s="766"/>
      <c r="J498" s="698">
        <f>10000-2760</f>
        <v>7240</v>
      </c>
      <c r="K498" s="703">
        <v>7238</v>
      </c>
      <c r="L498" s="744">
        <f t="shared" si="56"/>
        <v>99.97237569060773</v>
      </c>
      <c r="M498" s="720"/>
      <c r="N498" s="703"/>
      <c r="O498" s="766"/>
      <c r="P498" s="703"/>
      <c r="Q498" s="698"/>
      <c r="R498" s="770"/>
      <c r="S498" s="682"/>
      <c r="T498" s="682"/>
    </row>
    <row r="499" spans="1:20" s="756" customFormat="1" ht="12.75" hidden="1">
      <c r="A499" s="764">
        <v>4260</v>
      </c>
      <c r="B499" s="768" t="s">
        <v>215</v>
      </c>
      <c r="C499" s="720"/>
      <c r="D499" s="698">
        <f t="shared" si="53"/>
        <v>0</v>
      </c>
      <c r="E499" s="698">
        <f>SUM(H499+K499+N499+Q499)</f>
        <v>0</v>
      </c>
      <c r="F499" s="699" t="e">
        <f>E499/D499*100</f>
        <v>#DIV/0!</v>
      </c>
      <c r="G499" s="720"/>
      <c r="H499" s="698"/>
      <c r="I499" s="766"/>
      <c r="J499" s="698">
        <f>50-50</f>
        <v>0</v>
      </c>
      <c r="K499" s="703"/>
      <c r="L499" s="744" t="e">
        <f t="shared" si="56"/>
        <v>#DIV/0!</v>
      </c>
      <c r="M499" s="720"/>
      <c r="N499" s="703"/>
      <c r="O499" s="766"/>
      <c r="P499" s="703"/>
      <c r="Q499" s="698"/>
      <c r="R499" s="770"/>
      <c r="S499" s="682"/>
      <c r="T499" s="682"/>
    </row>
    <row r="500" spans="1:20" s="756" customFormat="1" ht="16.5" customHeight="1">
      <c r="A500" s="764">
        <v>4300</v>
      </c>
      <c r="B500" s="768" t="s">
        <v>543</v>
      </c>
      <c r="C500" s="720"/>
      <c r="D500" s="698">
        <f t="shared" si="53"/>
        <v>15115</v>
      </c>
      <c r="E500" s="698">
        <f>SUM(H500+K500+N500+Q500)</f>
        <v>15115</v>
      </c>
      <c r="F500" s="699">
        <f>E500/D500*100</f>
        <v>100</v>
      </c>
      <c r="G500" s="720"/>
      <c r="H500" s="698"/>
      <c r="I500" s="766"/>
      <c r="J500" s="698">
        <f>15000+120-5</f>
        <v>15115</v>
      </c>
      <c r="K500" s="703">
        <v>15115</v>
      </c>
      <c r="L500" s="744">
        <f t="shared" si="56"/>
        <v>100</v>
      </c>
      <c r="M500" s="720"/>
      <c r="N500" s="703"/>
      <c r="O500" s="766"/>
      <c r="P500" s="703"/>
      <c r="Q500" s="698"/>
      <c r="R500" s="770"/>
      <c r="S500" s="682"/>
      <c r="T500" s="682"/>
    </row>
    <row r="501" spans="1:20" s="756" customFormat="1" ht="48" hidden="1">
      <c r="A501" s="901">
        <v>4370</v>
      </c>
      <c r="B501" s="828" t="s">
        <v>635</v>
      </c>
      <c r="C501" s="720"/>
      <c r="D501" s="698">
        <f t="shared" si="53"/>
        <v>0</v>
      </c>
      <c r="E501" s="698">
        <f>SUM(H501+K501+N501+Q501)</f>
        <v>0</v>
      </c>
      <c r="F501" s="699" t="e">
        <f>E501/D501*100</f>
        <v>#DIV/0!</v>
      </c>
      <c r="G501" s="720"/>
      <c r="H501" s="698"/>
      <c r="I501" s="766"/>
      <c r="J501" s="698">
        <f>200-200</f>
        <v>0</v>
      </c>
      <c r="K501" s="703"/>
      <c r="L501" s="744" t="e">
        <f t="shared" si="56"/>
        <v>#DIV/0!</v>
      </c>
      <c r="M501" s="720"/>
      <c r="N501" s="703"/>
      <c r="O501" s="766"/>
      <c r="P501" s="703"/>
      <c r="Q501" s="698"/>
      <c r="R501" s="770"/>
      <c r="S501" s="682"/>
      <c r="T501" s="682"/>
    </row>
    <row r="502" spans="1:20" s="756" customFormat="1" ht="49.5" customHeight="1">
      <c r="A502" s="764">
        <v>4740</v>
      </c>
      <c r="B502" s="828" t="s">
        <v>235</v>
      </c>
      <c r="C502" s="720"/>
      <c r="D502" s="698">
        <f t="shared" si="53"/>
        <v>671</v>
      </c>
      <c r="E502" s="698">
        <f>SUM(H502+K502+N502+Q502)</f>
        <v>670</v>
      </c>
      <c r="F502" s="699">
        <f>E502/D502*100</f>
        <v>99.85096870342772</v>
      </c>
      <c r="G502" s="720"/>
      <c r="H502" s="698"/>
      <c r="I502" s="766"/>
      <c r="J502" s="698">
        <f>3495-2820-4</f>
        <v>671</v>
      </c>
      <c r="K502" s="703">
        <v>670</v>
      </c>
      <c r="L502" s="744">
        <f t="shared" si="56"/>
        <v>99.85096870342772</v>
      </c>
      <c r="M502" s="720"/>
      <c r="N502" s="703"/>
      <c r="O502" s="766"/>
      <c r="P502" s="703"/>
      <c r="Q502" s="698"/>
      <c r="R502" s="770"/>
      <c r="S502" s="682"/>
      <c r="T502" s="682"/>
    </row>
    <row r="503" spans="1:20" s="756" customFormat="1" ht="36.75" thickBot="1">
      <c r="A503" s="764">
        <v>4750</v>
      </c>
      <c r="B503" s="828" t="s">
        <v>551</v>
      </c>
      <c r="C503" s="720"/>
      <c r="D503" s="792">
        <f t="shared" si="53"/>
        <v>7551</v>
      </c>
      <c r="E503" s="792">
        <f t="shared" si="57"/>
        <v>7551</v>
      </c>
      <c r="F503" s="699">
        <f t="shared" si="54"/>
        <v>100</v>
      </c>
      <c r="G503" s="791"/>
      <c r="H503" s="792"/>
      <c r="I503" s="806"/>
      <c r="J503" s="792">
        <f>6000+1560-9</f>
        <v>7551</v>
      </c>
      <c r="K503" s="793">
        <f>7551-1+1</f>
        <v>7551</v>
      </c>
      <c r="L503" s="744">
        <f t="shared" si="56"/>
        <v>100</v>
      </c>
      <c r="M503" s="791"/>
      <c r="N503" s="793"/>
      <c r="O503" s="806"/>
      <c r="P503" s="793"/>
      <c r="Q503" s="792"/>
      <c r="R503" s="797"/>
      <c r="S503" s="682"/>
      <c r="T503" s="682"/>
    </row>
    <row r="504" spans="1:20" s="756" customFormat="1" ht="17.25" customHeight="1" hidden="1">
      <c r="A504" s="749">
        <v>752</v>
      </c>
      <c r="B504" s="750" t="s">
        <v>664</v>
      </c>
      <c r="C504" s="751">
        <f>C505</f>
        <v>0</v>
      </c>
      <c r="D504" s="674">
        <f t="shared" si="53"/>
        <v>0</v>
      </c>
      <c r="E504" s="674">
        <f t="shared" si="57"/>
        <v>0</v>
      </c>
      <c r="F504" s="771" t="e">
        <f t="shared" si="54"/>
        <v>#DIV/0!</v>
      </c>
      <c r="G504" s="751"/>
      <c r="H504" s="674"/>
      <c r="I504" s="754"/>
      <c r="J504" s="674"/>
      <c r="K504" s="678"/>
      <c r="L504" s="772"/>
      <c r="M504" s="882"/>
      <c r="N504" s="674"/>
      <c r="O504" s="911"/>
      <c r="P504" s="678">
        <f>P505</f>
        <v>0</v>
      </c>
      <c r="Q504" s="674">
        <f>Q505</f>
        <v>0</v>
      </c>
      <c r="R504" s="773" t="e">
        <f aca="true" t="shared" si="58" ref="R504:R510">Q504/P504*100</f>
        <v>#DIV/0!</v>
      </c>
      <c r="S504" s="682"/>
      <c r="T504" s="682"/>
    </row>
    <row r="505" spans="1:20" s="756" customFormat="1" ht="25.5" hidden="1" thickBot="1" thickTop="1">
      <c r="A505" s="866">
        <v>75212</v>
      </c>
      <c r="B505" s="867" t="s">
        <v>665</v>
      </c>
      <c r="C505" s="868">
        <f>SUM(C506:C509)</f>
        <v>0</v>
      </c>
      <c r="D505" s="686">
        <f t="shared" si="53"/>
        <v>0</v>
      </c>
      <c r="E505" s="686">
        <f t="shared" si="57"/>
        <v>0</v>
      </c>
      <c r="F505" s="912" t="e">
        <f t="shared" si="54"/>
        <v>#DIV/0!</v>
      </c>
      <c r="G505" s="868"/>
      <c r="H505" s="686"/>
      <c r="I505" s="913"/>
      <c r="J505" s="686"/>
      <c r="K505" s="691"/>
      <c r="L505" s="870"/>
      <c r="M505" s="869"/>
      <c r="N505" s="686"/>
      <c r="O505" s="914"/>
      <c r="P505" s="691">
        <f>SUM(P506:P509)</f>
        <v>0</v>
      </c>
      <c r="Q505" s="686">
        <f>SUM(Q506:Q509)</f>
        <v>0</v>
      </c>
      <c r="R505" s="915" t="e">
        <f t="shared" si="58"/>
        <v>#DIV/0!</v>
      </c>
      <c r="S505" s="682"/>
      <c r="T505" s="682"/>
    </row>
    <row r="506" spans="1:18" ht="24.75" hidden="1" thickBot="1">
      <c r="A506" s="764">
        <v>4170</v>
      </c>
      <c r="B506" s="768" t="s">
        <v>242</v>
      </c>
      <c r="C506" s="720"/>
      <c r="D506" s="698">
        <f t="shared" si="53"/>
        <v>0</v>
      </c>
      <c r="E506" s="698">
        <f t="shared" si="57"/>
        <v>0</v>
      </c>
      <c r="F506" s="699" t="e">
        <f t="shared" si="54"/>
        <v>#DIV/0!</v>
      </c>
      <c r="G506" s="720"/>
      <c r="H506" s="698"/>
      <c r="I506" s="766"/>
      <c r="J506" s="698"/>
      <c r="K506" s="703"/>
      <c r="L506" s="702"/>
      <c r="M506" s="810"/>
      <c r="N506" s="698"/>
      <c r="O506" s="766"/>
      <c r="P506" s="703">
        <f>300-300</f>
        <v>0</v>
      </c>
      <c r="Q506" s="698"/>
      <c r="R506" s="770" t="e">
        <f t="shared" si="58"/>
        <v>#DIV/0!</v>
      </c>
    </row>
    <row r="507" spans="1:18" ht="24.75" hidden="1" thickBot="1">
      <c r="A507" s="764">
        <v>4210</v>
      </c>
      <c r="B507" s="768" t="s">
        <v>211</v>
      </c>
      <c r="C507" s="720"/>
      <c r="D507" s="698">
        <f t="shared" si="53"/>
        <v>0</v>
      </c>
      <c r="E507" s="698">
        <f t="shared" si="57"/>
        <v>0</v>
      </c>
      <c r="F507" s="699" t="e">
        <f t="shared" si="54"/>
        <v>#DIV/0!</v>
      </c>
      <c r="G507" s="720"/>
      <c r="H507" s="698"/>
      <c r="I507" s="766"/>
      <c r="J507" s="698"/>
      <c r="K507" s="703"/>
      <c r="L507" s="702"/>
      <c r="M507" s="810"/>
      <c r="N507" s="698"/>
      <c r="O507" s="766"/>
      <c r="P507" s="703"/>
      <c r="Q507" s="698"/>
      <c r="R507" s="770" t="e">
        <f t="shared" si="58"/>
        <v>#DIV/0!</v>
      </c>
    </row>
    <row r="508" spans="1:18" ht="36.75" hidden="1" thickBot="1">
      <c r="A508" s="764">
        <v>4240</v>
      </c>
      <c r="B508" s="768" t="s">
        <v>666</v>
      </c>
      <c r="C508" s="720"/>
      <c r="D508" s="698">
        <f t="shared" si="53"/>
        <v>0</v>
      </c>
      <c r="E508" s="698">
        <f t="shared" si="57"/>
        <v>0</v>
      </c>
      <c r="F508" s="699" t="e">
        <f t="shared" si="54"/>
        <v>#DIV/0!</v>
      </c>
      <c r="G508" s="720"/>
      <c r="H508" s="698"/>
      <c r="I508" s="766"/>
      <c r="J508" s="698"/>
      <c r="K508" s="703"/>
      <c r="L508" s="702"/>
      <c r="M508" s="810"/>
      <c r="N508" s="698"/>
      <c r="O508" s="766"/>
      <c r="P508" s="703">
        <f>200-200</f>
        <v>0</v>
      </c>
      <c r="Q508" s="698"/>
      <c r="R508" s="770" t="e">
        <f t="shared" si="58"/>
        <v>#DIV/0!</v>
      </c>
    </row>
    <row r="509" spans="1:20" s="756" customFormat="1" ht="24.75" hidden="1" thickBot="1">
      <c r="A509" s="764">
        <v>4300</v>
      </c>
      <c r="B509" s="768" t="s">
        <v>219</v>
      </c>
      <c r="C509" s="720"/>
      <c r="D509" s="698">
        <f t="shared" si="53"/>
        <v>0</v>
      </c>
      <c r="E509" s="698">
        <f t="shared" si="57"/>
        <v>0</v>
      </c>
      <c r="F509" s="699" t="e">
        <f t="shared" si="54"/>
        <v>#DIV/0!</v>
      </c>
      <c r="G509" s="720"/>
      <c r="H509" s="698"/>
      <c r="I509" s="766"/>
      <c r="J509" s="698"/>
      <c r="K509" s="703"/>
      <c r="L509" s="702"/>
      <c r="M509" s="810"/>
      <c r="N509" s="698"/>
      <c r="O509" s="766"/>
      <c r="P509" s="703">
        <f>200-200</f>
        <v>0</v>
      </c>
      <c r="Q509" s="698"/>
      <c r="R509" s="770"/>
      <c r="S509" s="682"/>
      <c r="T509" s="682"/>
    </row>
    <row r="510" spans="1:20" s="756" customFormat="1" ht="43.5" customHeight="1" thickBot="1" thickTop="1">
      <c r="A510" s="749">
        <v>754</v>
      </c>
      <c r="B510" s="750" t="s">
        <v>667</v>
      </c>
      <c r="C510" s="751">
        <f>C552+C515+C550+C511+C561+C559</f>
        <v>7598500</v>
      </c>
      <c r="D510" s="674">
        <f>G510+J510+P510+M510</f>
        <v>10092446</v>
      </c>
      <c r="E510" s="674">
        <f>H510+K510+Q510+N510</f>
        <v>10047673</v>
      </c>
      <c r="F510" s="675">
        <f t="shared" si="54"/>
        <v>99.55637117107192</v>
      </c>
      <c r="G510" s="751">
        <f>G552+G515+G550+G511+G561+G559</f>
        <v>179500</v>
      </c>
      <c r="H510" s="674">
        <f>SUM(H511+H515+H550+H552)+H561+H559</f>
        <v>138885</v>
      </c>
      <c r="I510" s="677">
        <f>H510/G510*100</f>
        <v>77.3732590529248</v>
      </c>
      <c r="J510" s="674">
        <f>J552</f>
        <v>10000</v>
      </c>
      <c r="K510" s="674">
        <f>K552</f>
        <v>9979</v>
      </c>
      <c r="L510" s="772">
        <f>K510/J510*100</f>
        <v>99.79</v>
      </c>
      <c r="M510" s="882">
        <f>M511+M515</f>
        <v>1278000</v>
      </c>
      <c r="N510" s="674">
        <f>N511+N515</f>
        <v>1273933</v>
      </c>
      <c r="O510" s="752">
        <f aca="true" t="shared" si="59" ref="O510:O515">N510/M510*100</f>
        <v>99.68176838810642</v>
      </c>
      <c r="P510" s="751">
        <f>P552+P515+P550+P511+P561</f>
        <v>8624946</v>
      </c>
      <c r="Q510" s="674">
        <f>Q552+Q515+Q550+Q511+Q561</f>
        <v>8624876</v>
      </c>
      <c r="R510" s="752">
        <f t="shared" si="58"/>
        <v>99.9991884007158</v>
      </c>
      <c r="S510" s="682"/>
      <c r="T510" s="682"/>
    </row>
    <row r="511" spans="1:20" s="756" customFormat="1" ht="26.25" customHeight="1" thickTop="1">
      <c r="A511" s="866">
        <v>75405</v>
      </c>
      <c r="B511" s="867" t="s">
        <v>668</v>
      </c>
      <c r="C511" s="868">
        <f>SUM(C514)</f>
        <v>0</v>
      </c>
      <c r="D511" s="686">
        <f t="shared" si="53"/>
        <v>790000</v>
      </c>
      <c r="E511" s="686">
        <f>H511+K511+Q511+N511</f>
        <v>785933</v>
      </c>
      <c r="F511" s="687">
        <f t="shared" si="54"/>
        <v>99.48518987341772</v>
      </c>
      <c r="G511" s="868"/>
      <c r="H511" s="759"/>
      <c r="I511" s="806"/>
      <c r="J511" s="839"/>
      <c r="K511" s="759"/>
      <c r="L511" s="865"/>
      <c r="M511" s="759">
        <f>SUM(M512:M514)</f>
        <v>790000</v>
      </c>
      <c r="N511" s="759">
        <f>SUM(N512:N514)</f>
        <v>785933</v>
      </c>
      <c r="O511" s="761">
        <f t="shared" si="59"/>
        <v>99.48518987341772</v>
      </c>
      <c r="P511" s="759"/>
      <c r="Q511" s="759"/>
      <c r="R511" s="796"/>
      <c r="S511" s="682"/>
      <c r="T511" s="682"/>
    </row>
    <row r="512" spans="1:20" s="756" customFormat="1" ht="24">
      <c r="A512" s="764">
        <v>3000</v>
      </c>
      <c r="B512" s="768" t="s">
        <v>669</v>
      </c>
      <c r="C512" s="720"/>
      <c r="D512" s="732">
        <f t="shared" si="53"/>
        <v>690000</v>
      </c>
      <c r="E512" s="732">
        <f>H512+K512+N512+Q512</f>
        <v>689933</v>
      </c>
      <c r="F512" s="721">
        <f t="shared" si="54"/>
        <v>99.99028985507246</v>
      </c>
      <c r="G512" s="776"/>
      <c r="H512" s="777"/>
      <c r="I512" s="766"/>
      <c r="J512" s="778"/>
      <c r="K512" s="777"/>
      <c r="L512" s="779"/>
      <c r="M512" s="723">
        <f>350000+250000+90000</f>
        <v>690000</v>
      </c>
      <c r="N512" s="732">
        <v>689933</v>
      </c>
      <c r="O512" s="786">
        <f t="shared" si="59"/>
        <v>99.99028985507246</v>
      </c>
      <c r="P512" s="723"/>
      <c r="Q512" s="698"/>
      <c r="R512" s="702"/>
      <c r="S512" s="682"/>
      <c r="T512" s="682"/>
    </row>
    <row r="513" spans="1:20" s="756" customFormat="1" ht="24" hidden="1">
      <c r="A513" s="764">
        <v>4300</v>
      </c>
      <c r="B513" s="768" t="s">
        <v>219</v>
      </c>
      <c r="C513" s="720"/>
      <c r="D513" s="698">
        <f t="shared" si="53"/>
        <v>0</v>
      </c>
      <c r="E513" s="732">
        <f>H513+K513+N513+Q513</f>
        <v>0</v>
      </c>
      <c r="F513" s="699" t="e">
        <f t="shared" si="54"/>
        <v>#DIV/0!</v>
      </c>
      <c r="G513" s="776"/>
      <c r="H513" s="778"/>
      <c r="I513" s="766"/>
      <c r="J513" s="778"/>
      <c r="K513" s="777"/>
      <c r="L513" s="779"/>
      <c r="M513" s="720"/>
      <c r="N513" s="698"/>
      <c r="O513" s="744"/>
      <c r="P513" s="720"/>
      <c r="Q513" s="698"/>
      <c r="R513" s="702"/>
      <c r="S513" s="682"/>
      <c r="T513" s="682"/>
    </row>
    <row r="514" spans="1:20" s="756" customFormat="1" ht="60">
      <c r="A514" s="789">
        <v>6170</v>
      </c>
      <c r="B514" s="804" t="s">
        <v>670</v>
      </c>
      <c r="C514" s="791"/>
      <c r="D514" s="792">
        <f t="shared" si="53"/>
        <v>100000</v>
      </c>
      <c r="E514" s="792">
        <f>H514+K514+N514+Q514</f>
        <v>96000</v>
      </c>
      <c r="F514" s="760">
        <f t="shared" si="54"/>
        <v>96</v>
      </c>
      <c r="G514" s="837"/>
      <c r="H514" s="839"/>
      <c r="I514" s="806"/>
      <c r="J514" s="839"/>
      <c r="K514" s="759"/>
      <c r="L514" s="865"/>
      <c r="M514" s="791">
        <v>100000</v>
      </c>
      <c r="N514" s="698">
        <f>100000-4000</f>
        <v>96000</v>
      </c>
      <c r="O514" s="744">
        <f t="shared" si="59"/>
        <v>96</v>
      </c>
      <c r="P514" s="791"/>
      <c r="Q514" s="792"/>
      <c r="R514" s="796"/>
      <c r="S514" s="682"/>
      <c r="T514" s="682"/>
    </row>
    <row r="515" spans="1:20" s="756" customFormat="1" ht="36.75" customHeight="1">
      <c r="A515" s="835">
        <v>75411</v>
      </c>
      <c r="B515" s="836" t="s">
        <v>671</v>
      </c>
      <c r="C515" s="837">
        <f>SUM(C516:C549)</f>
        <v>7410000</v>
      </c>
      <c r="D515" s="759">
        <f t="shared" si="53"/>
        <v>9061810</v>
      </c>
      <c r="E515" s="759">
        <f aca="true" t="shared" si="60" ref="E515:E549">SUM(H515+K515+N515+Q515)</f>
        <v>9061756</v>
      </c>
      <c r="F515" s="760">
        <f t="shared" si="54"/>
        <v>99.99940409255987</v>
      </c>
      <c r="G515" s="837"/>
      <c r="H515" s="717"/>
      <c r="I515" s="762"/>
      <c r="J515" s="717"/>
      <c r="K515" s="712"/>
      <c r="L515" s="718"/>
      <c r="M515" s="712">
        <f>SUM(M516:M549)</f>
        <v>488000</v>
      </c>
      <c r="N515" s="712">
        <f>SUM(N516:N549)</f>
        <v>488000</v>
      </c>
      <c r="O515" s="741">
        <f t="shared" si="59"/>
        <v>100</v>
      </c>
      <c r="P515" s="725">
        <f>SUM(P516:P549)</f>
        <v>8573810</v>
      </c>
      <c r="Q515" s="712">
        <f>SUM(Q516:Q549)</f>
        <v>8573756</v>
      </c>
      <c r="R515" s="741">
        <f aca="true" t="shared" si="61" ref="R515:R549">Q515/P515*100</f>
        <v>99.99937017498638</v>
      </c>
      <c r="S515" s="682"/>
      <c r="T515" s="682"/>
    </row>
    <row r="516" spans="1:20" s="756" customFormat="1" ht="52.5" customHeight="1">
      <c r="A516" s="764">
        <v>3070</v>
      </c>
      <c r="B516" s="768" t="s">
        <v>672</v>
      </c>
      <c r="C516" s="720">
        <v>400000</v>
      </c>
      <c r="D516" s="698">
        <f t="shared" si="53"/>
        <v>339982</v>
      </c>
      <c r="E516" s="698">
        <f t="shared" si="60"/>
        <v>339981</v>
      </c>
      <c r="F516" s="699">
        <f t="shared" si="54"/>
        <v>99.99970586678118</v>
      </c>
      <c r="G516" s="776"/>
      <c r="H516" s="777"/>
      <c r="I516" s="766"/>
      <c r="J516" s="600"/>
      <c r="K516" s="777"/>
      <c r="L516" s="779"/>
      <c r="M516" s="777"/>
      <c r="N516" s="778"/>
      <c r="O516" s="766"/>
      <c r="P516" s="720">
        <f>400000-36000+1952-25970</f>
        <v>339982</v>
      </c>
      <c r="Q516" s="698">
        <v>339981</v>
      </c>
      <c r="R516" s="744">
        <f t="shared" si="61"/>
        <v>99.99970586678118</v>
      </c>
      <c r="S516" s="682"/>
      <c r="T516" s="682"/>
    </row>
    <row r="517" spans="1:20" s="756" customFormat="1" ht="27.75" customHeight="1">
      <c r="A517" s="764">
        <v>4010</v>
      </c>
      <c r="B517" s="768" t="s">
        <v>673</v>
      </c>
      <c r="C517" s="720">
        <v>124000</v>
      </c>
      <c r="D517" s="698">
        <f t="shared" si="53"/>
        <v>136539</v>
      </c>
      <c r="E517" s="698">
        <f t="shared" si="60"/>
        <v>136538</v>
      </c>
      <c r="F517" s="699">
        <f t="shared" si="54"/>
        <v>99.9992676085221</v>
      </c>
      <c r="G517" s="776"/>
      <c r="H517" s="777"/>
      <c r="I517" s="766"/>
      <c r="J517" s="600"/>
      <c r="K517" s="777"/>
      <c r="L517" s="779"/>
      <c r="M517" s="777"/>
      <c r="N517" s="778"/>
      <c r="O517" s="766"/>
      <c r="P517" s="720">
        <f>124000+12539</f>
        <v>136539</v>
      </c>
      <c r="Q517" s="698">
        <v>136538</v>
      </c>
      <c r="R517" s="744">
        <f t="shared" si="61"/>
        <v>99.9992676085221</v>
      </c>
      <c r="S517" s="682"/>
      <c r="T517" s="682"/>
    </row>
    <row r="518" spans="1:20" s="756" customFormat="1" ht="39" customHeight="1">
      <c r="A518" s="764">
        <v>4020</v>
      </c>
      <c r="B518" s="768" t="s">
        <v>203</v>
      </c>
      <c r="C518" s="720">
        <v>79000</v>
      </c>
      <c r="D518" s="698">
        <f t="shared" si="53"/>
        <v>86575</v>
      </c>
      <c r="E518" s="698">
        <f t="shared" si="60"/>
        <v>86575</v>
      </c>
      <c r="F518" s="699">
        <f t="shared" si="54"/>
        <v>100</v>
      </c>
      <c r="G518" s="776"/>
      <c r="H518" s="777"/>
      <c r="I518" s="766"/>
      <c r="J518" s="609"/>
      <c r="K518" s="777"/>
      <c r="L518" s="779"/>
      <c r="M518" s="777"/>
      <c r="N518" s="778"/>
      <c r="O518" s="766"/>
      <c r="P518" s="720">
        <f>79000+6263+1324-12</f>
        <v>86575</v>
      </c>
      <c r="Q518" s="698">
        <v>86575</v>
      </c>
      <c r="R518" s="744">
        <f t="shared" si="61"/>
        <v>100</v>
      </c>
      <c r="S518" s="682"/>
      <c r="T518" s="682"/>
    </row>
    <row r="519" spans="1:20" s="756" customFormat="1" ht="24">
      <c r="A519" s="764">
        <v>4040</v>
      </c>
      <c r="B519" s="768" t="s">
        <v>205</v>
      </c>
      <c r="C519" s="720">
        <v>11000</v>
      </c>
      <c r="D519" s="698">
        <f t="shared" si="53"/>
        <v>9783</v>
      </c>
      <c r="E519" s="698">
        <f t="shared" si="60"/>
        <v>9783</v>
      </c>
      <c r="F519" s="699">
        <f t="shared" si="54"/>
        <v>100</v>
      </c>
      <c r="G519" s="776"/>
      <c r="H519" s="777"/>
      <c r="I519" s="766"/>
      <c r="J519" s="609"/>
      <c r="K519" s="777"/>
      <c r="L519" s="779"/>
      <c r="M519" s="777"/>
      <c r="N519" s="778"/>
      <c r="O519" s="766"/>
      <c r="P519" s="720">
        <f>11000+6340-7557</f>
        <v>9783</v>
      </c>
      <c r="Q519" s="698">
        <v>9783</v>
      </c>
      <c r="R519" s="744">
        <f t="shared" si="61"/>
        <v>100</v>
      </c>
      <c r="S519" s="682"/>
      <c r="T519" s="682"/>
    </row>
    <row r="520" spans="1:20" s="756" customFormat="1" ht="48">
      <c r="A520" s="764">
        <v>4050</v>
      </c>
      <c r="B520" s="768" t="s">
        <v>674</v>
      </c>
      <c r="C520" s="720">
        <v>4905000</v>
      </c>
      <c r="D520" s="698">
        <f t="shared" si="53"/>
        <v>5306465</v>
      </c>
      <c r="E520" s="698">
        <f t="shared" si="60"/>
        <v>5306465</v>
      </c>
      <c r="F520" s="699">
        <f t="shared" si="54"/>
        <v>100</v>
      </c>
      <c r="G520" s="776"/>
      <c r="H520" s="777"/>
      <c r="I520" s="766"/>
      <c r="J520" s="609"/>
      <c r="K520" s="777"/>
      <c r="L520" s="779"/>
      <c r="M520" s="777"/>
      <c r="N520" s="778"/>
      <c r="O520" s="766"/>
      <c r="P520" s="720">
        <f>4905000+492+495392-94419</f>
        <v>5306465</v>
      </c>
      <c r="Q520" s="698">
        <v>5306465</v>
      </c>
      <c r="R520" s="744">
        <f t="shared" si="61"/>
        <v>100</v>
      </c>
      <c r="S520" s="682"/>
      <c r="T520" s="682"/>
    </row>
    <row r="521" spans="1:20" s="756" customFormat="1" ht="48">
      <c r="A521" s="764">
        <v>4060</v>
      </c>
      <c r="B521" s="768" t="s">
        <v>675</v>
      </c>
      <c r="C521" s="720">
        <v>337000</v>
      </c>
      <c r="D521" s="698">
        <f t="shared" si="53"/>
        <v>526122</v>
      </c>
      <c r="E521" s="698">
        <f t="shared" si="60"/>
        <v>526121</v>
      </c>
      <c r="F521" s="699">
        <f t="shared" si="54"/>
        <v>99.99980993001624</v>
      </c>
      <c r="G521" s="776"/>
      <c r="H521" s="777"/>
      <c r="I521" s="766"/>
      <c r="J521" s="609"/>
      <c r="K521" s="777"/>
      <c r="L521" s="779"/>
      <c r="M521" s="777"/>
      <c r="N521" s="778"/>
      <c r="O521" s="766"/>
      <c r="P521" s="720">
        <f>337000+417+7429+89350+91926</f>
        <v>526122</v>
      </c>
      <c r="Q521" s="698">
        <v>526121</v>
      </c>
      <c r="R521" s="744">
        <f t="shared" si="61"/>
        <v>99.99980993001624</v>
      </c>
      <c r="S521" s="682"/>
      <c r="T521" s="682"/>
    </row>
    <row r="522" spans="1:20" s="756" customFormat="1" ht="49.5" customHeight="1">
      <c r="A522" s="764">
        <v>4070</v>
      </c>
      <c r="B522" s="768" t="s">
        <v>676</v>
      </c>
      <c r="C522" s="720">
        <v>409000</v>
      </c>
      <c r="D522" s="698">
        <f t="shared" si="53"/>
        <v>411680</v>
      </c>
      <c r="E522" s="698">
        <f t="shared" si="60"/>
        <v>411679</v>
      </c>
      <c r="F522" s="699">
        <f t="shared" si="54"/>
        <v>99.99975709288768</v>
      </c>
      <c r="G522" s="776"/>
      <c r="H522" s="777"/>
      <c r="I522" s="766"/>
      <c r="J522" s="609"/>
      <c r="K522" s="777"/>
      <c r="L522" s="779"/>
      <c r="M522" s="777"/>
      <c r="N522" s="778"/>
      <c r="O522" s="766"/>
      <c r="P522" s="720">
        <f>409000+29042+5420-31782</f>
        <v>411680</v>
      </c>
      <c r="Q522" s="698">
        <v>411679</v>
      </c>
      <c r="R522" s="744">
        <f t="shared" si="61"/>
        <v>99.99975709288768</v>
      </c>
      <c r="S522" s="682"/>
      <c r="T522" s="682"/>
    </row>
    <row r="523" spans="1:20" s="756" customFormat="1" ht="51" customHeight="1">
      <c r="A523" s="764">
        <v>4080</v>
      </c>
      <c r="B523" s="768" t="s">
        <v>677</v>
      </c>
      <c r="C523" s="720">
        <v>22000</v>
      </c>
      <c r="D523" s="698">
        <f t="shared" si="53"/>
        <v>22000</v>
      </c>
      <c r="E523" s="698">
        <f t="shared" si="60"/>
        <v>21982</v>
      </c>
      <c r="F523" s="699">
        <f t="shared" si="54"/>
        <v>99.91818181818182</v>
      </c>
      <c r="G523" s="776"/>
      <c r="H523" s="777"/>
      <c r="I523" s="766"/>
      <c r="J523" s="600"/>
      <c r="K523" s="777"/>
      <c r="L523" s="779"/>
      <c r="M523" s="777"/>
      <c r="N523" s="778"/>
      <c r="O523" s="766"/>
      <c r="P523" s="720">
        <v>22000</v>
      </c>
      <c r="Q523" s="698">
        <v>21982</v>
      </c>
      <c r="R523" s="744">
        <f t="shared" si="61"/>
        <v>99.91818181818182</v>
      </c>
      <c r="S523" s="682"/>
      <c r="T523" s="682"/>
    </row>
    <row r="524" spans="1:20" s="756" customFormat="1" ht="24.75" customHeight="1">
      <c r="A524" s="764">
        <v>4110</v>
      </c>
      <c r="B524" s="768" t="s">
        <v>207</v>
      </c>
      <c r="C524" s="720">
        <v>37500</v>
      </c>
      <c r="D524" s="698">
        <f t="shared" si="53"/>
        <v>41010</v>
      </c>
      <c r="E524" s="698">
        <f t="shared" si="60"/>
        <v>41009</v>
      </c>
      <c r="F524" s="699">
        <f t="shared" si="54"/>
        <v>99.9975615703487</v>
      </c>
      <c r="G524" s="776"/>
      <c r="H524" s="777"/>
      <c r="I524" s="766"/>
      <c r="J524" s="609"/>
      <c r="K524" s="777"/>
      <c r="L524" s="779"/>
      <c r="M524" s="777"/>
      <c r="N524" s="778"/>
      <c r="O524" s="766"/>
      <c r="P524" s="720">
        <f>37500+1608+1902</f>
        <v>41010</v>
      </c>
      <c r="Q524" s="698">
        <v>41009</v>
      </c>
      <c r="R524" s="744">
        <f t="shared" si="61"/>
        <v>99.9975615703487</v>
      </c>
      <c r="S524" s="682"/>
      <c r="T524" s="682"/>
    </row>
    <row r="525" spans="1:20" s="756" customFormat="1" ht="15.75" customHeight="1">
      <c r="A525" s="764">
        <v>4120</v>
      </c>
      <c r="B525" s="768" t="s">
        <v>588</v>
      </c>
      <c r="C525" s="720">
        <v>5500</v>
      </c>
      <c r="D525" s="698">
        <f t="shared" si="53"/>
        <v>5716</v>
      </c>
      <c r="E525" s="698">
        <f t="shared" si="60"/>
        <v>5716</v>
      </c>
      <c r="F525" s="699">
        <f t="shared" si="54"/>
        <v>100</v>
      </c>
      <c r="G525" s="776"/>
      <c r="H525" s="777"/>
      <c r="I525" s="766"/>
      <c r="J525" s="600"/>
      <c r="K525" s="777"/>
      <c r="L525" s="779"/>
      <c r="M525" s="777"/>
      <c r="N525" s="778"/>
      <c r="O525" s="766"/>
      <c r="P525" s="720">
        <f>5500+359-143</f>
        <v>5716</v>
      </c>
      <c r="Q525" s="698">
        <v>5716</v>
      </c>
      <c r="R525" s="744">
        <f t="shared" si="61"/>
        <v>100</v>
      </c>
      <c r="S525" s="682"/>
      <c r="T525" s="682"/>
    </row>
    <row r="526" spans="1:20" s="756" customFormat="1" ht="24">
      <c r="A526" s="764">
        <v>4170</v>
      </c>
      <c r="B526" s="768" t="s">
        <v>242</v>
      </c>
      <c r="C526" s="720">
        <v>20000</v>
      </c>
      <c r="D526" s="698">
        <f t="shared" si="53"/>
        <v>12724</v>
      </c>
      <c r="E526" s="698">
        <f t="shared" si="60"/>
        <v>12724</v>
      </c>
      <c r="F526" s="699">
        <f t="shared" si="54"/>
        <v>100</v>
      </c>
      <c r="G526" s="720"/>
      <c r="H526" s="698"/>
      <c r="I526" s="766"/>
      <c r="J526" s="600"/>
      <c r="K526" s="777"/>
      <c r="L526" s="779"/>
      <c r="M526" s="777"/>
      <c r="N526" s="778"/>
      <c r="O526" s="766"/>
      <c r="P526" s="720">
        <f>20000-8612+1336</f>
        <v>12724</v>
      </c>
      <c r="Q526" s="698">
        <v>12724</v>
      </c>
      <c r="R526" s="744">
        <f t="shared" si="61"/>
        <v>100</v>
      </c>
      <c r="S526" s="682"/>
      <c r="T526" s="682"/>
    </row>
    <row r="527" spans="1:20" s="756" customFormat="1" ht="40.5" customHeight="1">
      <c r="A527" s="764">
        <v>4180</v>
      </c>
      <c r="B527" s="768" t="s">
        <v>678</v>
      </c>
      <c r="C527" s="720">
        <v>231850</v>
      </c>
      <c r="D527" s="698">
        <f t="shared" si="53"/>
        <v>215163</v>
      </c>
      <c r="E527" s="698">
        <f t="shared" si="60"/>
        <v>215162</v>
      </c>
      <c r="F527" s="699">
        <f t="shared" si="54"/>
        <v>99.99953523607684</v>
      </c>
      <c r="G527" s="720"/>
      <c r="H527" s="698"/>
      <c r="I527" s="766"/>
      <c r="J527" s="600"/>
      <c r="K527" s="777"/>
      <c r="L527" s="779"/>
      <c r="M527" s="777"/>
      <c r="N527" s="778"/>
      <c r="O527" s="766"/>
      <c r="P527" s="720">
        <f>231850-16687</f>
        <v>215163</v>
      </c>
      <c r="Q527" s="698">
        <f>215163-1</f>
        <v>215162</v>
      </c>
      <c r="R527" s="744">
        <f t="shared" si="61"/>
        <v>99.99953523607684</v>
      </c>
      <c r="S527" s="682"/>
      <c r="T527" s="682"/>
    </row>
    <row r="528" spans="1:20" s="756" customFormat="1" ht="24">
      <c r="A528" s="764">
        <v>4210</v>
      </c>
      <c r="B528" s="768" t="s">
        <v>211</v>
      </c>
      <c r="C528" s="720">
        <v>210382</v>
      </c>
      <c r="D528" s="698">
        <f>G528+J528+P528+M528</f>
        <v>349436</v>
      </c>
      <c r="E528" s="698">
        <f t="shared" si="60"/>
        <v>349435</v>
      </c>
      <c r="F528" s="699">
        <f t="shared" si="54"/>
        <v>99.999713824563</v>
      </c>
      <c r="G528" s="720"/>
      <c r="H528" s="698"/>
      <c r="I528" s="766"/>
      <c r="J528" s="600"/>
      <c r="K528" s="777"/>
      <c r="L528" s="779"/>
      <c r="M528" s="698">
        <f>40000-20100</f>
        <v>19900</v>
      </c>
      <c r="N528" s="703">
        <v>19900</v>
      </c>
      <c r="O528" s="744">
        <f>N528/M528*100</f>
        <v>100</v>
      </c>
      <c r="P528" s="720">
        <f>170382-24821+10358+57369+74164+44988-2904</f>
        <v>329536</v>
      </c>
      <c r="Q528" s="698">
        <v>329535</v>
      </c>
      <c r="R528" s="744">
        <f t="shared" si="61"/>
        <v>99.99969654301806</v>
      </c>
      <c r="S528" s="682"/>
      <c r="T528" s="682"/>
    </row>
    <row r="529" spans="1:20" s="756" customFormat="1" ht="24" hidden="1">
      <c r="A529" s="764">
        <v>4250</v>
      </c>
      <c r="B529" s="768" t="s">
        <v>679</v>
      </c>
      <c r="C529" s="720"/>
      <c r="D529" s="698">
        <f t="shared" si="53"/>
        <v>0</v>
      </c>
      <c r="E529" s="698">
        <f t="shared" si="60"/>
        <v>0</v>
      </c>
      <c r="F529" s="699" t="e">
        <f t="shared" si="54"/>
        <v>#DIV/0!</v>
      </c>
      <c r="G529" s="720"/>
      <c r="H529" s="698"/>
      <c r="I529" s="766" t="e">
        <f>H529/G529*100</f>
        <v>#DIV/0!</v>
      </c>
      <c r="J529" s="600"/>
      <c r="K529" s="777"/>
      <c r="L529" s="779"/>
      <c r="M529" s="698"/>
      <c r="N529" s="703"/>
      <c r="O529" s="744" t="e">
        <f aca="true" t="shared" si="62" ref="O529:O534">N529/M529*100</f>
        <v>#DIV/0!</v>
      </c>
      <c r="P529" s="720"/>
      <c r="Q529" s="698"/>
      <c r="R529" s="744" t="e">
        <f t="shared" si="61"/>
        <v>#DIV/0!</v>
      </c>
      <c r="S529" s="682"/>
      <c r="T529" s="682"/>
    </row>
    <row r="530" spans="1:20" s="756" customFormat="1" ht="24" hidden="1">
      <c r="A530" s="764">
        <v>4220</v>
      </c>
      <c r="B530" s="768" t="s">
        <v>680</v>
      </c>
      <c r="C530" s="720"/>
      <c r="D530" s="698">
        <f t="shared" si="53"/>
        <v>0</v>
      </c>
      <c r="E530" s="698">
        <f t="shared" si="60"/>
        <v>0</v>
      </c>
      <c r="F530" s="699" t="e">
        <f>E530/D530*100</f>
        <v>#DIV/0!</v>
      </c>
      <c r="G530" s="720"/>
      <c r="H530" s="698"/>
      <c r="I530" s="766"/>
      <c r="J530" s="600"/>
      <c r="K530" s="777"/>
      <c r="L530" s="779"/>
      <c r="M530" s="698"/>
      <c r="N530" s="703"/>
      <c r="O530" s="744" t="e">
        <f t="shared" si="62"/>
        <v>#DIV/0!</v>
      </c>
      <c r="P530" s="720"/>
      <c r="Q530" s="698"/>
      <c r="R530" s="744" t="e">
        <f t="shared" si="61"/>
        <v>#DIV/0!</v>
      </c>
      <c r="S530" s="682"/>
      <c r="T530" s="682"/>
    </row>
    <row r="531" spans="1:20" s="756" customFormat="1" ht="19.5" customHeight="1" hidden="1">
      <c r="A531" s="764">
        <v>4230</v>
      </c>
      <c r="B531" s="768" t="s">
        <v>213</v>
      </c>
      <c r="C531" s="720"/>
      <c r="D531" s="698">
        <f t="shared" si="53"/>
        <v>0</v>
      </c>
      <c r="E531" s="698">
        <f t="shared" si="60"/>
        <v>0</v>
      </c>
      <c r="F531" s="699" t="e">
        <f>E531/D531*100</f>
        <v>#DIV/0!</v>
      </c>
      <c r="G531" s="720"/>
      <c r="H531" s="698"/>
      <c r="I531" s="766"/>
      <c r="J531" s="600"/>
      <c r="K531" s="777"/>
      <c r="L531" s="779"/>
      <c r="M531" s="698"/>
      <c r="N531" s="703"/>
      <c r="O531" s="744" t="e">
        <f t="shared" si="62"/>
        <v>#DIV/0!</v>
      </c>
      <c r="P531" s="720"/>
      <c r="Q531" s="698"/>
      <c r="R531" s="744" t="e">
        <f t="shared" si="61"/>
        <v>#DIV/0!</v>
      </c>
      <c r="S531" s="682"/>
      <c r="T531" s="682"/>
    </row>
    <row r="532" spans="1:20" s="756" customFormat="1" ht="24" hidden="1">
      <c r="A532" s="764">
        <v>4250</v>
      </c>
      <c r="B532" s="768" t="s">
        <v>681</v>
      </c>
      <c r="C532" s="720"/>
      <c r="D532" s="698">
        <f t="shared" si="53"/>
        <v>0</v>
      </c>
      <c r="E532" s="698">
        <f t="shared" si="60"/>
        <v>0</v>
      </c>
      <c r="F532" s="699"/>
      <c r="G532" s="720"/>
      <c r="H532" s="698"/>
      <c r="I532" s="766"/>
      <c r="J532" s="600"/>
      <c r="K532" s="777"/>
      <c r="L532" s="779"/>
      <c r="M532" s="698"/>
      <c r="N532" s="703"/>
      <c r="O532" s="744" t="e">
        <f t="shared" si="62"/>
        <v>#DIV/0!</v>
      </c>
      <c r="P532" s="720"/>
      <c r="Q532" s="698"/>
      <c r="R532" s="744" t="e">
        <f t="shared" si="61"/>
        <v>#DIV/0!</v>
      </c>
      <c r="S532" s="682"/>
      <c r="T532" s="682"/>
    </row>
    <row r="533" spans="1:20" s="756" customFormat="1" ht="12.75">
      <c r="A533" s="764">
        <v>4260</v>
      </c>
      <c r="B533" s="768" t="s">
        <v>215</v>
      </c>
      <c r="C533" s="720">
        <v>260000</v>
      </c>
      <c r="D533" s="698">
        <f t="shared" si="53"/>
        <v>262211</v>
      </c>
      <c r="E533" s="698">
        <f t="shared" si="60"/>
        <v>262210</v>
      </c>
      <c r="F533" s="699">
        <f aca="true" t="shared" si="63" ref="F533:F571">E533/D533*100</f>
        <v>99.99961862774636</v>
      </c>
      <c r="G533" s="720"/>
      <c r="H533" s="698"/>
      <c r="I533" s="766"/>
      <c r="J533" s="609"/>
      <c r="K533" s="777"/>
      <c r="L533" s="779"/>
      <c r="M533" s="698"/>
      <c r="N533" s="703"/>
      <c r="O533" s="744"/>
      <c r="P533" s="720">
        <f>260000-144+2355</f>
        <v>262211</v>
      </c>
      <c r="Q533" s="698">
        <v>262210</v>
      </c>
      <c r="R533" s="744">
        <f t="shared" si="61"/>
        <v>99.99961862774636</v>
      </c>
      <c r="S533" s="682"/>
      <c r="T533" s="682"/>
    </row>
    <row r="534" spans="1:20" s="756" customFormat="1" ht="15" customHeight="1">
      <c r="A534" s="764">
        <v>4270</v>
      </c>
      <c r="B534" s="768" t="s">
        <v>217</v>
      </c>
      <c r="C534" s="720">
        <v>40000</v>
      </c>
      <c r="D534" s="698">
        <f aca="true" t="shared" si="64" ref="D534:D571">G534+J534+P534+M534</f>
        <v>241249</v>
      </c>
      <c r="E534" s="698">
        <f t="shared" si="60"/>
        <v>241228</v>
      </c>
      <c r="F534" s="699">
        <f t="shared" si="63"/>
        <v>99.9912953007059</v>
      </c>
      <c r="G534" s="720"/>
      <c r="H534" s="698"/>
      <c r="I534" s="766"/>
      <c r="J534" s="609"/>
      <c r="K534" s="777"/>
      <c r="L534" s="779"/>
      <c r="M534" s="698">
        <f>120000+60000</f>
        <v>180000</v>
      </c>
      <c r="N534" s="703">
        <v>180000</v>
      </c>
      <c r="O534" s="744">
        <f t="shared" si="62"/>
        <v>100</v>
      </c>
      <c r="P534" s="720">
        <f>40000+25000-3751</f>
        <v>61249</v>
      </c>
      <c r="Q534" s="698">
        <v>61228</v>
      </c>
      <c r="R534" s="744">
        <f t="shared" si="61"/>
        <v>99.96571372593839</v>
      </c>
      <c r="S534" s="682"/>
      <c r="T534" s="682"/>
    </row>
    <row r="535" spans="1:20" s="756" customFormat="1" ht="14.25" customHeight="1">
      <c r="A535" s="764">
        <v>4280</v>
      </c>
      <c r="B535" s="768" t="s">
        <v>542</v>
      </c>
      <c r="C535" s="720">
        <v>25000</v>
      </c>
      <c r="D535" s="698">
        <f t="shared" si="64"/>
        <v>26561</v>
      </c>
      <c r="E535" s="698">
        <f t="shared" si="60"/>
        <v>26561</v>
      </c>
      <c r="F535" s="699">
        <f t="shared" si="63"/>
        <v>100</v>
      </c>
      <c r="G535" s="720"/>
      <c r="H535" s="698"/>
      <c r="I535" s="766"/>
      <c r="J535" s="609"/>
      <c r="K535" s="777"/>
      <c r="L535" s="779"/>
      <c r="M535" s="698"/>
      <c r="N535" s="703"/>
      <c r="O535" s="702"/>
      <c r="P535" s="720">
        <f>25000+1661-100</f>
        <v>26561</v>
      </c>
      <c r="Q535" s="698">
        <v>26561</v>
      </c>
      <c r="R535" s="744">
        <f t="shared" si="61"/>
        <v>100</v>
      </c>
      <c r="S535" s="682"/>
      <c r="T535" s="682"/>
    </row>
    <row r="536" spans="1:20" s="756" customFormat="1" ht="13.5" customHeight="1">
      <c r="A536" s="764">
        <v>4300</v>
      </c>
      <c r="B536" s="768" t="s">
        <v>219</v>
      </c>
      <c r="C536" s="720">
        <v>135000</v>
      </c>
      <c r="D536" s="698">
        <f t="shared" si="64"/>
        <v>100463</v>
      </c>
      <c r="E536" s="698">
        <f t="shared" si="60"/>
        <v>100457</v>
      </c>
      <c r="F536" s="699">
        <f t="shared" si="63"/>
        <v>99.99402765197138</v>
      </c>
      <c r="G536" s="720"/>
      <c r="H536" s="698"/>
      <c r="I536" s="766"/>
      <c r="J536" s="609"/>
      <c r="K536" s="777"/>
      <c r="L536" s="779"/>
      <c r="M536" s="698"/>
      <c r="N536" s="703"/>
      <c r="O536" s="744"/>
      <c r="P536" s="720">
        <f>135000-35627+1090</f>
        <v>100463</v>
      </c>
      <c r="Q536" s="698">
        <v>100457</v>
      </c>
      <c r="R536" s="744">
        <f t="shared" si="61"/>
        <v>99.99402765197138</v>
      </c>
      <c r="S536" s="682"/>
      <c r="T536" s="682"/>
    </row>
    <row r="537" spans="1:20" s="756" customFormat="1" ht="24">
      <c r="A537" s="764">
        <v>4350</v>
      </c>
      <c r="B537" s="768" t="s">
        <v>544</v>
      </c>
      <c r="C537" s="720">
        <v>500</v>
      </c>
      <c r="D537" s="698">
        <f t="shared" si="64"/>
        <v>842</v>
      </c>
      <c r="E537" s="698">
        <f t="shared" si="60"/>
        <v>842</v>
      </c>
      <c r="F537" s="699">
        <f t="shared" si="63"/>
        <v>100</v>
      </c>
      <c r="G537" s="720"/>
      <c r="H537" s="698"/>
      <c r="I537" s="766"/>
      <c r="J537" s="609"/>
      <c r="K537" s="777"/>
      <c r="L537" s="779"/>
      <c r="M537" s="698"/>
      <c r="N537" s="703"/>
      <c r="O537" s="702"/>
      <c r="P537" s="720">
        <f>500+295+47</f>
        <v>842</v>
      </c>
      <c r="Q537" s="698">
        <v>842</v>
      </c>
      <c r="R537" s="744">
        <f t="shared" si="61"/>
        <v>100</v>
      </c>
      <c r="S537" s="682"/>
      <c r="T537" s="682"/>
    </row>
    <row r="538" spans="1:20" s="756" customFormat="1" ht="39" customHeight="1">
      <c r="A538" s="764">
        <v>4360</v>
      </c>
      <c r="B538" s="828" t="s">
        <v>682</v>
      </c>
      <c r="C538" s="720">
        <v>8000</v>
      </c>
      <c r="D538" s="698">
        <f t="shared" si="64"/>
        <v>7321</v>
      </c>
      <c r="E538" s="698">
        <f t="shared" si="60"/>
        <v>7321</v>
      </c>
      <c r="F538" s="699">
        <f t="shared" si="63"/>
        <v>100</v>
      </c>
      <c r="G538" s="720"/>
      <c r="H538" s="698"/>
      <c r="I538" s="766"/>
      <c r="J538" s="609"/>
      <c r="K538" s="777"/>
      <c r="L538" s="779"/>
      <c r="M538" s="777"/>
      <c r="N538" s="778"/>
      <c r="O538" s="702"/>
      <c r="P538" s="720">
        <f>8000-679</f>
        <v>7321</v>
      </c>
      <c r="Q538" s="698">
        <v>7321</v>
      </c>
      <c r="R538" s="744">
        <f t="shared" si="61"/>
        <v>100</v>
      </c>
      <c r="S538" s="682"/>
      <c r="T538" s="682"/>
    </row>
    <row r="539" spans="1:20" s="756" customFormat="1" ht="39" customHeight="1">
      <c r="A539" s="764">
        <v>4370</v>
      </c>
      <c r="B539" s="828" t="s">
        <v>635</v>
      </c>
      <c r="C539" s="720">
        <v>22000</v>
      </c>
      <c r="D539" s="698">
        <f t="shared" si="64"/>
        <v>42611</v>
      </c>
      <c r="E539" s="698">
        <f t="shared" si="60"/>
        <v>42610</v>
      </c>
      <c r="F539" s="699">
        <f t="shared" si="63"/>
        <v>99.99765318814391</v>
      </c>
      <c r="G539" s="720"/>
      <c r="H539" s="698"/>
      <c r="I539" s="766"/>
      <c r="J539" s="609"/>
      <c r="K539" s="777"/>
      <c r="L539" s="779"/>
      <c r="M539" s="777"/>
      <c r="N539" s="778"/>
      <c r="O539" s="702"/>
      <c r="P539" s="720">
        <f>22000+16687+10000-6076</f>
        <v>42611</v>
      </c>
      <c r="Q539" s="698">
        <v>42610</v>
      </c>
      <c r="R539" s="744">
        <f t="shared" si="61"/>
        <v>99.99765318814391</v>
      </c>
      <c r="S539" s="682"/>
      <c r="T539" s="682"/>
    </row>
    <row r="540" spans="1:20" s="756" customFormat="1" ht="15" customHeight="1">
      <c r="A540" s="764">
        <v>4410</v>
      </c>
      <c r="B540" s="768" t="s">
        <v>193</v>
      </c>
      <c r="C540" s="720">
        <v>11000</v>
      </c>
      <c r="D540" s="698">
        <f t="shared" si="64"/>
        <v>11987</v>
      </c>
      <c r="E540" s="698">
        <f t="shared" si="60"/>
        <v>11987</v>
      </c>
      <c r="F540" s="699">
        <f t="shared" si="63"/>
        <v>100</v>
      </c>
      <c r="G540" s="720"/>
      <c r="H540" s="698"/>
      <c r="I540" s="766"/>
      <c r="J540" s="609"/>
      <c r="K540" s="777"/>
      <c r="L540" s="779"/>
      <c r="M540" s="777"/>
      <c r="N540" s="778"/>
      <c r="O540" s="702"/>
      <c r="P540" s="720">
        <f>11000+2093-618-488</f>
        <v>11987</v>
      </c>
      <c r="Q540" s="698">
        <v>11987</v>
      </c>
      <c r="R540" s="744">
        <f t="shared" si="61"/>
        <v>100</v>
      </c>
      <c r="S540" s="682"/>
      <c r="T540" s="682"/>
    </row>
    <row r="541" spans="1:20" s="756" customFormat="1" ht="11.25" customHeight="1">
      <c r="A541" s="764">
        <v>4430</v>
      </c>
      <c r="B541" s="768" t="s">
        <v>221</v>
      </c>
      <c r="C541" s="720">
        <v>500</v>
      </c>
      <c r="D541" s="698">
        <f t="shared" si="64"/>
        <v>156</v>
      </c>
      <c r="E541" s="698">
        <f t="shared" si="60"/>
        <v>156</v>
      </c>
      <c r="F541" s="699">
        <f t="shared" si="63"/>
        <v>100</v>
      </c>
      <c r="G541" s="720"/>
      <c r="H541" s="698"/>
      <c r="I541" s="766"/>
      <c r="J541" s="609"/>
      <c r="K541" s="777"/>
      <c r="L541" s="779"/>
      <c r="M541" s="777"/>
      <c r="N541" s="778"/>
      <c r="O541" s="702"/>
      <c r="P541" s="720">
        <f>500-344</f>
        <v>156</v>
      </c>
      <c r="Q541" s="698">
        <v>156</v>
      </c>
      <c r="R541" s="744">
        <f t="shared" si="61"/>
        <v>100</v>
      </c>
      <c r="S541" s="682"/>
      <c r="T541" s="682"/>
    </row>
    <row r="542" spans="1:20" s="756" customFormat="1" ht="11.25" customHeight="1">
      <c r="A542" s="764">
        <v>4440</v>
      </c>
      <c r="B542" s="768" t="s">
        <v>683</v>
      </c>
      <c r="C542" s="720">
        <v>5600</v>
      </c>
      <c r="D542" s="698">
        <f t="shared" si="64"/>
        <v>7000</v>
      </c>
      <c r="E542" s="698">
        <f t="shared" si="60"/>
        <v>7000</v>
      </c>
      <c r="F542" s="699">
        <f t="shared" si="63"/>
        <v>100</v>
      </c>
      <c r="G542" s="720"/>
      <c r="H542" s="698"/>
      <c r="I542" s="766"/>
      <c r="J542" s="609"/>
      <c r="K542" s="777"/>
      <c r="L542" s="779"/>
      <c r="M542" s="777"/>
      <c r="N542" s="778"/>
      <c r="O542" s="702"/>
      <c r="P542" s="720">
        <f>5600+1400</f>
        <v>7000</v>
      </c>
      <c r="Q542" s="916">
        <v>7000</v>
      </c>
      <c r="R542" s="744">
        <f t="shared" si="61"/>
        <v>100</v>
      </c>
      <c r="S542" s="682"/>
      <c r="T542" s="682"/>
    </row>
    <row r="543" spans="1:20" s="756" customFormat="1" ht="37.5" customHeight="1">
      <c r="A543" s="764">
        <v>4500</v>
      </c>
      <c r="B543" s="768" t="s">
        <v>574</v>
      </c>
      <c r="C543" s="720">
        <v>40435</v>
      </c>
      <c r="D543" s="698">
        <f t="shared" si="64"/>
        <v>44196</v>
      </c>
      <c r="E543" s="698">
        <f>SUM(H543+K543+N543+Q543)</f>
        <v>44196</v>
      </c>
      <c r="F543" s="699">
        <f t="shared" si="63"/>
        <v>100</v>
      </c>
      <c r="G543" s="720"/>
      <c r="H543" s="698"/>
      <c r="I543" s="766"/>
      <c r="J543" s="600"/>
      <c r="K543" s="777"/>
      <c r="L543" s="779"/>
      <c r="M543" s="777"/>
      <c r="N543" s="778"/>
      <c r="O543" s="702"/>
      <c r="P543" s="720">
        <f>40435+3761</f>
        <v>44196</v>
      </c>
      <c r="Q543" s="916">
        <v>44196</v>
      </c>
      <c r="R543" s="744">
        <f t="shared" si="61"/>
        <v>100</v>
      </c>
      <c r="S543" s="682"/>
      <c r="T543" s="682"/>
    </row>
    <row r="544" spans="1:20" s="756" customFormat="1" ht="24">
      <c r="A544" s="764">
        <v>4510</v>
      </c>
      <c r="B544" s="828" t="s">
        <v>684</v>
      </c>
      <c r="C544" s="720">
        <v>1233</v>
      </c>
      <c r="D544" s="698">
        <f t="shared" si="64"/>
        <v>1233</v>
      </c>
      <c r="E544" s="698">
        <f t="shared" si="60"/>
        <v>1233</v>
      </c>
      <c r="F544" s="699">
        <f t="shared" si="63"/>
        <v>100</v>
      </c>
      <c r="G544" s="720"/>
      <c r="H544" s="698"/>
      <c r="I544" s="766"/>
      <c r="J544" s="600"/>
      <c r="K544" s="777"/>
      <c r="L544" s="779"/>
      <c r="M544" s="698"/>
      <c r="N544" s="703"/>
      <c r="O544" s="702"/>
      <c r="P544" s="720">
        <v>1233</v>
      </c>
      <c r="Q544" s="916">
        <v>1233</v>
      </c>
      <c r="R544" s="744">
        <f t="shared" si="61"/>
        <v>100</v>
      </c>
      <c r="S544" s="682"/>
      <c r="T544" s="682"/>
    </row>
    <row r="545" spans="1:20" s="756" customFormat="1" ht="49.5" customHeight="1">
      <c r="A545" s="764">
        <v>4740</v>
      </c>
      <c r="B545" s="828" t="s">
        <v>235</v>
      </c>
      <c r="C545" s="720">
        <v>3500</v>
      </c>
      <c r="D545" s="698">
        <f t="shared" si="64"/>
        <v>3500</v>
      </c>
      <c r="E545" s="698">
        <f>SUM(H545+K545+N545+Q545)</f>
        <v>3500</v>
      </c>
      <c r="F545" s="699">
        <f t="shared" si="63"/>
        <v>100</v>
      </c>
      <c r="G545" s="720"/>
      <c r="H545" s="698"/>
      <c r="I545" s="766"/>
      <c r="J545" s="600"/>
      <c r="K545" s="777"/>
      <c r="L545" s="779"/>
      <c r="M545" s="698"/>
      <c r="N545" s="703"/>
      <c r="O545" s="702"/>
      <c r="P545" s="720">
        <v>3500</v>
      </c>
      <c r="Q545" s="916">
        <v>3500</v>
      </c>
      <c r="R545" s="744">
        <f t="shared" si="61"/>
        <v>100</v>
      </c>
      <c r="S545" s="682"/>
      <c r="T545" s="682"/>
    </row>
    <row r="546" spans="1:20" s="756" customFormat="1" ht="34.5" customHeight="1">
      <c r="A546" s="764">
        <v>4750</v>
      </c>
      <c r="B546" s="828" t="s">
        <v>551</v>
      </c>
      <c r="C546" s="720">
        <v>15000</v>
      </c>
      <c r="D546" s="698">
        <f t="shared" si="64"/>
        <v>23000</v>
      </c>
      <c r="E546" s="698">
        <f t="shared" si="60"/>
        <v>23000</v>
      </c>
      <c r="F546" s="699">
        <f t="shared" si="63"/>
        <v>100</v>
      </c>
      <c r="G546" s="720"/>
      <c r="H546" s="698"/>
      <c r="I546" s="766"/>
      <c r="J546" s="600"/>
      <c r="K546" s="777"/>
      <c r="L546" s="779"/>
      <c r="M546" s="777"/>
      <c r="N546" s="703"/>
      <c r="O546" s="702"/>
      <c r="P546" s="720">
        <f>15000+8000</f>
        <v>23000</v>
      </c>
      <c r="Q546" s="916">
        <v>23000</v>
      </c>
      <c r="R546" s="744">
        <f t="shared" si="61"/>
        <v>100</v>
      </c>
      <c r="S546" s="682"/>
      <c r="T546" s="682"/>
    </row>
    <row r="547" spans="1:20" s="756" customFormat="1" ht="27" customHeight="1">
      <c r="A547" s="764">
        <v>6050</v>
      </c>
      <c r="B547" s="768" t="s">
        <v>246</v>
      </c>
      <c r="C547" s="720">
        <v>50000</v>
      </c>
      <c r="D547" s="698">
        <f t="shared" si="64"/>
        <v>61000</v>
      </c>
      <c r="E547" s="698">
        <f t="shared" si="60"/>
        <v>61000</v>
      </c>
      <c r="F547" s="699">
        <f t="shared" si="63"/>
        <v>100</v>
      </c>
      <c r="G547" s="776"/>
      <c r="H547" s="777"/>
      <c r="I547" s="766"/>
      <c r="J547" s="600"/>
      <c r="K547" s="777"/>
      <c r="L547" s="779"/>
      <c r="M547" s="698"/>
      <c r="N547" s="703"/>
      <c r="O547" s="744"/>
      <c r="P547" s="720">
        <f>50000-50000+61000</f>
        <v>61000</v>
      </c>
      <c r="Q547" s="916">
        <v>61000</v>
      </c>
      <c r="R547" s="744">
        <f t="shared" si="61"/>
        <v>100</v>
      </c>
      <c r="S547" s="682"/>
      <c r="T547" s="682"/>
    </row>
    <row r="548" spans="1:20" s="756" customFormat="1" ht="90" customHeight="1">
      <c r="A548" s="764">
        <v>6220</v>
      </c>
      <c r="B548" s="768" t="s">
        <v>685</v>
      </c>
      <c r="C548" s="720"/>
      <c r="D548" s="698">
        <f>G548+J548+P548+M548</f>
        <v>220000</v>
      </c>
      <c r="E548" s="698">
        <f>SUM(H548+K548+N548+Q548)</f>
        <v>220000</v>
      </c>
      <c r="F548" s="699">
        <f t="shared" si="63"/>
        <v>100</v>
      </c>
      <c r="G548" s="776"/>
      <c r="H548" s="777"/>
      <c r="I548" s="766"/>
      <c r="J548" s="600"/>
      <c r="K548" s="777"/>
      <c r="L548" s="779"/>
      <c r="M548" s="698">
        <v>220000</v>
      </c>
      <c r="N548" s="703">
        <v>220000</v>
      </c>
      <c r="O548" s="744">
        <f>N548/M548*100</f>
        <v>100</v>
      </c>
      <c r="P548" s="720"/>
      <c r="Q548" s="916"/>
      <c r="R548" s="744"/>
      <c r="S548" s="682"/>
      <c r="T548" s="682"/>
    </row>
    <row r="549" spans="1:20" s="756" customFormat="1" ht="22.5" customHeight="1">
      <c r="A549" s="789">
        <v>6060</v>
      </c>
      <c r="B549" s="917" t="s">
        <v>552</v>
      </c>
      <c r="C549" s="791"/>
      <c r="D549" s="792">
        <f t="shared" si="64"/>
        <v>545285</v>
      </c>
      <c r="E549" s="792">
        <f t="shared" si="60"/>
        <v>545285</v>
      </c>
      <c r="F549" s="699">
        <f t="shared" si="63"/>
        <v>100</v>
      </c>
      <c r="G549" s="837"/>
      <c r="H549" s="759"/>
      <c r="I549" s="806"/>
      <c r="J549" s="918"/>
      <c r="K549" s="759"/>
      <c r="L549" s="865"/>
      <c r="M549" s="792">
        <f>45100+23000</f>
        <v>68100</v>
      </c>
      <c r="N549" s="793">
        <v>68100</v>
      </c>
      <c r="O549" s="744">
        <f>N549/M549*100</f>
        <v>100</v>
      </c>
      <c r="P549" s="791">
        <f>115185+362000</f>
        <v>477185</v>
      </c>
      <c r="Q549" s="792">
        <v>477185</v>
      </c>
      <c r="R549" s="744">
        <f t="shared" si="61"/>
        <v>100</v>
      </c>
      <c r="S549" s="682"/>
      <c r="T549" s="682"/>
    </row>
    <row r="550" spans="1:18" ht="24" customHeight="1">
      <c r="A550" s="757">
        <v>75412</v>
      </c>
      <c r="B550" s="852" t="s">
        <v>686</v>
      </c>
      <c r="C550" s="725">
        <f>SUM(C551)</f>
        <v>22000</v>
      </c>
      <c r="D550" s="712">
        <f t="shared" si="64"/>
        <v>22000</v>
      </c>
      <c r="E550" s="712">
        <f>SUM(E551)</f>
        <v>22000</v>
      </c>
      <c r="F550" s="713">
        <f t="shared" si="63"/>
        <v>100</v>
      </c>
      <c r="G550" s="725">
        <f>SUM(G551)</f>
        <v>22000</v>
      </c>
      <c r="H550" s="712">
        <f>SUM(H551)</f>
        <v>22000</v>
      </c>
      <c r="I550" s="741">
        <f aca="true" t="shared" si="65" ref="I550:I613">H550/G550*100</f>
        <v>100</v>
      </c>
      <c r="J550" s="717"/>
      <c r="K550" s="712"/>
      <c r="L550" s="718"/>
      <c r="M550" s="874"/>
      <c r="N550" s="712"/>
      <c r="O550" s="762"/>
      <c r="P550" s="725"/>
      <c r="Q550" s="712"/>
      <c r="R550" s="846"/>
    </row>
    <row r="551" spans="1:18" ht="48.75" customHeight="1">
      <c r="A551" s="789">
        <v>2820</v>
      </c>
      <c r="B551" s="804" t="s">
        <v>687</v>
      </c>
      <c r="C551" s="720">
        <v>22000</v>
      </c>
      <c r="D551" s="698">
        <f t="shared" si="64"/>
        <v>22000</v>
      </c>
      <c r="E551" s="698">
        <f>SUM(H551+K551+N551+Q551)</f>
        <v>22000</v>
      </c>
      <c r="F551" s="699">
        <f t="shared" si="63"/>
        <v>100</v>
      </c>
      <c r="G551" s="919">
        <v>22000</v>
      </c>
      <c r="H551" s="805">
        <v>22000</v>
      </c>
      <c r="I551" s="744">
        <f t="shared" si="65"/>
        <v>100</v>
      </c>
      <c r="J551" s="920"/>
      <c r="K551" s="805"/>
      <c r="L551" s="796"/>
      <c r="M551" s="805"/>
      <c r="N551" s="805"/>
      <c r="O551" s="921"/>
      <c r="P551" s="919"/>
      <c r="Q551" s="805"/>
      <c r="R551" s="922"/>
    </row>
    <row r="552" spans="1:18" ht="12.75" customHeight="1">
      <c r="A552" s="757">
        <v>75414</v>
      </c>
      <c r="B552" s="852" t="s">
        <v>688</v>
      </c>
      <c r="C552" s="725">
        <f>SUM(C553:C558)</f>
        <v>51500</v>
      </c>
      <c r="D552" s="712">
        <f t="shared" si="64"/>
        <v>52500</v>
      </c>
      <c r="E552" s="712">
        <f>H552+K552+Q552+N552</f>
        <v>50986</v>
      </c>
      <c r="F552" s="713">
        <f t="shared" si="63"/>
        <v>97.11619047619048</v>
      </c>
      <c r="G552" s="725">
        <f>SUM(G553:G558)</f>
        <v>42500</v>
      </c>
      <c r="H552" s="712">
        <f>SUM(H553:H558)</f>
        <v>41007</v>
      </c>
      <c r="I552" s="741">
        <f t="shared" si="65"/>
        <v>96.48705882352941</v>
      </c>
      <c r="J552" s="712">
        <f>SUM(J556:J558)</f>
        <v>10000</v>
      </c>
      <c r="K552" s="712">
        <f>SUM(K556:K558)</f>
        <v>9979</v>
      </c>
      <c r="L552" s="741">
        <f>K552/J552*100</f>
        <v>99.79</v>
      </c>
      <c r="M552" s="712"/>
      <c r="N552" s="712"/>
      <c r="O552" s="762"/>
      <c r="P552" s="725"/>
      <c r="Q552" s="712"/>
      <c r="R552" s="846"/>
    </row>
    <row r="553" spans="1:18" ht="48" hidden="1">
      <c r="A553" s="764">
        <v>3020</v>
      </c>
      <c r="B553" s="768" t="s">
        <v>650</v>
      </c>
      <c r="C553" s="720">
        <v>0</v>
      </c>
      <c r="D553" s="698">
        <f t="shared" si="64"/>
        <v>0</v>
      </c>
      <c r="E553" s="698">
        <f aca="true" t="shared" si="66" ref="E553:E571">SUM(H553+K553+N553+Q553)</f>
        <v>0</v>
      </c>
      <c r="F553" s="699" t="e">
        <f t="shared" si="63"/>
        <v>#DIV/0!</v>
      </c>
      <c r="G553" s="720">
        <v>0</v>
      </c>
      <c r="H553" s="698"/>
      <c r="I553" s="744" t="e">
        <f t="shared" si="65"/>
        <v>#DIV/0!</v>
      </c>
      <c r="J553" s="703"/>
      <c r="K553" s="700"/>
      <c r="L553" s="741"/>
      <c r="M553" s="698"/>
      <c r="N553" s="698"/>
      <c r="O553" s="766"/>
      <c r="P553" s="720"/>
      <c r="Q553" s="698"/>
      <c r="R553" s="770"/>
    </row>
    <row r="554" spans="1:18" ht="36" hidden="1">
      <c r="A554" s="764">
        <v>4110</v>
      </c>
      <c r="B554" s="768" t="s">
        <v>207</v>
      </c>
      <c r="C554" s="720">
        <v>0</v>
      </c>
      <c r="D554" s="698">
        <f t="shared" si="64"/>
        <v>0</v>
      </c>
      <c r="E554" s="698">
        <f t="shared" si="66"/>
        <v>0</v>
      </c>
      <c r="F554" s="699" t="e">
        <f t="shared" si="63"/>
        <v>#DIV/0!</v>
      </c>
      <c r="G554" s="720">
        <v>0</v>
      </c>
      <c r="H554" s="698"/>
      <c r="I554" s="744" t="e">
        <f t="shared" si="65"/>
        <v>#DIV/0!</v>
      </c>
      <c r="J554" s="703"/>
      <c r="K554" s="700"/>
      <c r="L554" s="741"/>
      <c r="M554" s="698"/>
      <c r="N554" s="698"/>
      <c r="O554" s="766"/>
      <c r="P554" s="720"/>
      <c r="Q554" s="698"/>
      <c r="R554" s="770"/>
    </row>
    <row r="555" spans="1:18" ht="72" hidden="1">
      <c r="A555" s="764">
        <v>6060</v>
      </c>
      <c r="B555" s="768" t="s">
        <v>427</v>
      </c>
      <c r="C555" s="720"/>
      <c r="D555" s="698">
        <f t="shared" si="64"/>
        <v>0</v>
      </c>
      <c r="E555" s="698">
        <f t="shared" si="66"/>
        <v>0</v>
      </c>
      <c r="F555" s="699" t="e">
        <f t="shared" si="63"/>
        <v>#DIV/0!</v>
      </c>
      <c r="G555" s="720"/>
      <c r="H555" s="698"/>
      <c r="I555" s="744"/>
      <c r="J555" s="703"/>
      <c r="K555" s="700"/>
      <c r="L555" s="786"/>
      <c r="M555" s="698"/>
      <c r="N555" s="698"/>
      <c r="O555" s="766"/>
      <c r="P555" s="720"/>
      <c r="Q555" s="698"/>
      <c r="R555" s="770" t="e">
        <f>Q555/P555*100</f>
        <v>#DIV/0!</v>
      </c>
    </row>
    <row r="556" spans="1:18" ht="23.25" customHeight="1">
      <c r="A556" s="764">
        <v>4210</v>
      </c>
      <c r="B556" s="768" t="s">
        <v>211</v>
      </c>
      <c r="C556" s="720">
        <v>26000</v>
      </c>
      <c r="D556" s="698">
        <f t="shared" si="64"/>
        <v>17000</v>
      </c>
      <c r="E556" s="698">
        <f t="shared" si="66"/>
        <v>16924</v>
      </c>
      <c r="F556" s="699">
        <f t="shared" si="63"/>
        <v>99.55294117647058</v>
      </c>
      <c r="G556" s="720">
        <f>26000-3000-6000</f>
        <v>17000</v>
      </c>
      <c r="H556" s="698">
        <f>16925-1</f>
        <v>16924</v>
      </c>
      <c r="I556" s="744">
        <f t="shared" si="65"/>
        <v>99.55294117647058</v>
      </c>
      <c r="J556" s="703"/>
      <c r="K556" s="700"/>
      <c r="L556" s="744"/>
      <c r="M556" s="698"/>
      <c r="N556" s="698"/>
      <c r="O556" s="766"/>
      <c r="P556" s="720"/>
      <c r="Q556" s="698"/>
      <c r="R556" s="770"/>
    </row>
    <row r="557" spans="1:18" ht="15.75" customHeight="1">
      <c r="A557" s="764">
        <v>4270</v>
      </c>
      <c r="B557" s="923" t="s">
        <v>217</v>
      </c>
      <c r="C557" s="720"/>
      <c r="D557" s="698">
        <f t="shared" si="64"/>
        <v>12500</v>
      </c>
      <c r="E557" s="698">
        <f>SUM(H557+K557+N557+Q557)</f>
        <v>12500</v>
      </c>
      <c r="F557" s="699">
        <f t="shared" si="63"/>
        <v>100</v>
      </c>
      <c r="G557" s="720">
        <f>4200+5800</f>
        <v>10000</v>
      </c>
      <c r="H557" s="698">
        <v>10000</v>
      </c>
      <c r="I557" s="744">
        <f t="shared" si="65"/>
        <v>100</v>
      </c>
      <c r="J557" s="703">
        <v>2500</v>
      </c>
      <c r="K557" s="700">
        <v>2500</v>
      </c>
      <c r="L557" s="744">
        <f>K557/J557*100</f>
        <v>100</v>
      </c>
      <c r="M557" s="698"/>
      <c r="N557" s="698"/>
      <c r="O557" s="766"/>
      <c r="P557" s="720"/>
      <c r="Q557" s="698"/>
      <c r="R557" s="770"/>
    </row>
    <row r="558" spans="1:18" ht="18" customHeight="1">
      <c r="A558" s="789">
        <v>4300</v>
      </c>
      <c r="B558" s="924" t="s">
        <v>543</v>
      </c>
      <c r="C558" s="791">
        <v>25500</v>
      </c>
      <c r="D558" s="792">
        <f t="shared" si="64"/>
        <v>23000</v>
      </c>
      <c r="E558" s="792">
        <f t="shared" si="66"/>
        <v>21562</v>
      </c>
      <c r="F558" s="761">
        <f t="shared" si="63"/>
        <v>93.74782608695652</v>
      </c>
      <c r="G558" s="791">
        <f>16500-4200-2800+6000</f>
        <v>15500</v>
      </c>
      <c r="H558" s="805">
        <v>14083</v>
      </c>
      <c r="I558" s="761">
        <f t="shared" si="65"/>
        <v>90.85806451612903</v>
      </c>
      <c r="J558" s="920">
        <f>9000-2500+1000</f>
        <v>7500</v>
      </c>
      <c r="K558" s="805">
        <f>7480-1</f>
        <v>7479</v>
      </c>
      <c r="L558" s="761">
        <f>K558/J558*100</f>
        <v>99.72</v>
      </c>
      <c r="M558" s="805"/>
      <c r="N558" s="805"/>
      <c r="O558" s="921"/>
      <c r="P558" s="919"/>
      <c r="Q558" s="805"/>
      <c r="R558" s="922"/>
    </row>
    <row r="559" spans="1:18" ht="12.75" hidden="1">
      <c r="A559" s="757">
        <v>75421</v>
      </c>
      <c r="B559" s="758" t="s">
        <v>689</v>
      </c>
      <c r="C559" s="725">
        <f>SUM(C560)</f>
        <v>0</v>
      </c>
      <c r="D559" s="712">
        <f t="shared" si="64"/>
        <v>0</v>
      </c>
      <c r="E559" s="712">
        <f>SUM(H559+K559+N559+Q559)</f>
        <v>0</v>
      </c>
      <c r="F559" s="925" t="e">
        <f t="shared" si="63"/>
        <v>#DIV/0!</v>
      </c>
      <c r="G559" s="725">
        <f>SUM(G560)</f>
        <v>0</v>
      </c>
      <c r="H559" s="711">
        <f>SUM(H560)</f>
        <v>0</v>
      </c>
      <c r="I559" s="719" t="e">
        <f t="shared" si="65"/>
        <v>#DIV/0!</v>
      </c>
      <c r="J559" s="807"/>
      <c r="K559" s="711"/>
      <c r="L559" s="925"/>
      <c r="M559" s="711"/>
      <c r="N559" s="711"/>
      <c r="O559" s="926"/>
      <c r="P559" s="710"/>
      <c r="Q559" s="711"/>
      <c r="R559" s="927"/>
    </row>
    <row r="560" spans="1:18" ht="45.75" hidden="1">
      <c r="A560" s="764">
        <v>4810</v>
      </c>
      <c r="B560" s="765" t="s">
        <v>428</v>
      </c>
      <c r="C560" s="720"/>
      <c r="D560" s="698">
        <f t="shared" si="64"/>
        <v>0</v>
      </c>
      <c r="E560" s="698">
        <f>SUM(H560+K560+N560+Q560)</f>
        <v>0</v>
      </c>
      <c r="F560" s="744" t="e">
        <f t="shared" si="63"/>
        <v>#DIV/0!</v>
      </c>
      <c r="G560" s="720"/>
      <c r="H560" s="700"/>
      <c r="I560" s="719" t="e">
        <f t="shared" si="65"/>
        <v>#DIV/0!</v>
      </c>
      <c r="J560" s="701"/>
      <c r="K560" s="700"/>
      <c r="L560" s="744"/>
      <c r="M560" s="700"/>
      <c r="N560" s="700"/>
      <c r="O560" s="809"/>
      <c r="P560" s="697"/>
      <c r="Q560" s="700"/>
      <c r="R560" s="767"/>
    </row>
    <row r="561" spans="1:20" s="756" customFormat="1" ht="12.75">
      <c r="A561" s="757">
        <v>75495</v>
      </c>
      <c r="B561" s="758" t="s">
        <v>233</v>
      </c>
      <c r="C561" s="725">
        <f>SUM(C562:C563)</f>
        <v>115000</v>
      </c>
      <c r="D561" s="712">
        <f t="shared" si="64"/>
        <v>166136</v>
      </c>
      <c r="E561" s="712">
        <f t="shared" si="66"/>
        <v>126998</v>
      </c>
      <c r="F561" s="741">
        <f t="shared" si="63"/>
        <v>76.4421919391342</v>
      </c>
      <c r="G561" s="725">
        <f>SUM(G562:G563)</f>
        <v>115000</v>
      </c>
      <c r="H561" s="711">
        <f>SUM(H562:H563)</f>
        <v>75878</v>
      </c>
      <c r="I561" s="719">
        <f t="shared" si="65"/>
        <v>65.98086956521739</v>
      </c>
      <c r="J561" s="807"/>
      <c r="K561" s="711"/>
      <c r="L561" s="799"/>
      <c r="M561" s="711"/>
      <c r="N561" s="711"/>
      <c r="O561" s="926"/>
      <c r="P561" s="710">
        <f>SUM(P562:P564)</f>
        <v>51136</v>
      </c>
      <c r="Q561" s="711">
        <f>SUM(Q562:Q564)</f>
        <v>51120</v>
      </c>
      <c r="R561" s="928">
        <f>Q561/P561*100</f>
        <v>99.96871088861077</v>
      </c>
      <c r="S561" s="682"/>
      <c r="T561" s="682"/>
    </row>
    <row r="562" spans="1:18" ht="24">
      <c r="A562" s="764">
        <v>3000</v>
      </c>
      <c r="B562" s="765" t="s">
        <v>669</v>
      </c>
      <c r="C562" s="720">
        <v>15000</v>
      </c>
      <c r="D562" s="698">
        <f t="shared" si="64"/>
        <v>15000</v>
      </c>
      <c r="E562" s="698">
        <f>SUM(H562+K562+N562+Q562)</f>
        <v>15000</v>
      </c>
      <c r="F562" s="699">
        <f t="shared" si="63"/>
        <v>100</v>
      </c>
      <c r="G562" s="720">
        <v>15000</v>
      </c>
      <c r="H562" s="700">
        <v>15000</v>
      </c>
      <c r="I562" s="744">
        <f t="shared" si="65"/>
        <v>100</v>
      </c>
      <c r="J562" s="701"/>
      <c r="K562" s="700"/>
      <c r="L562" s="702"/>
      <c r="M562" s="700"/>
      <c r="N562" s="700"/>
      <c r="O562" s="809"/>
      <c r="P562" s="697"/>
      <c r="Q562" s="700"/>
      <c r="R562" s="863"/>
    </row>
    <row r="563" spans="1:18" ht="24.75" customHeight="1">
      <c r="A563" s="764">
        <v>6050</v>
      </c>
      <c r="B563" s="765" t="s">
        <v>275</v>
      </c>
      <c r="C563" s="720">
        <v>100000</v>
      </c>
      <c r="D563" s="698">
        <f t="shared" si="64"/>
        <v>100000</v>
      </c>
      <c r="E563" s="698">
        <f t="shared" si="66"/>
        <v>60878</v>
      </c>
      <c r="F563" s="699">
        <f t="shared" si="63"/>
        <v>60.878</v>
      </c>
      <c r="G563" s="720">
        <v>100000</v>
      </c>
      <c r="H563" s="700">
        <v>60878</v>
      </c>
      <c r="I563" s="702">
        <f t="shared" si="65"/>
        <v>60.878</v>
      </c>
      <c r="J563" s="701"/>
      <c r="K563" s="700"/>
      <c r="L563" s="702"/>
      <c r="M563" s="700"/>
      <c r="N563" s="700"/>
      <c r="O563" s="809"/>
      <c r="P563" s="697"/>
      <c r="Q563" s="700"/>
      <c r="R563" s="863"/>
    </row>
    <row r="564" spans="1:20" s="862" customFormat="1" ht="76.5">
      <c r="A564" s="929"/>
      <c r="B564" s="930" t="s">
        <v>786</v>
      </c>
      <c r="C564" s="857"/>
      <c r="D564" s="858">
        <f t="shared" si="64"/>
        <v>51136</v>
      </c>
      <c r="E564" s="858">
        <f t="shared" si="66"/>
        <v>51120</v>
      </c>
      <c r="F564" s="747">
        <f t="shared" si="63"/>
        <v>99.96871088861077</v>
      </c>
      <c r="G564" s="857"/>
      <c r="H564" s="931"/>
      <c r="I564" s="782"/>
      <c r="J564" s="932"/>
      <c r="K564" s="931"/>
      <c r="L564" s="782"/>
      <c r="M564" s="931"/>
      <c r="N564" s="931"/>
      <c r="O564" s="782"/>
      <c r="P564" s="933">
        <f>SUM(P565:P571)</f>
        <v>51136</v>
      </c>
      <c r="Q564" s="931">
        <f>SUM(Q565:Q571)</f>
        <v>51120</v>
      </c>
      <c r="R564" s="747">
        <f>Q564/P564*100</f>
        <v>99.96871088861077</v>
      </c>
      <c r="S564" s="861"/>
      <c r="T564" s="861"/>
    </row>
    <row r="565" spans="1:18" ht="26.25" customHeight="1">
      <c r="A565" s="764">
        <v>4110</v>
      </c>
      <c r="B565" s="934" t="s">
        <v>207</v>
      </c>
      <c r="C565" s="720"/>
      <c r="D565" s="698">
        <f t="shared" si="64"/>
        <v>1261</v>
      </c>
      <c r="E565" s="698">
        <f t="shared" si="66"/>
        <v>1260</v>
      </c>
      <c r="F565" s="699">
        <f t="shared" si="63"/>
        <v>99.92069785884219</v>
      </c>
      <c r="G565" s="720"/>
      <c r="H565" s="700"/>
      <c r="I565" s="702"/>
      <c r="J565" s="701"/>
      <c r="K565" s="700"/>
      <c r="L565" s="702"/>
      <c r="M565" s="700"/>
      <c r="N565" s="700"/>
      <c r="O565" s="809"/>
      <c r="P565" s="697">
        <f>4840-1684-1895</f>
        <v>1261</v>
      </c>
      <c r="Q565" s="700">
        <v>1260</v>
      </c>
      <c r="R565" s="746">
        <f aca="true" t="shared" si="67" ref="R565:R571">Q565/P565*100</f>
        <v>99.92069785884219</v>
      </c>
    </row>
    <row r="566" spans="1:18" ht="12.75">
      <c r="A566" s="764">
        <v>4120</v>
      </c>
      <c r="B566" s="934" t="s">
        <v>584</v>
      </c>
      <c r="C566" s="720"/>
      <c r="D566" s="698">
        <f t="shared" si="64"/>
        <v>189</v>
      </c>
      <c r="E566" s="698">
        <f t="shared" si="66"/>
        <v>187</v>
      </c>
      <c r="F566" s="699">
        <f t="shared" si="63"/>
        <v>98.94179894179894</v>
      </c>
      <c r="G566" s="720"/>
      <c r="H566" s="700"/>
      <c r="I566" s="702"/>
      <c r="J566" s="701"/>
      <c r="K566" s="700"/>
      <c r="L566" s="702"/>
      <c r="M566" s="700"/>
      <c r="N566" s="700"/>
      <c r="O566" s="809"/>
      <c r="P566" s="697">
        <f>741-212-340</f>
        <v>189</v>
      </c>
      <c r="Q566" s="700">
        <v>187</v>
      </c>
      <c r="R566" s="746">
        <f t="shared" si="67"/>
        <v>98.94179894179894</v>
      </c>
    </row>
    <row r="567" spans="1:18" ht="24">
      <c r="A567" s="764">
        <v>4170</v>
      </c>
      <c r="B567" s="934" t="s">
        <v>242</v>
      </c>
      <c r="C567" s="720"/>
      <c r="D567" s="698">
        <f t="shared" si="64"/>
        <v>16760</v>
      </c>
      <c r="E567" s="698">
        <f t="shared" si="66"/>
        <v>16751</v>
      </c>
      <c r="F567" s="699">
        <f t="shared" si="63"/>
        <v>99.94630071599046</v>
      </c>
      <c r="G567" s="720"/>
      <c r="H567" s="700"/>
      <c r="I567" s="702"/>
      <c r="J567" s="701"/>
      <c r="K567" s="700"/>
      <c r="L567" s="702"/>
      <c r="M567" s="700"/>
      <c r="N567" s="700"/>
      <c r="O567" s="809"/>
      <c r="P567" s="697">
        <f>30219-10219-3240</f>
        <v>16760</v>
      </c>
      <c r="Q567" s="700">
        <v>16751</v>
      </c>
      <c r="R567" s="746">
        <f t="shared" si="67"/>
        <v>99.94630071599046</v>
      </c>
    </row>
    <row r="568" spans="1:18" ht="24">
      <c r="A568" s="764">
        <v>4210</v>
      </c>
      <c r="B568" s="934" t="s">
        <v>211</v>
      </c>
      <c r="C568" s="720"/>
      <c r="D568" s="698">
        <f t="shared" si="64"/>
        <v>4214</v>
      </c>
      <c r="E568" s="698">
        <f t="shared" si="66"/>
        <v>4214</v>
      </c>
      <c r="F568" s="699">
        <f t="shared" si="63"/>
        <v>100</v>
      </c>
      <c r="G568" s="720"/>
      <c r="H568" s="700"/>
      <c r="I568" s="702"/>
      <c r="J568" s="701"/>
      <c r="K568" s="700"/>
      <c r="L568" s="702"/>
      <c r="M568" s="700"/>
      <c r="N568" s="700"/>
      <c r="O568" s="809"/>
      <c r="P568" s="697">
        <f>4300-86</f>
        <v>4214</v>
      </c>
      <c r="Q568" s="700">
        <v>4214</v>
      </c>
      <c r="R568" s="699">
        <f t="shared" si="67"/>
        <v>100</v>
      </c>
    </row>
    <row r="569" spans="1:18" ht="15.75" customHeight="1">
      <c r="A569" s="764">
        <v>4300</v>
      </c>
      <c r="B569" s="828" t="s">
        <v>219</v>
      </c>
      <c r="C569" s="720"/>
      <c r="D569" s="698">
        <f t="shared" si="64"/>
        <v>27776</v>
      </c>
      <c r="E569" s="698">
        <f t="shared" si="66"/>
        <v>27776</v>
      </c>
      <c r="F569" s="699">
        <f t="shared" si="63"/>
        <v>100</v>
      </c>
      <c r="G569" s="720"/>
      <c r="H569" s="700"/>
      <c r="I569" s="702"/>
      <c r="J569" s="701"/>
      <c r="K569" s="700"/>
      <c r="L569" s="702"/>
      <c r="M569" s="700"/>
      <c r="N569" s="700"/>
      <c r="O569" s="809"/>
      <c r="P569" s="697">
        <f>10100+12115+5561</f>
        <v>27776</v>
      </c>
      <c r="Q569" s="700">
        <v>27776</v>
      </c>
      <c r="R569" s="699">
        <f t="shared" si="67"/>
        <v>100</v>
      </c>
    </row>
    <row r="570" spans="1:18" ht="49.5" customHeight="1">
      <c r="A570" s="764">
        <v>4740</v>
      </c>
      <c r="B570" s="828" t="s">
        <v>235</v>
      </c>
      <c r="C570" s="720"/>
      <c r="D570" s="698">
        <f t="shared" si="64"/>
        <v>100</v>
      </c>
      <c r="E570" s="698">
        <f t="shared" si="66"/>
        <v>96</v>
      </c>
      <c r="F570" s="699">
        <f t="shared" si="63"/>
        <v>96</v>
      </c>
      <c r="G570" s="720"/>
      <c r="H570" s="700"/>
      <c r="I570" s="702"/>
      <c r="J570" s="701"/>
      <c r="K570" s="700"/>
      <c r="L570" s="702"/>
      <c r="M570" s="700"/>
      <c r="N570" s="700"/>
      <c r="O570" s="809"/>
      <c r="P570" s="697">
        <v>100</v>
      </c>
      <c r="Q570" s="700">
        <f>95+1</f>
        <v>96</v>
      </c>
      <c r="R570" s="746">
        <f t="shared" si="67"/>
        <v>96</v>
      </c>
    </row>
    <row r="571" spans="1:18" ht="36.75" thickBot="1">
      <c r="A571" s="764">
        <v>4750</v>
      </c>
      <c r="B571" s="828" t="s">
        <v>787</v>
      </c>
      <c r="C571" s="720"/>
      <c r="D571" s="698">
        <f t="shared" si="64"/>
        <v>836</v>
      </c>
      <c r="E571" s="698">
        <f t="shared" si="66"/>
        <v>836</v>
      </c>
      <c r="F571" s="699">
        <f t="shared" si="63"/>
        <v>100</v>
      </c>
      <c r="G571" s="720"/>
      <c r="H571" s="700"/>
      <c r="I571" s="702"/>
      <c r="J571" s="701"/>
      <c r="K571" s="700"/>
      <c r="L571" s="702"/>
      <c r="M571" s="700"/>
      <c r="N571" s="700"/>
      <c r="O571" s="809"/>
      <c r="P571" s="697">
        <v>836</v>
      </c>
      <c r="Q571" s="700">
        <v>836</v>
      </c>
      <c r="R571" s="699">
        <f t="shared" si="67"/>
        <v>100</v>
      </c>
    </row>
    <row r="572" spans="1:20" s="756" customFormat="1" ht="109.5" customHeight="1" thickBot="1" thickTop="1">
      <c r="A572" s="749">
        <v>756</v>
      </c>
      <c r="B572" s="935" t="s">
        <v>690</v>
      </c>
      <c r="C572" s="751">
        <f>C573</f>
        <v>624700</v>
      </c>
      <c r="D572" s="674">
        <f>G572</f>
        <v>674700</v>
      </c>
      <c r="E572" s="674">
        <f>H572</f>
        <v>582623</v>
      </c>
      <c r="F572" s="771">
        <f>E572/D572*100</f>
        <v>86.35289758411146</v>
      </c>
      <c r="G572" s="751">
        <f>G573</f>
        <v>674700</v>
      </c>
      <c r="H572" s="676">
        <f>H573</f>
        <v>582623</v>
      </c>
      <c r="I572" s="677">
        <f>H572/G572*100</f>
        <v>86.35289758411146</v>
      </c>
      <c r="J572" s="936"/>
      <c r="K572" s="676"/>
      <c r="L572" s="772"/>
      <c r="M572" s="676"/>
      <c r="N572" s="676"/>
      <c r="O572" s="937"/>
      <c r="P572" s="673"/>
      <c r="Q572" s="676"/>
      <c r="R572" s="938"/>
      <c r="S572" s="682"/>
      <c r="T572" s="682"/>
    </row>
    <row r="573" spans="1:18" ht="36.75" thickTop="1">
      <c r="A573" s="939">
        <v>75647</v>
      </c>
      <c r="B573" s="836" t="s">
        <v>691</v>
      </c>
      <c r="C573" s="837">
        <f>SUM(C574:C588)</f>
        <v>624700</v>
      </c>
      <c r="D573" s="759">
        <f aca="true" t="shared" si="68" ref="D573:D591">G573+J573+P573+M573</f>
        <v>674700</v>
      </c>
      <c r="E573" s="759">
        <f>H573+K573+Q573+N573</f>
        <v>582623</v>
      </c>
      <c r="F573" s="838">
        <f>E573/D573*100</f>
        <v>86.35289758411146</v>
      </c>
      <c r="G573" s="837">
        <f>SUM(G574:G588)</f>
        <v>674700</v>
      </c>
      <c r="H573" s="759">
        <f>SUM(H574:H588)</f>
        <v>582623</v>
      </c>
      <c r="I573" s="796">
        <f>H573/G573*100</f>
        <v>86.35289758411146</v>
      </c>
      <c r="J573" s="839"/>
      <c r="K573" s="759"/>
      <c r="L573" s="841"/>
      <c r="M573" s="759"/>
      <c r="N573" s="759"/>
      <c r="O573" s="842"/>
      <c r="P573" s="759"/>
      <c r="Q573" s="759"/>
      <c r="R573" s="841"/>
    </row>
    <row r="574" spans="1:18" ht="48" hidden="1">
      <c r="A574" s="940">
        <v>4010</v>
      </c>
      <c r="B574" s="785" t="s">
        <v>429</v>
      </c>
      <c r="C574" s="723"/>
      <c r="D574" s="698">
        <f t="shared" si="68"/>
        <v>0</v>
      </c>
      <c r="E574" s="698">
        <f aca="true" t="shared" si="69" ref="E574:E591">SUM(H574+K574+N574+Q574)</f>
        <v>0</v>
      </c>
      <c r="F574" s="699" t="e">
        <f aca="true" t="shared" si="70" ref="F574:F605">E574/D574*100</f>
        <v>#DIV/0!</v>
      </c>
      <c r="G574" s="723"/>
      <c r="H574" s="732"/>
      <c r="I574" s="702" t="e">
        <f aca="true" t="shared" si="71" ref="I574:I591">H574/G574*100</f>
        <v>#DIV/0!</v>
      </c>
      <c r="J574" s="735"/>
      <c r="K574" s="732"/>
      <c r="L574" s="707"/>
      <c r="M574" s="732"/>
      <c r="N574" s="732"/>
      <c r="O574" s="803"/>
      <c r="P574" s="732"/>
      <c r="Q574" s="732"/>
      <c r="R574" s="707"/>
    </row>
    <row r="575" spans="1:18" ht="24.75" customHeight="1">
      <c r="A575" s="849">
        <v>4100</v>
      </c>
      <c r="B575" s="768" t="s">
        <v>430</v>
      </c>
      <c r="C575" s="720">
        <v>170000</v>
      </c>
      <c r="D575" s="698">
        <f t="shared" si="68"/>
        <v>169000</v>
      </c>
      <c r="E575" s="698">
        <f t="shared" si="69"/>
        <v>142476</v>
      </c>
      <c r="F575" s="699">
        <f t="shared" si="70"/>
        <v>84.30532544378698</v>
      </c>
      <c r="G575" s="720">
        <f>170000-1000</f>
        <v>169000</v>
      </c>
      <c r="H575" s="941">
        <v>142476</v>
      </c>
      <c r="I575" s="702">
        <f t="shared" si="71"/>
        <v>84.30532544378698</v>
      </c>
      <c r="J575" s="703"/>
      <c r="K575" s="698"/>
      <c r="L575" s="702"/>
      <c r="M575" s="698"/>
      <c r="N575" s="698"/>
      <c r="O575" s="766"/>
      <c r="P575" s="698"/>
      <c r="Q575" s="698"/>
      <c r="R575" s="702"/>
    </row>
    <row r="576" spans="1:18" ht="24" customHeight="1">
      <c r="A576" s="849">
        <v>4100</v>
      </c>
      <c r="B576" s="768" t="s">
        <v>431</v>
      </c>
      <c r="C576" s="720">
        <v>20000</v>
      </c>
      <c r="D576" s="698">
        <f t="shared" si="68"/>
        <v>14200</v>
      </c>
      <c r="E576" s="698">
        <f t="shared" si="69"/>
        <v>10273</v>
      </c>
      <c r="F576" s="699">
        <f t="shared" si="70"/>
        <v>72.3450704225352</v>
      </c>
      <c r="G576" s="720">
        <f>20000-5800</f>
        <v>14200</v>
      </c>
      <c r="H576" s="698">
        <f>5893+4380</f>
        <v>10273</v>
      </c>
      <c r="I576" s="702">
        <f t="shared" si="71"/>
        <v>72.3450704225352</v>
      </c>
      <c r="J576" s="703"/>
      <c r="K576" s="698"/>
      <c r="L576" s="702"/>
      <c r="M576" s="698"/>
      <c r="N576" s="698"/>
      <c r="O576" s="766"/>
      <c r="P576" s="698"/>
      <c r="Q576" s="698"/>
      <c r="R576" s="702"/>
    </row>
    <row r="577" spans="1:18" ht="24.75" customHeight="1">
      <c r="A577" s="764">
        <v>4110</v>
      </c>
      <c r="B577" s="768" t="s">
        <v>432</v>
      </c>
      <c r="C577" s="720">
        <v>6800</v>
      </c>
      <c r="D577" s="698">
        <f t="shared" si="68"/>
        <v>6800</v>
      </c>
      <c r="E577" s="698">
        <f t="shared" si="69"/>
        <v>3873</v>
      </c>
      <c r="F577" s="699">
        <f t="shared" si="70"/>
        <v>56.95588235294118</v>
      </c>
      <c r="G577" s="720">
        <v>6800</v>
      </c>
      <c r="H577" s="698">
        <f>2207+1666</f>
        <v>3873</v>
      </c>
      <c r="I577" s="702">
        <f t="shared" si="71"/>
        <v>56.95588235294118</v>
      </c>
      <c r="J577" s="703"/>
      <c r="K577" s="698"/>
      <c r="L577" s="702"/>
      <c r="M577" s="698"/>
      <c r="N577" s="698"/>
      <c r="O577" s="766"/>
      <c r="P577" s="698"/>
      <c r="Q577" s="698"/>
      <c r="R577" s="702"/>
    </row>
    <row r="578" spans="1:18" ht="24" customHeight="1">
      <c r="A578" s="764">
        <v>4110</v>
      </c>
      <c r="B578" s="768" t="s">
        <v>433</v>
      </c>
      <c r="C578" s="720">
        <v>24600</v>
      </c>
      <c r="D578" s="698">
        <f t="shared" si="68"/>
        <v>24300</v>
      </c>
      <c r="E578" s="698">
        <f t="shared" si="69"/>
        <v>12265</v>
      </c>
      <c r="F578" s="699">
        <f t="shared" si="70"/>
        <v>50.47325102880659</v>
      </c>
      <c r="G578" s="720">
        <f>24600-300</f>
        <v>24300</v>
      </c>
      <c r="H578" s="698">
        <v>12265</v>
      </c>
      <c r="I578" s="702">
        <f t="shared" si="71"/>
        <v>50.47325102880659</v>
      </c>
      <c r="J578" s="703"/>
      <c r="K578" s="698"/>
      <c r="L578" s="702"/>
      <c r="M578" s="698"/>
      <c r="N578" s="698"/>
      <c r="O578" s="766"/>
      <c r="P578" s="698"/>
      <c r="Q578" s="698"/>
      <c r="R578" s="702"/>
    </row>
    <row r="579" spans="1:18" ht="12.75">
      <c r="A579" s="764">
        <v>4120</v>
      </c>
      <c r="B579" s="768" t="s">
        <v>434</v>
      </c>
      <c r="C579" s="720">
        <v>1100</v>
      </c>
      <c r="D579" s="698">
        <f t="shared" si="68"/>
        <v>1100</v>
      </c>
      <c r="E579" s="698">
        <f t="shared" si="69"/>
        <v>391</v>
      </c>
      <c r="F579" s="699">
        <f t="shared" si="70"/>
        <v>35.54545454545455</v>
      </c>
      <c r="G579" s="720">
        <v>1100</v>
      </c>
      <c r="H579" s="698">
        <f>390+1</f>
        <v>391</v>
      </c>
      <c r="I579" s="702">
        <f t="shared" si="71"/>
        <v>35.54545454545455</v>
      </c>
      <c r="J579" s="703"/>
      <c r="K579" s="698"/>
      <c r="L579" s="702"/>
      <c r="M579" s="698"/>
      <c r="N579" s="698"/>
      <c r="O579" s="766"/>
      <c r="P579" s="698"/>
      <c r="Q579" s="698"/>
      <c r="R579" s="702"/>
    </row>
    <row r="580" spans="1:18" ht="12.75">
      <c r="A580" s="764">
        <v>4120</v>
      </c>
      <c r="B580" s="768" t="s">
        <v>435</v>
      </c>
      <c r="C580" s="720">
        <v>4200</v>
      </c>
      <c r="D580" s="698">
        <f t="shared" si="68"/>
        <v>4200</v>
      </c>
      <c r="E580" s="698">
        <f t="shared" si="69"/>
        <v>1523</v>
      </c>
      <c r="F580" s="699">
        <f t="shared" si="70"/>
        <v>36.26190476190476</v>
      </c>
      <c r="G580" s="720">
        <v>4200</v>
      </c>
      <c r="H580" s="698">
        <v>1523</v>
      </c>
      <c r="I580" s="702">
        <f t="shared" si="71"/>
        <v>36.26190476190476</v>
      </c>
      <c r="J580" s="703"/>
      <c r="K580" s="698"/>
      <c r="L580" s="702"/>
      <c r="M580" s="698"/>
      <c r="N580" s="698"/>
      <c r="O580" s="766"/>
      <c r="P580" s="698"/>
      <c r="Q580" s="698"/>
      <c r="R580" s="702"/>
    </row>
    <row r="581" spans="1:18" ht="24">
      <c r="A581" s="764">
        <v>4170</v>
      </c>
      <c r="B581" s="768" t="s">
        <v>692</v>
      </c>
      <c r="C581" s="720">
        <v>23000</v>
      </c>
      <c r="D581" s="698">
        <f t="shared" si="68"/>
        <v>28800</v>
      </c>
      <c r="E581" s="698">
        <f t="shared" si="69"/>
        <v>27160</v>
      </c>
      <c r="F581" s="699">
        <f t="shared" si="70"/>
        <v>94.30555555555556</v>
      </c>
      <c r="G581" s="720">
        <f>23000+5800</f>
        <v>28800</v>
      </c>
      <c r="H581" s="698">
        <v>27160</v>
      </c>
      <c r="I581" s="702">
        <f t="shared" si="71"/>
        <v>94.30555555555556</v>
      </c>
      <c r="J581" s="703"/>
      <c r="K581" s="698"/>
      <c r="L581" s="702"/>
      <c r="M581" s="698"/>
      <c r="N581" s="698"/>
      <c r="O581" s="766"/>
      <c r="P581" s="698"/>
      <c r="Q581" s="698"/>
      <c r="R581" s="702"/>
    </row>
    <row r="582" spans="1:18" ht="24" hidden="1">
      <c r="A582" s="764">
        <v>4300</v>
      </c>
      <c r="B582" s="768" t="s">
        <v>436</v>
      </c>
      <c r="C582" s="720"/>
      <c r="D582" s="698">
        <f t="shared" si="68"/>
        <v>0</v>
      </c>
      <c r="E582" s="698">
        <f t="shared" si="69"/>
        <v>0</v>
      </c>
      <c r="F582" s="699" t="e">
        <f t="shared" si="70"/>
        <v>#DIV/0!</v>
      </c>
      <c r="G582" s="720"/>
      <c r="H582" s="698"/>
      <c r="I582" s="702" t="e">
        <f t="shared" si="71"/>
        <v>#DIV/0!</v>
      </c>
      <c r="J582" s="703"/>
      <c r="K582" s="698"/>
      <c r="L582" s="702"/>
      <c r="M582" s="698"/>
      <c r="N582" s="698"/>
      <c r="O582" s="766"/>
      <c r="P582" s="698"/>
      <c r="Q582" s="698"/>
      <c r="R582" s="702"/>
    </row>
    <row r="583" spans="1:18" ht="24">
      <c r="A583" s="764">
        <v>4300</v>
      </c>
      <c r="B583" s="768" t="s">
        <v>437</v>
      </c>
      <c r="C583" s="720">
        <v>300000</v>
      </c>
      <c r="D583" s="698">
        <f t="shared" si="68"/>
        <v>320000</v>
      </c>
      <c r="E583" s="698">
        <f t="shared" si="69"/>
        <v>305696</v>
      </c>
      <c r="F583" s="699">
        <f t="shared" si="70"/>
        <v>95.53</v>
      </c>
      <c r="G583" s="720">
        <f>300000+20000</f>
        <v>320000</v>
      </c>
      <c r="H583" s="698">
        <v>305696</v>
      </c>
      <c r="I583" s="702">
        <f t="shared" si="71"/>
        <v>95.53</v>
      </c>
      <c r="J583" s="703"/>
      <c r="K583" s="698"/>
      <c r="L583" s="702"/>
      <c r="M583" s="698"/>
      <c r="N583" s="698"/>
      <c r="O583" s="766"/>
      <c r="P583" s="698"/>
      <c r="Q583" s="698"/>
      <c r="R583" s="702"/>
    </row>
    <row r="584" spans="1:18" ht="24" hidden="1">
      <c r="A584" s="764">
        <v>4430</v>
      </c>
      <c r="B584" s="768" t="s">
        <v>693</v>
      </c>
      <c r="C584" s="720"/>
      <c r="D584" s="698">
        <f t="shared" si="68"/>
        <v>0</v>
      </c>
      <c r="E584" s="698">
        <f t="shared" si="69"/>
        <v>0</v>
      </c>
      <c r="F584" s="699" t="e">
        <f t="shared" si="70"/>
        <v>#DIV/0!</v>
      </c>
      <c r="G584" s="720"/>
      <c r="H584" s="698"/>
      <c r="I584" s="702" t="e">
        <f t="shared" si="71"/>
        <v>#DIV/0!</v>
      </c>
      <c r="J584" s="703"/>
      <c r="K584" s="698"/>
      <c r="L584" s="702"/>
      <c r="M584" s="698"/>
      <c r="N584" s="698"/>
      <c r="O584" s="766"/>
      <c r="P584" s="698"/>
      <c r="Q584" s="698"/>
      <c r="R584" s="702"/>
    </row>
    <row r="585" spans="1:18" ht="16.5" customHeight="1">
      <c r="A585" s="764">
        <v>4430</v>
      </c>
      <c r="B585" s="768" t="s">
        <v>694</v>
      </c>
      <c r="C585" s="720"/>
      <c r="D585" s="698">
        <f t="shared" si="68"/>
        <v>1300</v>
      </c>
      <c r="E585" s="698">
        <f t="shared" si="69"/>
        <v>1218</v>
      </c>
      <c r="F585" s="699">
        <f t="shared" si="70"/>
        <v>93.6923076923077</v>
      </c>
      <c r="G585" s="720">
        <f>1000+300</f>
        <v>1300</v>
      </c>
      <c r="H585" s="698">
        <v>1218</v>
      </c>
      <c r="I585" s="702">
        <f t="shared" si="71"/>
        <v>93.6923076923077</v>
      </c>
      <c r="J585" s="703"/>
      <c r="K585" s="698"/>
      <c r="L585" s="702"/>
      <c r="M585" s="698"/>
      <c r="N585" s="698"/>
      <c r="O585" s="766"/>
      <c r="P585" s="698"/>
      <c r="Q585" s="698"/>
      <c r="R585" s="702"/>
    </row>
    <row r="586" spans="1:18" ht="16.5" customHeight="1">
      <c r="A586" s="764">
        <v>4430</v>
      </c>
      <c r="B586" s="768" t="s">
        <v>693</v>
      </c>
      <c r="C586" s="720">
        <v>5000</v>
      </c>
      <c r="D586" s="698">
        <f>G586+J586+P586+M586</f>
        <v>5000</v>
      </c>
      <c r="E586" s="698">
        <f>SUM(H586+K586+N586+Q586)</f>
        <v>4542</v>
      </c>
      <c r="F586" s="699">
        <f>E586/D586*100</f>
        <v>90.84</v>
      </c>
      <c r="G586" s="720">
        <v>5000</v>
      </c>
      <c r="H586" s="698">
        <v>4542</v>
      </c>
      <c r="I586" s="702">
        <f t="shared" si="71"/>
        <v>90.84</v>
      </c>
      <c r="J586" s="703"/>
      <c r="K586" s="698"/>
      <c r="L586" s="702"/>
      <c r="M586" s="698"/>
      <c r="N586" s="698"/>
      <c r="O586" s="766"/>
      <c r="P586" s="698"/>
      <c r="Q586" s="698"/>
      <c r="R586" s="702"/>
    </row>
    <row r="587" spans="1:18" ht="24">
      <c r="A587" s="764">
        <v>4510</v>
      </c>
      <c r="B587" s="768" t="s">
        <v>319</v>
      </c>
      <c r="C587" s="720">
        <v>3000</v>
      </c>
      <c r="D587" s="698">
        <f>G587+J587+P587+M587</f>
        <v>3000</v>
      </c>
      <c r="E587" s="698">
        <f>SUM(H587+K587+N587+Q587)</f>
        <v>0</v>
      </c>
      <c r="F587" s="699">
        <f>E587/D587*100</f>
        <v>0</v>
      </c>
      <c r="G587" s="720">
        <v>3000</v>
      </c>
      <c r="H587" s="698"/>
      <c r="I587" s="702">
        <f t="shared" si="71"/>
        <v>0</v>
      </c>
      <c r="J587" s="703"/>
      <c r="K587" s="698"/>
      <c r="L587" s="702"/>
      <c r="M587" s="698"/>
      <c r="N587" s="698"/>
      <c r="O587" s="766"/>
      <c r="P587" s="698"/>
      <c r="Q587" s="698"/>
      <c r="R587" s="702"/>
    </row>
    <row r="588" spans="1:18" ht="36">
      <c r="A588" s="764">
        <v>4610</v>
      </c>
      <c r="B588" s="768" t="s">
        <v>245</v>
      </c>
      <c r="C588" s="720">
        <f>SUM(C589:C590)</f>
        <v>67000</v>
      </c>
      <c r="D588" s="698">
        <f t="shared" si="68"/>
        <v>97000</v>
      </c>
      <c r="E588" s="698">
        <f t="shared" si="69"/>
        <v>73206</v>
      </c>
      <c r="F588" s="699">
        <f t="shared" si="70"/>
        <v>75.4701030927835</v>
      </c>
      <c r="G588" s="720">
        <f>SUM(G589:G591)</f>
        <v>97000</v>
      </c>
      <c r="H588" s="698">
        <f>SUM(H589:H591)</f>
        <v>73206</v>
      </c>
      <c r="I588" s="702">
        <f t="shared" si="71"/>
        <v>75.4701030927835</v>
      </c>
      <c r="J588" s="703"/>
      <c r="K588" s="698"/>
      <c r="L588" s="702"/>
      <c r="M588" s="698"/>
      <c r="N588" s="698"/>
      <c r="O588" s="766"/>
      <c r="P588" s="698"/>
      <c r="Q588" s="698"/>
      <c r="R588" s="702"/>
    </row>
    <row r="589" spans="1:20" s="818" customFormat="1" ht="12.75">
      <c r="A589" s="811"/>
      <c r="B589" s="812" t="s">
        <v>695</v>
      </c>
      <c r="C589" s="813">
        <v>7000</v>
      </c>
      <c r="D589" s="814">
        <f t="shared" si="68"/>
        <v>7000</v>
      </c>
      <c r="E589" s="814">
        <f t="shared" si="69"/>
        <v>4681</v>
      </c>
      <c r="F589" s="699">
        <f t="shared" si="70"/>
        <v>66.87142857142857</v>
      </c>
      <c r="G589" s="813">
        <v>7000</v>
      </c>
      <c r="H589" s="814">
        <v>4681</v>
      </c>
      <c r="I589" s="744">
        <f t="shared" si="71"/>
        <v>66.87142857142857</v>
      </c>
      <c r="J589" s="815"/>
      <c r="K589" s="814"/>
      <c r="L589" s="702"/>
      <c r="M589" s="814"/>
      <c r="N589" s="814"/>
      <c r="O589" s="704"/>
      <c r="P589" s="814"/>
      <c r="Q589" s="814"/>
      <c r="R589" s="702"/>
      <c r="S589" s="817"/>
      <c r="T589" s="817"/>
    </row>
    <row r="590" spans="1:20" s="818" customFormat="1" ht="13.5" thickBot="1">
      <c r="A590" s="811"/>
      <c r="B590" s="812" t="s">
        <v>610</v>
      </c>
      <c r="C590" s="813">
        <v>60000</v>
      </c>
      <c r="D590" s="814">
        <f>G590+J590+P590+M590</f>
        <v>90000</v>
      </c>
      <c r="E590" s="814">
        <f t="shared" si="69"/>
        <v>68525</v>
      </c>
      <c r="F590" s="699">
        <f t="shared" si="70"/>
        <v>76.13888888888889</v>
      </c>
      <c r="G590" s="813">
        <f>60000+30000</f>
        <v>90000</v>
      </c>
      <c r="H590" s="814">
        <f>68485+40</f>
        <v>68525</v>
      </c>
      <c r="I590" s="702">
        <f t="shared" si="71"/>
        <v>76.13888888888889</v>
      </c>
      <c r="J590" s="815"/>
      <c r="K590" s="814"/>
      <c r="L590" s="702"/>
      <c r="M590" s="814"/>
      <c r="N590" s="814"/>
      <c r="O590" s="704"/>
      <c r="P590" s="814"/>
      <c r="Q590" s="814"/>
      <c r="R590" s="702"/>
      <c r="S590" s="817"/>
      <c r="T590" s="817"/>
    </row>
    <row r="591" spans="1:20" s="818" customFormat="1" ht="13.5" hidden="1" thickBot="1">
      <c r="A591" s="811"/>
      <c r="B591" s="812" t="s">
        <v>696</v>
      </c>
      <c r="C591" s="822"/>
      <c r="D591" s="814">
        <f t="shared" si="68"/>
        <v>0</v>
      </c>
      <c r="E591" s="814">
        <f t="shared" si="69"/>
        <v>0</v>
      </c>
      <c r="F591" s="699" t="e">
        <f t="shared" si="70"/>
        <v>#DIV/0!</v>
      </c>
      <c r="G591" s="822">
        <f>500-500</f>
        <v>0</v>
      </c>
      <c r="H591" s="823"/>
      <c r="I591" s="702" t="e">
        <f t="shared" si="71"/>
        <v>#DIV/0!</v>
      </c>
      <c r="J591" s="824"/>
      <c r="K591" s="823"/>
      <c r="L591" s="796"/>
      <c r="M591" s="823"/>
      <c r="N591" s="823"/>
      <c r="O591" s="794"/>
      <c r="P591" s="823"/>
      <c r="Q591" s="823"/>
      <c r="R591" s="796"/>
      <c r="S591" s="817"/>
      <c r="T591" s="817"/>
    </row>
    <row r="592" spans="1:20" s="756" customFormat="1" ht="27" customHeight="1" thickBot="1" thickTop="1">
      <c r="A592" s="749">
        <v>757</v>
      </c>
      <c r="B592" s="750" t="s">
        <v>697</v>
      </c>
      <c r="C592" s="751">
        <f>SUM(C593)</f>
        <v>3200000</v>
      </c>
      <c r="D592" s="674">
        <f>G592+J592+P592+M592</f>
        <v>4250000</v>
      </c>
      <c r="E592" s="674">
        <f>H592+K592+Q592+N592</f>
        <v>3719133</v>
      </c>
      <c r="F592" s="675">
        <f t="shared" si="70"/>
        <v>87.50901176470587</v>
      </c>
      <c r="G592" s="751">
        <f>SUM(G593)</f>
        <v>4250000</v>
      </c>
      <c r="H592" s="674">
        <f>SUM(H593)</f>
        <v>3719133</v>
      </c>
      <c r="I592" s="677">
        <f t="shared" si="65"/>
        <v>87.50901176470587</v>
      </c>
      <c r="J592" s="678"/>
      <c r="K592" s="674"/>
      <c r="L592" s="753"/>
      <c r="M592" s="674"/>
      <c r="N592" s="674"/>
      <c r="O592" s="754"/>
      <c r="P592" s="751"/>
      <c r="Q592" s="674"/>
      <c r="R592" s="851"/>
      <c r="S592" s="682"/>
      <c r="T592" s="682"/>
    </row>
    <row r="593" spans="1:18" ht="39.75" customHeight="1" thickTop="1">
      <c r="A593" s="757">
        <v>75702</v>
      </c>
      <c r="B593" s="852" t="s">
        <v>698</v>
      </c>
      <c r="C593" s="725">
        <f>SUM(C594:C596)</f>
        <v>3200000</v>
      </c>
      <c r="D593" s="759">
        <f>G593+J593+P593+M593</f>
        <v>4250000</v>
      </c>
      <c r="E593" s="686">
        <f>H593+K593+Q593+N593</f>
        <v>3719133</v>
      </c>
      <c r="F593" s="760">
        <f t="shared" si="70"/>
        <v>87.50901176470587</v>
      </c>
      <c r="G593" s="725">
        <f>SUM(G594:G596)</f>
        <v>4250000</v>
      </c>
      <c r="H593" s="712">
        <f>SUM(H594:H596)</f>
        <v>3719133</v>
      </c>
      <c r="I593" s="796">
        <f t="shared" si="65"/>
        <v>87.50901176470587</v>
      </c>
      <c r="J593" s="717"/>
      <c r="K593" s="712"/>
      <c r="L593" s="718"/>
      <c r="M593" s="712"/>
      <c r="N593" s="712"/>
      <c r="O593" s="762"/>
      <c r="P593" s="725"/>
      <c r="Q593" s="712"/>
      <c r="R593" s="846"/>
    </row>
    <row r="594" spans="1:18" ht="60.75" customHeight="1">
      <c r="A594" s="784">
        <v>8070</v>
      </c>
      <c r="B594" s="942" t="s">
        <v>699</v>
      </c>
      <c r="C594" s="720">
        <v>3200000</v>
      </c>
      <c r="D594" s="732">
        <f aca="true" t="shared" si="72" ref="D594:D663">G594+J594+P594+M594</f>
        <v>3200000</v>
      </c>
      <c r="E594" s="732">
        <f>SUM(H594+K594+N594+Q594)</f>
        <v>2669133</v>
      </c>
      <c r="F594" s="721">
        <f t="shared" si="70"/>
        <v>83.41040625000001</v>
      </c>
      <c r="G594" s="723">
        <f>3200000-500000+500000</f>
        <v>3200000</v>
      </c>
      <c r="H594" s="732">
        <v>2669133</v>
      </c>
      <c r="I594" s="702">
        <f t="shared" si="65"/>
        <v>83.41040625000001</v>
      </c>
      <c r="J594" s="703"/>
      <c r="K594" s="698"/>
      <c r="L594" s="704"/>
      <c r="M594" s="698"/>
      <c r="N594" s="698"/>
      <c r="O594" s="766"/>
      <c r="P594" s="720"/>
      <c r="Q594" s="698"/>
      <c r="R594" s="770"/>
    </row>
    <row r="595" spans="1:18" ht="17.25" customHeight="1" thickBot="1">
      <c r="A595" s="764">
        <v>4300</v>
      </c>
      <c r="B595" s="828" t="s">
        <v>219</v>
      </c>
      <c r="C595" s="720"/>
      <c r="D595" s="698">
        <f t="shared" si="72"/>
        <v>1050000</v>
      </c>
      <c r="E595" s="698">
        <f>SUM(H595+K595+N595+Q595)</f>
        <v>1050000</v>
      </c>
      <c r="F595" s="699">
        <f t="shared" si="70"/>
        <v>100</v>
      </c>
      <c r="G595" s="720">
        <f>550000+500000</f>
        <v>1050000</v>
      </c>
      <c r="H595" s="698">
        <v>1050000</v>
      </c>
      <c r="I595" s="744">
        <f t="shared" si="65"/>
        <v>100</v>
      </c>
      <c r="J595" s="703"/>
      <c r="K595" s="698"/>
      <c r="L595" s="704"/>
      <c r="M595" s="698"/>
      <c r="N595" s="698"/>
      <c r="O595" s="766"/>
      <c r="P595" s="720"/>
      <c r="Q595" s="698"/>
      <c r="R595" s="770"/>
    </row>
    <row r="596" spans="1:20" s="756" customFormat="1" ht="72.75" hidden="1" thickBot="1">
      <c r="A596" s="943">
        <v>8079</v>
      </c>
      <c r="B596" s="828" t="s">
        <v>699</v>
      </c>
      <c r="C596" s="769"/>
      <c r="D596" s="748">
        <f t="shared" si="72"/>
        <v>0</v>
      </c>
      <c r="E596" s="748">
        <f>SUM(H596+K596+N596+Q596)</f>
        <v>0</v>
      </c>
      <c r="F596" s="944" t="e">
        <f t="shared" si="70"/>
        <v>#DIV/0!</v>
      </c>
      <c r="G596" s="769"/>
      <c r="H596" s="748"/>
      <c r="I596" s="702" t="e">
        <f t="shared" si="65"/>
        <v>#DIV/0!</v>
      </c>
      <c r="J596" s="793"/>
      <c r="K596" s="792"/>
      <c r="L596" s="794"/>
      <c r="M596" s="792"/>
      <c r="N596" s="792"/>
      <c r="O596" s="766"/>
      <c r="P596" s="791"/>
      <c r="Q596" s="792"/>
      <c r="R596" s="797"/>
      <c r="S596" s="682"/>
      <c r="T596" s="682"/>
    </row>
    <row r="597" spans="1:18" ht="19.5" customHeight="1" thickBot="1" thickTop="1">
      <c r="A597" s="749">
        <v>758</v>
      </c>
      <c r="B597" s="750" t="s">
        <v>700</v>
      </c>
      <c r="C597" s="751">
        <f>C604+C598</f>
        <v>9608446</v>
      </c>
      <c r="D597" s="674">
        <f>G597+J597+P597+M597</f>
        <v>6343923</v>
      </c>
      <c r="E597" s="674">
        <f>E604+E598+E600</f>
        <v>4443369</v>
      </c>
      <c r="F597" s="675">
        <f t="shared" si="70"/>
        <v>70.04134507937754</v>
      </c>
      <c r="G597" s="882">
        <f>G604+G598+G600</f>
        <v>1945477</v>
      </c>
      <c r="H597" s="674">
        <f>H604+H598+H600</f>
        <v>44923</v>
      </c>
      <c r="I597" s="677">
        <f t="shared" si="65"/>
        <v>2.3090995164681978</v>
      </c>
      <c r="J597" s="678"/>
      <c r="K597" s="674"/>
      <c r="L597" s="753"/>
      <c r="M597" s="674">
        <f>M598</f>
        <v>4398446</v>
      </c>
      <c r="N597" s="674">
        <f>N598</f>
        <v>4398446</v>
      </c>
      <c r="O597" s="945">
        <f>N597/M597*100</f>
        <v>100</v>
      </c>
      <c r="P597" s="751"/>
      <c r="Q597" s="674"/>
      <c r="R597" s="851"/>
    </row>
    <row r="598" spans="1:18" ht="36.75" thickTop="1">
      <c r="A598" s="866">
        <v>75832</v>
      </c>
      <c r="B598" s="867" t="s">
        <v>701</v>
      </c>
      <c r="C598" s="868">
        <f>C599</f>
        <v>4398446</v>
      </c>
      <c r="D598" s="686">
        <f t="shared" si="72"/>
        <v>4398446</v>
      </c>
      <c r="E598" s="686">
        <f>E599</f>
        <v>4398446</v>
      </c>
      <c r="F598" s="687">
        <f t="shared" si="70"/>
        <v>100</v>
      </c>
      <c r="G598" s="868"/>
      <c r="H598" s="691"/>
      <c r="I598" s="690"/>
      <c r="J598" s="691"/>
      <c r="K598" s="686"/>
      <c r="L598" s="692"/>
      <c r="M598" s="686">
        <f>M599</f>
        <v>4398446</v>
      </c>
      <c r="N598" s="686">
        <f>N599</f>
        <v>4398446</v>
      </c>
      <c r="O598" s="946">
        <f>N598/M598*100</f>
        <v>100</v>
      </c>
      <c r="P598" s="868"/>
      <c r="Q598" s="686"/>
      <c r="R598" s="947"/>
    </row>
    <row r="599" spans="1:18" ht="39" customHeight="1">
      <c r="A599" s="764">
        <v>2930</v>
      </c>
      <c r="B599" s="768" t="s">
        <v>702</v>
      </c>
      <c r="C599" s="720">
        <v>4398446</v>
      </c>
      <c r="D599" s="874">
        <f t="shared" si="72"/>
        <v>4398446</v>
      </c>
      <c r="E599" s="874">
        <f aca="true" t="shared" si="73" ref="E599:E609">SUM(H599+K599+N599+Q599)</f>
        <v>4398446</v>
      </c>
      <c r="F599" s="713">
        <f t="shared" si="70"/>
        <v>100</v>
      </c>
      <c r="G599" s="720"/>
      <c r="H599" s="698"/>
      <c r="I599" s="719"/>
      <c r="J599" s="703"/>
      <c r="K599" s="698"/>
      <c r="L599" s="704"/>
      <c r="M599" s="698">
        <v>4398446</v>
      </c>
      <c r="N599" s="698">
        <f>366539+366537+366537+366537+366537+366537+366537+366537+366537+366537+366537+366537</f>
        <v>4398446</v>
      </c>
      <c r="O599" s="948">
        <f>N599/M599*100</f>
        <v>100</v>
      </c>
      <c r="P599" s="720"/>
      <c r="Q599" s="698"/>
      <c r="R599" s="770"/>
    </row>
    <row r="600" spans="1:20" s="953" customFormat="1" ht="24">
      <c r="A600" s="757">
        <v>75814</v>
      </c>
      <c r="B600" s="852" t="s">
        <v>39</v>
      </c>
      <c r="C600" s="725"/>
      <c r="D600" s="712">
        <f>G600+J600+P600+M600</f>
        <v>59699</v>
      </c>
      <c r="E600" s="712">
        <f>SUM(H600+K600+N600+Q600)</f>
        <v>44923</v>
      </c>
      <c r="F600" s="726">
        <f>E600/D600*100</f>
        <v>75.24916665270776</v>
      </c>
      <c r="G600" s="725">
        <f>SUM(G601:G603)</f>
        <v>59699</v>
      </c>
      <c r="H600" s="717">
        <f>SUM(H601:H603)</f>
        <v>44923</v>
      </c>
      <c r="I600" s="796">
        <f t="shared" si="65"/>
        <v>75.24916665270776</v>
      </c>
      <c r="J600" s="717"/>
      <c r="K600" s="712"/>
      <c r="L600" s="949"/>
      <c r="M600" s="712"/>
      <c r="N600" s="712"/>
      <c r="O600" s="950"/>
      <c r="P600" s="725"/>
      <c r="Q600" s="712"/>
      <c r="R600" s="951"/>
      <c r="S600" s="952"/>
      <c r="T600" s="952"/>
    </row>
    <row r="601" spans="1:18" ht="25.5" customHeight="1">
      <c r="A601" s="764">
        <v>3030</v>
      </c>
      <c r="B601" s="768" t="s">
        <v>438</v>
      </c>
      <c r="C601" s="720"/>
      <c r="D601" s="732">
        <f>G601+J601+P601+M601</f>
        <v>14000</v>
      </c>
      <c r="E601" s="732">
        <f>SUM(H601+K601+N601+Q601)</f>
        <v>0</v>
      </c>
      <c r="F601" s="721">
        <f>E601/D601*100</f>
        <v>0</v>
      </c>
      <c r="G601" s="723">
        <v>14000</v>
      </c>
      <c r="H601" s="703"/>
      <c r="I601" s="702">
        <f t="shared" si="65"/>
        <v>0</v>
      </c>
      <c r="J601" s="703"/>
      <c r="K601" s="698"/>
      <c r="L601" s="704"/>
      <c r="M601" s="698"/>
      <c r="N601" s="698"/>
      <c r="O601" s="948"/>
      <c r="P601" s="720"/>
      <c r="Q601" s="698"/>
      <c r="R601" s="770"/>
    </row>
    <row r="602" spans="1:18" ht="28.5" customHeight="1">
      <c r="A602" s="764">
        <v>4590</v>
      </c>
      <c r="B602" s="768" t="s">
        <v>439</v>
      </c>
      <c r="C602" s="720"/>
      <c r="D602" s="698">
        <f>G602+J602+P602+M602</f>
        <v>13699</v>
      </c>
      <c r="E602" s="698">
        <f>SUM(H602+K602+N602+Q602)</f>
        <v>13699</v>
      </c>
      <c r="F602" s="699">
        <f>E602/D602*100</f>
        <v>100</v>
      </c>
      <c r="G602" s="720">
        <v>13699</v>
      </c>
      <c r="H602" s="703">
        <v>13699</v>
      </c>
      <c r="I602" s="744">
        <f t="shared" si="65"/>
        <v>100</v>
      </c>
      <c r="J602" s="703"/>
      <c r="K602" s="698"/>
      <c r="L602" s="704"/>
      <c r="M602" s="698"/>
      <c r="N602" s="698"/>
      <c r="O602" s="948"/>
      <c r="P602" s="720"/>
      <c r="Q602" s="698"/>
      <c r="R602" s="770"/>
    </row>
    <row r="603" spans="1:18" ht="50.25" customHeight="1">
      <c r="A603" s="789">
        <v>4600</v>
      </c>
      <c r="B603" s="804" t="s">
        <v>440</v>
      </c>
      <c r="C603" s="791"/>
      <c r="D603" s="792">
        <f>G603+J603+P603+M603</f>
        <v>32000</v>
      </c>
      <c r="E603" s="792">
        <f>SUM(H603+K603+N603+Q603)</f>
        <v>31224</v>
      </c>
      <c r="F603" s="760">
        <f>E603/D603*100</f>
        <v>97.575</v>
      </c>
      <c r="G603" s="791">
        <v>32000</v>
      </c>
      <c r="H603" s="793">
        <v>31224</v>
      </c>
      <c r="I603" s="796">
        <f t="shared" si="65"/>
        <v>97.575</v>
      </c>
      <c r="J603" s="793"/>
      <c r="K603" s="792"/>
      <c r="L603" s="794"/>
      <c r="M603" s="792"/>
      <c r="N603" s="792"/>
      <c r="O603" s="954"/>
      <c r="P603" s="791"/>
      <c r="Q603" s="792"/>
      <c r="R603" s="797"/>
    </row>
    <row r="604" spans="1:18" ht="21" customHeight="1">
      <c r="A604" s="835">
        <v>75818</v>
      </c>
      <c r="B604" s="836" t="s">
        <v>703</v>
      </c>
      <c r="C604" s="837">
        <f>SUM(C605:C609)</f>
        <v>5210000</v>
      </c>
      <c r="D604" s="759">
        <f t="shared" si="72"/>
        <v>1885778</v>
      </c>
      <c r="E604" s="777">
        <f t="shared" si="73"/>
        <v>0</v>
      </c>
      <c r="F604" s="760">
        <f t="shared" si="70"/>
        <v>0</v>
      </c>
      <c r="G604" s="837">
        <f>SUM(G605:G609)</f>
        <v>1885778</v>
      </c>
      <c r="H604" s="839">
        <f>SUM(H605:H609)</f>
        <v>0</v>
      </c>
      <c r="I604" s="796">
        <f t="shared" si="65"/>
        <v>0</v>
      </c>
      <c r="J604" s="839"/>
      <c r="K604" s="759"/>
      <c r="L604" s="865"/>
      <c r="M604" s="759"/>
      <c r="N604" s="759"/>
      <c r="O604" s="806"/>
      <c r="P604" s="837"/>
      <c r="Q604" s="759"/>
      <c r="R604" s="797"/>
    </row>
    <row r="605" spans="1:18" ht="35.25" customHeight="1">
      <c r="A605" s="784">
        <v>4810</v>
      </c>
      <c r="B605" s="785" t="s">
        <v>704</v>
      </c>
      <c r="C605" s="723">
        <v>2850000</v>
      </c>
      <c r="D605" s="732">
        <f t="shared" si="72"/>
        <v>35458</v>
      </c>
      <c r="E605" s="732">
        <f t="shared" si="73"/>
        <v>0</v>
      </c>
      <c r="F605" s="721">
        <f t="shared" si="70"/>
        <v>0</v>
      </c>
      <c r="G605" s="723">
        <f>2850000-768038-179340-10000-500000-267154-74643-218900-796467</f>
        <v>35458</v>
      </c>
      <c r="H605" s="732"/>
      <c r="I605" s="707">
        <f t="shared" si="65"/>
        <v>0</v>
      </c>
      <c r="J605" s="735"/>
      <c r="K605" s="732"/>
      <c r="L605" s="736"/>
      <c r="M605" s="732"/>
      <c r="N605" s="732"/>
      <c r="O605" s="803"/>
      <c r="P605" s="723"/>
      <c r="Q605" s="732"/>
      <c r="R605" s="788"/>
    </row>
    <row r="606" spans="1:18" ht="24">
      <c r="A606" s="764">
        <v>4810</v>
      </c>
      <c r="B606" s="828" t="s">
        <v>320</v>
      </c>
      <c r="C606" s="720">
        <v>210000</v>
      </c>
      <c r="D606" s="698">
        <f t="shared" si="72"/>
        <v>0</v>
      </c>
      <c r="E606" s="698">
        <f>SUM(H606+K606+N606+Q606)</f>
        <v>0</v>
      </c>
      <c r="F606" s="699"/>
      <c r="G606" s="720">
        <f>210000-210000</f>
        <v>0</v>
      </c>
      <c r="H606" s="698"/>
      <c r="I606" s="702"/>
      <c r="J606" s="703"/>
      <c r="K606" s="698"/>
      <c r="L606" s="704"/>
      <c r="M606" s="698"/>
      <c r="N606" s="698"/>
      <c r="O606" s="766"/>
      <c r="P606" s="720"/>
      <c r="Q606" s="698"/>
      <c r="R606" s="770"/>
    </row>
    <row r="607" spans="1:18" ht="48">
      <c r="A607" s="764">
        <v>4810</v>
      </c>
      <c r="B607" s="828" t="s">
        <v>321</v>
      </c>
      <c r="C607" s="720">
        <v>500000</v>
      </c>
      <c r="D607" s="698">
        <f>G607+J607+P607+M607</f>
        <v>500000</v>
      </c>
      <c r="E607" s="698">
        <f>SUM(H607+K607+N607+Q607)</f>
        <v>0</v>
      </c>
      <c r="F607" s="699">
        <f aca="true" t="shared" si="74" ref="F607:F670">E607/D607*100</f>
        <v>0</v>
      </c>
      <c r="G607" s="720">
        <v>500000</v>
      </c>
      <c r="H607" s="698"/>
      <c r="I607" s="702">
        <f t="shared" si="65"/>
        <v>0</v>
      </c>
      <c r="J607" s="703"/>
      <c r="K607" s="698"/>
      <c r="L607" s="704"/>
      <c r="M607" s="698"/>
      <c r="N607" s="698"/>
      <c r="O607" s="766"/>
      <c r="P607" s="720"/>
      <c r="Q607" s="698"/>
      <c r="R607" s="770"/>
    </row>
    <row r="608" spans="1:18" ht="36">
      <c r="A608" s="764">
        <v>6800</v>
      </c>
      <c r="B608" s="768" t="s">
        <v>441</v>
      </c>
      <c r="C608" s="720">
        <v>150000</v>
      </c>
      <c r="D608" s="698">
        <f t="shared" si="72"/>
        <v>114825</v>
      </c>
      <c r="E608" s="698">
        <f t="shared" si="73"/>
        <v>0</v>
      </c>
      <c r="F608" s="699">
        <f t="shared" si="74"/>
        <v>0</v>
      </c>
      <c r="G608" s="720">
        <f>150000-3904-27245-4026</f>
        <v>114825</v>
      </c>
      <c r="H608" s="698"/>
      <c r="I608" s="702">
        <f t="shared" si="65"/>
        <v>0</v>
      </c>
      <c r="J608" s="703"/>
      <c r="K608" s="698"/>
      <c r="L608" s="704"/>
      <c r="M608" s="698"/>
      <c r="N608" s="698"/>
      <c r="O608" s="766"/>
      <c r="P608" s="720"/>
      <c r="Q608" s="698"/>
      <c r="R608" s="770"/>
    </row>
    <row r="609" spans="1:18" ht="24.75" thickBot="1">
      <c r="A609" s="764">
        <v>4810</v>
      </c>
      <c r="B609" s="768" t="s">
        <v>705</v>
      </c>
      <c r="C609" s="720">
        <v>1500000</v>
      </c>
      <c r="D609" s="698">
        <f t="shared" si="72"/>
        <v>1235495</v>
      </c>
      <c r="E609" s="698">
        <f t="shared" si="73"/>
        <v>0</v>
      </c>
      <c r="F609" s="699">
        <f t="shared" si="74"/>
        <v>0</v>
      </c>
      <c r="G609" s="720">
        <f>1500000-14000-30000-120505-100000</f>
        <v>1235495</v>
      </c>
      <c r="H609" s="698"/>
      <c r="I609" s="702">
        <f t="shared" si="65"/>
        <v>0</v>
      </c>
      <c r="J609" s="703"/>
      <c r="K609" s="698"/>
      <c r="L609" s="704"/>
      <c r="M609" s="698"/>
      <c r="N609" s="698"/>
      <c r="O609" s="766"/>
      <c r="P609" s="720"/>
      <c r="Q609" s="698"/>
      <c r="R609" s="770"/>
    </row>
    <row r="610" spans="1:20" s="756" customFormat="1" ht="27" customHeight="1" thickBot="1" thickTop="1">
      <c r="A610" s="749">
        <v>801</v>
      </c>
      <c r="B610" s="750" t="s">
        <v>706</v>
      </c>
      <c r="C610" s="751">
        <f>C611+C641+C678+C699+C727+C770+C799+C821+C854+C876+C902+C905+C922+C682+C666+C749</f>
        <v>133843220</v>
      </c>
      <c r="D610" s="674">
        <f t="shared" si="72"/>
        <v>141919073</v>
      </c>
      <c r="E610" s="674">
        <f>H610+K610+Q610+N610</f>
        <v>137853035</v>
      </c>
      <c r="F610" s="675">
        <f t="shared" si="74"/>
        <v>97.13496014732283</v>
      </c>
      <c r="G610" s="751">
        <f>G611+G641+G678+G699+G727+G770+G799+G821+G854+G876+G902+G905+G922+G682+G666+G749</f>
        <v>82950448</v>
      </c>
      <c r="H610" s="674">
        <f>H611+H641+H678+H699+H727+H770+H799+H821+H854+H876+H902+H905+H922+H682+H666+H749</f>
        <v>81572579</v>
      </c>
      <c r="I610" s="752">
        <f t="shared" si="65"/>
        <v>98.33892518579285</v>
      </c>
      <c r="J610" s="674">
        <f>J922</f>
        <v>2500</v>
      </c>
      <c r="K610" s="674">
        <f>K922</f>
        <v>2500</v>
      </c>
      <c r="L610" s="752"/>
      <c r="M610" s="674">
        <f>M611+M641+M678+M699+M727+M770+M799+M821+M854+M876+M902+M905+M922+M682</f>
        <v>58966125</v>
      </c>
      <c r="N610" s="674">
        <f>N611+N641+N678+N699+N727+N770+N799+N821+N854+N876+N902+N905+N922+N682</f>
        <v>56277956</v>
      </c>
      <c r="O610" s="677">
        <f>N610/M610*100</f>
        <v>95.44116388858858</v>
      </c>
      <c r="P610" s="751"/>
      <c r="Q610" s="674"/>
      <c r="R610" s="851"/>
      <c r="S610" s="682"/>
      <c r="T610" s="682"/>
    </row>
    <row r="611" spans="1:18" ht="18.75" customHeight="1" thickTop="1">
      <c r="A611" s="757">
        <v>80101</v>
      </c>
      <c r="B611" s="852" t="s">
        <v>707</v>
      </c>
      <c r="C611" s="725">
        <f>SUM(C612:C640)</f>
        <v>35208600</v>
      </c>
      <c r="D611" s="759">
        <f t="shared" si="72"/>
        <v>36583960</v>
      </c>
      <c r="E611" s="686">
        <f>H611+K611+Q611+N611</f>
        <v>35680411</v>
      </c>
      <c r="F611" s="760">
        <f t="shared" si="74"/>
        <v>97.53020449399136</v>
      </c>
      <c r="G611" s="725">
        <f>SUM(G612:G640)</f>
        <v>36583960</v>
      </c>
      <c r="H611" s="712">
        <f>SUM(H612:H640)</f>
        <v>35680411</v>
      </c>
      <c r="I611" s="761">
        <f t="shared" si="65"/>
        <v>97.53020449399136</v>
      </c>
      <c r="J611" s="712"/>
      <c r="K611" s="712"/>
      <c r="L611" s="796"/>
      <c r="M611" s="712"/>
      <c r="N611" s="712"/>
      <c r="O611" s="762"/>
      <c r="P611" s="725"/>
      <c r="Q611" s="712"/>
      <c r="R611" s="846"/>
    </row>
    <row r="612" spans="1:18" ht="41.25" customHeight="1">
      <c r="A612" s="764">
        <v>2540</v>
      </c>
      <c r="B612" s="768" t="s">
        <v>708</v>
      </c>
      <c r="C612" s="720">
        <v>850000</v>
      </c>
      <c r="D612" s="698">
        <f t="shared" si="72"/>
        <v>811839</v>
      </c>
      <c r="E612" s="698">
        <f>SUM(H612+K612+N612+Q612)</f>
        <v>811839</v>
      </c>
      <c r="F612" s="699">
        <f t="shared" si="74"/>
        <v>100</v>
      </c>
      <c r="G612" s="720">
        <f>850000-42200+4039</f>
        <v>811839</v>
      </c>
      <c r="H612" s="698">
        <v>811839</v>
      </c>
      <c r="I612" s="744">
        <f t="shared" si="65"/>
        <v>100</v>
      </c>
      <c r="J612" s="703"/>
      <c r="K612" s="698"/>
      <c r="L612" s="704"/>
      <c r="M612" s="698"/>
      <c r="N612" s="698"/>
      <c r="O612" s="766"/>
      <c r="P612" s="720"/>
      <c r="Q612" s="698"/>
      <c r="R612" s="770"/>
    </row>
    <row r="613" spans="1:18" ht="36">
      <c r="A613" s="764">
        <v>3020</v>
      </c>
      <c r="B613" s="768" t="s">
        <v>709</v>
      </c>
      <c r="C613" s="720">
        <v>102400</v>
      </c>
      <c r="D613" s="698">
        <f t="shared" si="72"/>
        <v>99474</v>
      </c>
      <c r="E613" s="698">
        <f aca="true" t="shared" si="75" ref="E613:E626">SUM(H613+K613+N613+Q613)</f>
        <v>97555</v>
      </c>
      <c r="F613" s="699">
        <f t="shared" si="74"/>
        <v>98.07085268512375</v>
      </c>
      <c r="G613" s="720">
        <f>102400+21252-15155-9023</f>
        <v>99474</v>
      </c>
      <c r="H613" s="698">
        <v>97555</v>
      </c>
      <c r="I613" s="744">
        <f t="shared" si="65"/>
        <v>98.07085268512375</v>
      </c>
      <c r="J613" s="703"/>
      <c r="K613" s="698"/>
      <c r="L613" s="704"/>
      <c r="M613" s="698"/>
      <c r="N613" s="698"/>
      <c r="O613" s="766"/>
      <c r="P613" s="720"/>
      <c r="Q613" s="698"/>
      <c r="R613" s="770"/>
    </row>
    <row r="614" spans="1:18" ht="24.75" customHeight="1">
      <c r="A614" s="764">
        <v>4010</v>
      </c>
      <c r="B614" s="768" t="s">
        <v>201</v>
      </c>
      <c r="C614" s="720">
        <v>20334000</v>
      </c>
      <c r="D614" s="698">
        <f t="shared" si="72"/>
        <v>20965650</v>
      </c>
      <c r="E614" s="698">
        <f t="shared" si="75"/>
        <v>20949972</v>
      </c>
      <c r="F614" s="699">
        <f t="shared" si="74"/>
        <v>99.92522053931073</v>
      </c>
      <c r="G614" s="720">
        <f>20334000-52000+15700+512400+150550+5000</f>
        <v>20965650</v>
      </c>
      <c r="H614" s="698">
        <v>20949972</v>
      </c>
      <c r="I614" s="744">
        <f aca="true" t="shared" si="76" ref="I614:I640">H614/G614*100</f>
        <v>99.92522053931073</v>
      </c>
      <c r="J614" s="703"/>
      <c r="K614" s="698"/>
      <c r="L614" s="704"/>
      <c r="M614" s="698"/>
      <c r="N614" s="698"/>
      <c r="O614" s="766"/>
      <c r="P614" s="720"/>
      <c r="Q614" s="698"/>
      <c r="R614" s="770"/>
    </row>
    <row r="615" spans="1:18" ht="24.75" customHeight="1">
      <c r="A615" s="764">
        <v>4040</v>
      </c>
      <c r="B615" s="768" t="s">
        <v>280</v>
      </c>
      <c r="C615" s="720">
        <v>1590300</v>
      </c>
      <c r="D615" s="698">
        <f t="shared" si="72"/>
        <v>1510624</v>
      </c>
      <c r="E615" s="698">
        <f t="shared" si="75"/>
        <v>1510586</v>
      </c>
      <c r="F615" s="699">
        <f t="shared" si="74"/>
        <v>99.99748448323342</v>
      </c>
      <c r="G615" s="720">
        <f>1590300-70670-9006</f>
        <v>1510624</v>
      </c>
      <c r="H615" s="698">
        <f>1510585+1</f>
        <v>1510586</v>
      </c>
      <c r="I615" s="744">
        <f t="shared" si="76"/>
        <v>99.99748448323342</v>
      </c>
      <c r="J615" s="703"/>
      <c r="K615" s="698"/>
      <c r="L615" s="704"/>
      <c r="M615" s="698"/>
      <c r="N615" s="698"/>
      <c r="O615" s="766"/>
      <c r="P615" s="720"/>
      <c r="Q615" s="698"/>
      <c r="R615" s="770"/>
    </row>
    <row r="616" spans="1:18" ht="23.25" customHeight="1">
      <c r="A616" s="764">
        <v>4110</v>
      </c>
      <c r="B616" s="768" t="s">
        <v>207</v>
      </c>
      <c r="C616" s="720">
        <v>3501200</v>
      </c>
      <c r="D616" s="698">
        <f t="shared" si="72"/>
        <v>3327550</v>
      </c>
      <c r="E616" s="698">
        <f>SUM(H616+K616+N616+Q616)</f>
        <v>3324746</v>
      </c>
      <c r="F616" s="699">
        <f t="shared" si="74"/>
        <v>99.91573379813977</v>
      </c>
      <c r="G616" s="720">
        <f>3501200-7800+2400-165750-2500</f>
        <v>3327550</v>
      </c>
      <c r="H616" s="698">
        <v>3324746</v>
      </c>
      <c r="I616" s="744">
        <f t="shared" si="76"/>
        <v>99.91573379813977</v>
      </c>
      <c r="J616" s="703"/>
      <c r="K616" s="698"/>
      <c r="L616" s="704"/>
      <c r="M616" s="698"/>
      <c r="N616" s="698"/>
      <c r="O616" s="766"/>
      <c r="P616" s="720"/>
      <c r="Q616" s="698"/>
      <c r="R616" s="770"/>
    </row>
    <row r="617" spans="1:18" ht="15" customHeight="1">
      <c r="A617" s="764">
        <v>4120</v>
      </c>
      <c r="B617" s="768" t="s">
        <v>584</v>
      </c>
      <c r="C617" s="720">
        <v>543400</v>
      </c>
      <c r="D617" s="698">
        <f t="shared" si="72"/>
        <v>517420</v>
      </c>
      <c r="E617" s="698">
        <f>SUM(H617+K617+N617+Q617)</f>
        <v>513044</v>
      </c>
      <c r="F617" s="699">
        <f t="shared" si="74"/>
        <v>99.15426539368404</v>
      </c>
      <c r="G617" s="720">
        <f>543400-1300+400-25080</f>
        <v>517420</v>
      </c>
      <c r="H617" s="698">
        <v>513044</v>
      </c>
      <c r="I617" s="744">
        <f t="shared" si="76"/>
        <v>99.15426539368404</v>
      </c>
      <c r="J617" s="703"/>
      <c r="K617" s="698"/>
      <c r="L617" s="704"/>
      <c r="M617" s="698"/>
      <c r="N617" s="698"/>
      <c r="O617" s="766"/>
      <c r="P617" s="720"/>
      <c r="Q617" s="698"/>
      <c r="R617" s="770"/>
    </row>
    <row r="618" spans="1:18" ht="15" customHeight="1">
      <c r="A618" s="764">
        <v>4140</v>
      </c>
      <c r="B618" s="768" t="s">
        <v>283</v>
      </c>
      <c r="C618" s="720">
        <v>113300</v>
      </c>
      <c r="D618" s="698">
        <f t="shared" si="72"/>
        <v>88160</v>
      </c>
      <c r="E618" s="698">
        <f>SUM(H618+K618+N618+Q618)</f>
        <v>86590</v>
      </c>
      <c r="F618" s="699">
        <f t="shared" si="74"/>
        <v>98.21914700544465</v>
      </c>
      <c r="G618" s="720">
        <f>113300-10500-12100+2810-4400-950</f>
        <v>88160</v>
      </c>
      <c r="H618" s="698">
        <v>86590</v>
      </c>
      <c r="I618" s="744">
        <f t="shared" si="76"/>
        <v>98.21914700544465</v>
      </c>
      <c r="J618" s="703"/>
      <c r="K618" s="698"/>
      <c r="L618" s="704"/>
      <c r="M618" s="698"/>
      <c r="N618" s="698"/>
      <c r="O618" s="766"/>
      <c r="P618" s="720"/>
      <c r="Q618" s="698"/>
      <c r="R618" s="770"/>
    </row>
    <row r="619" spans="1:18" ht="24">
      <c r="A619" s="764">
        <v>4170</v>
      </c>
      <c r="B619" s="768" t="s">
        <v>242</v>
      </c>
      <c r="C619" s="720"/>
      <c r="D619" s="698">
        <f t="shared" si="72"/>
        <v>55440</v>
      </c>
      <c r="E619" s="698">
        <f>SUM(H619+K619+N619+Q619)</f>
        <v>54532</v>
      </c>
      <c r="F619" s="699">
        <f t="shared" si="74"/>
        <v>98.36219336219337</v>
      </c>
      <c r="G619" s="720">
        <f>125100-20300-48800-560</f>
        <v>55440</v>
      </c>
      <c r="H619" s="698">
        <v>54532</v>
      </c>
      <c r="I619" s="744">
        <f t="shared" si="76"/>
        <v>98.36219336219337</v>
      </c>
      <c r="J619" s="703"/>
      <c r="K619" s="698"/>
      <c r="L619" s="704"/>
      <c r="M619" s="698"/>
      <c r="N619" s="698"/>
      <c r="O619" s="766"/>
      <c r="P619" s="720"/>
      <c r="Q619" s="698"/>
      <c r="R619" s="770"/>
    </row>
    <row r="620" spans="1:18" ht="24" customHeight="1">
      <c r="A620" s="764">
        <v>4210</v>
      </c>
      <c r="B620" s="768" t="s">
        <v>211</v>
      </c>
      <c r="C620" s="720">
        <v>614600</v>
      </c>
      <c r="D620" s="698">
        <f t="shared" si="72"/>
        <v>718856</v>
      </c>
      <c r="E620" s="698">
        <f t="shared" si="75"/>
        <v>718810</v>
      </c>
      <c r="F620" s="699">
        <f t="shared" si="74"/>
        <v>99.99360094372169</v>
      </c>
      <c r="G620" s="720">
        <f>614600+13000+10000+8500+2400+10000-4248+27760+22714-8000+8000+14130</f>
        <v>718856</v>
      </c>
      <c r="H620" s="698">
        <v>718810</v>
      </c>
      <c r="I620" s="744">
        <f t="shared" si="76"/>
        <v>99.99360094372169</v>
      </c>
      <c r="J620" s="703"/>
      <c r="K620" s="698"/>
      <c r="L620" s="702"/>
      <c r="M620" s="698"/>
      <c r="N620" s="698"/>
      <c r="O620" s="766"/>
      <c r="P620" s="720"/>
      <c r="Q620" s="698"/>
      <c r="R620" s="770"/>
    </row>
    <row r="621" spans="1:18" ht="23.25" customHeight="1">
      <c r="A621" s="764">
        <v>4240</v>
      </c>
      <c r="B621" s="768" t="s">
        <v>710</v>
      </c>
      <c r="C621" s="720">
        <v>65600</v>
      </c>
      <c r="D621" s="698">
        <f t="shared" si="72"/>
        <v>81200</v>
      </c>
      <c r="E621" s="698">
        <f>SUM(H621+K621+N621+Q621)</f>
        <v>81018</v>
      </c>
      <c r="F621" s="699">
        <f t="shared" si="74"/>
        <v>99.77586206896551</v>
      </c>
      <c r="G621" s="720">
        <f>65600+5000+1800+2800+2500+3500</f>
        <v>81200</v>
      </c>
      <c r="H621" s="698">
        <v>81018</v>
      </c>
      <c r="I621" s="744">
        <f t="shared" si="76"/>
        <v>99.77586206896551</v>
      </c>
      <c r="J621" s="703"/>
      <c r="K621" s="698"/>
      <c r="L621" s="704"/>
      <c r="M621" s="698"/>
      <c r="N621" s="698"/>
      <c r="O621" s="766"/>
      <c r="P621" s="720"/>
      <c r="Q621" s="698"/>
      <c r="R621" s="770"/>
    </row>
    <row r="622" spans="1:18" ht="15" customHeight="1">
      <c r="A622" s="764">
        <v>4260</v>
      </c>
      <c r="B622" s="696" t="s">
        <v>215</v>
      </c>
      <c r="C622" s="720">
        <v>1783800</v>
      </c>
      <c r="D622" s="698">
        <f t="shared" si="72"/>
        <v>1948024</v>
      </c>
      <c r="E622" s="698">
        <f t="shared" si="75"/>
        <v>1947009</v>
      </c>
      <c r="F622" s="699">
        <f t="shared" si="74"/>
        <v>99.94789591914679</v>
      </c>
      <c r="G622" s="720">
        <f>1783800+8460+30800+20924+1360+36124-1360+91216-23300</f>
        <v>1948024</v>
      </c>
      <c r="H622" s="698">
        <v>1947009</v>
      </c>
      <c r="I622" s="744">
        <f t="shared" si="76"/>
        <v>99.94789591914679</v>
      </c>
      <c r="J622" s="703"/>
      <c r="K622" s="698"/>
      <c r="L622" s="704"/>
      <c r="M622" s="698"/>
      <c r="N622" s="698"/>
      <c r="O622" s="766"/>
      <c r="P622" s="720"/>
      <c r="Q622" s="698"/>
      <c r="R622" s="770"/>
    </row>
    <row r="623" spans="1:18" ht="15" customHeight="1">
      <c r="A623" s="764">
        <v>4270</v>
      </c>
      <c r="B623" s="768" t="s">
        <v>217</v>
      </c>
      <c r="C623" s="720">
        <v>76600</v>
      </c>
      <c r="D623" s="698">
        <f t="shared" si="72"/>
        <v>150140</v>
      </c>
      <c r="E623" s="698">
        <f t="shared" si="75"/>
        <v>149999</v>
      </c>
      <c r="F623" s="699">
        <f t="shared" si="74"/>
        <v>99.90608765152524</v>
      </c>
      <c r="G623" s="720">
        <f>76600+16800+38540+3300+600+8900-600+600+5400</f>
        <v>150140</v>
      </c>
      <c r="H623" s="698">
        <v>149999</v>
      </c>
      <c r="I623" s="744">
        <f t="shared" si="76"/>
        <v>99.90608765152524</v>
      </c>
      <c r="J623" s="703"/>
      <c r="K623" s="698"/>
      <c r="L623" s="704"/>
      <c r="M623" s="698"/>
      <c r="N623" s="698"/>
      <c r="O623" s="766"/>
      <c r="P623" s="720"/>
      <c r="Q623" s="698"/>
      <c r="R623" s="770"/>
    </row>
    <row r="624" spans="1:18" ht="15" customHeight="1">
      <c r="A624" s="764">
        <v>4280</v>
      </c>
      <c r="B624" s="768" t="s">
        <v>542</v>
      </c>
      <c r="C624" s="720">
        <v>26700</v>
      </c>
      <c r="D624" s="698">
        <f t="shared" si="72"/>
        <v>26907</v>
      </c>
      <c r="E624" s="698">
        <f t="shared" si="75"/>
        <v>25619</v>
      </c>
      <c r="F624" s="699">
        <f t="shared" si="74"/>
        <v>95.2131415616754</v>
      </c>
      <c r="G624" s="720">
        <f>26700+1677-540-930</f>
        <v>26907</v>
      </c>
      <c r="H624" s="698">
        <v>25619</v>
      </c>
      <c r="I624" s="744">
        <f t="shared" si="76"/>
        <v>95.2131415616754</v>
      </c>
      <c r="J624" s="703"/>
      <c r="K624" s="698"/>
      <c r="L624" s="704"/>
      <c r="M624" s="698"/>
      <c r="N624" s="698"/>
      <c r="O624" s="766"/>
      <c r="P624" s="720"/>
      <c r="Q624" s="698"/>
      <c r="R624" s="770"/>
    </row>
    <row r="625" spans="1:18" ht="14.25" customHeight="1">
      <c r="A625" s="764">
        <v>4300</v>
      </c>
      <c r="B625" s="768" t="s">
        <v>219</v>
      </c>
      <c r="C625" s="720">
        <v>402000</v>
      </c>
      <c r="D625" s="698">
        <f t="shared" si="72"/>
        <v>511660</v>
      </c>
      <c r="E625" s="698">
        <f t="shared" si="75"/>
        <v>509516</v>
      </c>
      <c r="F625" s="699">
        <f t="shared" si="74"/>
        <v>99.58097173904547</v>
      </c>
      <c r="G625" s="720">
        <f>402000+1100+2500+32400+4000+3080+13097+7928+31300+8000+6255</f>
        <v>511660</v>
      </c>
      <c r="H625" s="698">
        <v>509516</v>
      </c>
      <c r="I625" s="744">
        <f t="shared" si="76"/>
        <v>99.58097173904547</v>
      </c>
      <c r="J625" s="703"/>
      <c r="K625" s="698"/>
      <c r="L625" s="704"/>
      <c r="M625" s="698"/>
      <c r="N625" s="698"/>
      <c r="O625" s="766"/>
      <c r="P625" s="720"/>
      <c r="Q625" s="698"/>
      <c r="R625" s="770"/>
    </row>
    <row r="626" spans="1:18" ht="24">
      <c r="A626" s="764">
        <v>4350</v>
      </c>
      <c r="B626" s="768" t="s">
        <v>544</v>
      </c>
      <c r="C626" s="720">
        <v>30300</v>
      </c>
      <c r="D626" s="698">
        <f t="shared" si="72"/>
        <v>25374</v>
      </c>
      <c r="E626" s="698">
        <f t="shared" si="75"/>
        <v>24775</v>
      </c>
      <c r="F626" s="699">
        <f t="shared" si="74"/>
        <v>97.6393158351068</v>
      </c>
      <c r="G626" s="720">
        <f>30300+305-1129-3500-602</f>
        <v>25374</v>
      </c>
      <c r="H626" s="698">
        <v>24775</v>
      </c>
      <c r="I626" s="744">
        <f t="shared" si="76"/>
        <v>97.6393158351068</v>
      </c>
      <c r="J626" s="703"/>
      <c r="K626" s="698"/>
      <c r="L626" s="704"/>
      <c r="M626" s="698"/>
      <c r="N626" s="698"/>
      <c r="O626" s="766"/>
      <c r="P626" s="720"/>
      <c r="Q626" s="698"/>
      <c r="R626" s="770"/>
    </row>
    <row r="627" spans="1:18" ht="37.5" customHeight="1">
      <c r="A627" s="764">
        <v>4360</v>
      </c>
      <c r="B627" s="828" t="s">
        <v>682</v>
      </c>
      <c r="C627" s="720">
        <v>1900</v>
      </c>
      <c r="D627" s="698">
        <f t="shared" si="72"/>
        <v>1569</v>
      </c>
      <c r="E627" s="698">
        <f>SUM(H627+K627+N627+Q627)</f>
        <v>1507</v>
      </c>
      <c r="F627" s="699">
        <f t="shared" si="74"/>
        <v>96.04843849585724</v>
      </c>
      <c r="G627" s="720">
        <f>1900-331</f>
        <v>1569</v>
      </c>
      <c r="H627" s="698">
        <v>1507</v>
      </c>
      <c r="I627" s="744">
        <f t="shared" si="76"/>
        <v>96.04843849585724</v>
      </c>
      <c r="J627" s="703"/>
      <c r="K627" s="698"/>
      <c r="L627" s="704"/>
      <c r="M627" s="698"/>
      <c r="N627" s="698"/>
      <c r="O627" s="766"/>
      <c r="P627" s="720"/>
      <c r="Q627" s="698"/>
      <c r="R627" s="770"/>
    </row>
    <row r="628" spans="1:18" ht="36.75" customHeight="1">
      <c r="A628" s="764">
        <v>4370</v>
      </c>
      <c r="B628" s="828" t="s">
        <v>635</v>
      </c>
      <c r="C628" s="720">
        <v>68900</v>
      </c>
      <c r="D628" s="698">
        <f t="shared" si="72"/>
        <v>59498</v>
      </c>
      <c r="E628" s="698">
        <f>SUM(H628+K628+N628+Q628)</f>
        <v>56892</v>
      </c>
      <c r="F628" s="699">
        <f t="shared" si="74"/>
        <v>95.62002084103666</v>
      </c>
      <c r="G628" s="720">
        <f>68900-1200-4100-2100-2002</f>
        <v>59498</v>
      </c>
      <c r="H628" s="698">
        <v>56892</v>
      </c>
      <c r="I628" s="744">
        <f t="shared" si="76"/>
        <v>95.62002084103666</v>
      </c>
      <c r="J628" s="703"/>
      <c r="K628" s="698"/>
      <c r="L628" s="704"/>
      <c r="M628" s="698"/>
      <c r="N628" s="698"/>
      <c r="O628" s="766"/>
      <c r="P628" s="720"/>
      <c r="Q628" s="698"/>
      <c r="R628" s="770"/>
    </row>
    <row r="629" spans="1:18" ht="36" hidden="1">
      <c r="A629" s="764">
        <v>4380</v>
      </c>
      <c r="B629" s="768" t="s">
        <v>711</v>
      </c>
      <c r="C629" s="720"/>
      <c r="D629" s="698">
        <f t="shared" si="72"/>
        <v>0</v>
      </c>
      <c r="E629" s="698">
        <f>SUM(H629+K629+N629+Q629)</f>
        <v>0</v>
      </c>
      <c r="F629" s="699" t="e">
        <f t="shared" si="74"/>
        <v>#DIV/0!</v>
      </c>
      <c r="G629" s="720"/>
      <c r="H629" s="698"/>
      <c r="I629" s="744"/>
      <c r="J629" s="703"/>
      <c r="K629" s="698"/>
      <c r="L629" s="704"/>
      <c r="M629" s="698"/>
      <c r="N629" s="698"/>
      <c r="O629" s="766"/>
      <c r="P629" s="720"/>
      <c r="Q629" s="698"/>
      <c r="R629" s="770"/>
    </row>
    <row r="630" spans="1:18" ht="38.25" customHeight="1">
      <c r="A630" s="764">
        <v>4390</v>
      </c>
      <c r="B630" s="768" t="s">
        <v>243</v>
      </c>
      <c r="C630" s="720">
        <v>66800</v>
      </c>
      <c r="D630" s="698">
        <f t="shared" si="72"/>
        <v>51720</v>
      </c>
      <c r="E630" s="698">
        <f>SUM(H630+K630+N630+Q630)</f>
        <v>51294</v>
      </c>
      <c r="F630" s="699">
        <f t="shared" si="74"/>
        <v>99.17633410672853</v>
      </c>
      <c r="G630" s="720">
        <f>66800-3080-3400-2800-5800</f>
        <v>51720</v>
      </c>
      <c r="H630" s="698">
        <v>51294</v>
      </c>
      <c r="I630" s="744">
        <f t="shared" si="76"/>
        <v>99.17633410672853</v>
      </c>
      <c r="J630" s="703"/>
      <c r="K630" s="698"/>
      <c r="L630" s="704"/>
      <c r="M630" s="698"/>
      <c r="N630" s="698"/>
      <c r="O630" s="766"/>
      <c r="P630" s="720"/>
      <c r="Q630" s="698"/>
      <c r="R630" s="770"/>
    </row>
    <row r="631" spans="1:18" ht="13.5" customHeight="1">
      <c r="A631" s="764">
        <v>4410</v>
      </c>
      <c r="B631" s="768" t="s">
        <v>193</v>
      </c>
      <c r="C631" s="720">
        <v>28400</v>
      </c>
      <c r="D631" s="698">
        <f t="shared" si="72"/>
        <v>28424</v>
      </c>
      <c r="E631" s="698">
        <f>SUM(H631+K631+N631+Q631)</f>
        <v>25983</v>
      </c>
      <c r="F631" s="699">
        <f t="shared" si="74"/>
        <v>91.4121868843231</v>
      </c>
      <c r="G631" s="720">
        <f>28400+3700-450-1700-1526</f>
        <v>28424</v>
      </c>
      <c r="H631" s="698">
        <v>25983</v>
      </c>
      <c r="I631" s="744">
        <f t="shared" si="76"/>
        <v>91.4121868843231</v>
      </c>
      <c r="J631" s="703"/>
      <c r="K631" s="698"/>
      <c r="L631" s="704"/>
      <c r="M631" s="698"/>
      <c r="N631" s="698"/>
      <c r="O631" s="766"/>
      <c r="P631" s="720"/>
      <c r="Q631" s="698"/>
      <c r="R631" s="770"/>
    </row>
    <row r="632" spans="1:18" ht="23.25" customHeight="1">
      <c r="A632" s="764">
        <v>4420</v>
      </c>
      <c r="B632" s="768" t="s">
        <v>560</v>
      </c>
      <c r="C632" s="720">
        <v>1500</v>
      </c>
      <c r="D632" s="698">
        <f t="shared" si="72"/>
        <v>0</v>
      </c>
      <c r="E632" s="698">
        <f>H632+K632+Q632+N632</f>
        <v>0</v>
      </c>
      <c r="F632" s="699"/>
      <c r="G632" s="720">
        <f>1500-1500</f>
        <v>0</v>
      </c>
      <c r="H632" s="698"/>
      <c r="I632" s="744"/>
      <c r="J632" s="703"/>
      <c r="K632" s="698"/>
      <c r="L632" s="704"/>
      <c r="M632" s="698"/>
      <c r="N632" s="698"/>
      <c r="O632" s="766"/>
      <c r="P632" s="720"/>
      <c r="Q632" s="698"/>
      <c r="R632" s="770"/>
    </row>
    <row r="633" spans="1:18" ht="12.75">
      <c r="A633" s="764">
        <v>4430</v>
      </c>
      <c r="B633" s="768" t="s">
        <v>221</v>
      </c>
      <c r="C633" s="720">
        <v>600</v>
      </c>
      <c r="D633" s="698">
        <f t="shared" si="72"/>
        <v>459</v>
      </c>
      <c r="E633" s="698">
        <f>H633+K633+Q633+N633</f>
        <v>427</v>
      </c>
      <c r="F633" s="699">
        <f t="shared" si="74"/>
        <v>93.02832244008714</v>
      </c>
      <c r="G633" s="720">
        <f>600-141</f>
        <v>459</v>
      </c>
      <c r="H633" s="698">
        <v>427</v>
      </c>
      <c r="I633" s="744">
        <f t="shared" si="76"/>
        <v>93.02832244008714</v>
      </c>
      <c r="J633" s="703"/>
      <c r="K633" s="698"/>
      <c r="L633" s="704"/>
      <c r="M633" s="698"/>
      <c r="N633" s="698"/>
      <c r="O633" s="766"/>
      <c r="P633" s="720"/>
      <c r="Q633" s="698"/>
      <c r="R633" s="770"/>
    </row>
    <row r="634" spans="1:18" ht="12.75" customHeight="1">
      <c r="A634" s="764">
        <v>4440</v>
      </c>
      <c r="B634" s="768" t="s">
        <v>223</v>
      </c>
      <c r="C634" s="720">
        <v>1159100</v>
      </c>
      <c r="D634" s="698">
        <f t="shared" si="72"/>
        <v>1203000</v>
      </c>
      <c r="E634" s="698">
        <f aca="true" t="shared" si="77" ref="E634:E640">SUM(H634+K634+N634+Q634)</f>
        <v>1203000</v>
      </c>
      <c r="F634" s="699">
        <f t="shared" si="74"/>
        <v>100</v>
      </c>
      <c r="G634" s="720">
        <f>1159100+74424-30524</f>
        <v>1203000</v>
      </c>
      <c r="H634" s="698">
        <v>1203000</v>
      </c>
      <c r="I634" s="744">
        <f t="shared" si="76"/>
        <v>100</v>
      </c>
      <c r="J634" s="703"/>
      <c r="K634" s="698"/>
      <c r="L634" s="704"/>
      <c r="M634" s="698"/>
      <c r="N634" s="698"/>
      <c r="O634" s="766"/>
      <c r="P634" s="720"/>
      <c r="Q634" s="698"/>
      <c r="R634" s="770"/>
    </row>
    <row r="635" spans="1:18" ht="48">
      <c r="A635" s="764">
        <v>4680</v>
      </c>
      <c r="B635" s="768" t="s">
        <v>580</v>
      </c>
      <c r="C635" s="720"/>
      <c r="D635" s="698">
        <f>G635+J635+P635+M635</f>
        <v>380</v>
      </c>
      <c r="E635" s="698">
        <f>SUM(H635+K635+N635+Q635)</f>
        <v>217</v>
      </c>
      <c r="F635" s="699">
        <f>E635/D635*100</f>
        <v>57.10526315789474</v>
      </c>
      <c r="G635" s="720">
        <v>380</v>
      </c>
      <c r="H635" s="698">
        <v>217</v>
      </c>
      <c r="I635" s="744">
        <f t="shared" si="76"/>
        <v>57.10526315789474</v>
      </c>
      <c r="J635" s="703"/>
      <c r="K635" s="698"/>
      <c r="L635" s="704"/>
      <c r="M635" s="698"/>
      <c r="N635" s="698"/>
      <c r="O635" s="766"/>
      <c r="P635" s="720"/>
      <c r="Q635" s="698"/>
      <c r="R635" s="770"/>
    </row>
    <row r="636" spans="1:18" ht="40.5" customHeight="1">
      <c r="A636" s="764">
        <v>4700</v>
      </c>
      <c r="B636" s="828" t="s">
        <v>550</v>
      </c>
      <c r="C636" s="720">
        <v>30400</v>
      </c>
      <c r="D636" s="698">
        <f t="shared" si="72"/>
        <v>30550</v>
      </c>
      <c r="E636" s="698">
        <f t="shared" si="77"/>
        <v>29661</v>
      </c>
      <c r="F636" s="699">
        <f t="shared" si="74"/>
        <v>97.0900163666121</v>
      </c>
      <c r="G636" s="720">
        <f>30400+1660-280-1230</f>
        <v>30550</v>
      </c>
      <c r="H636" s="698">
        <v>29661</v>
      </c>
      <c r="I636" s="744">
        <f t="shared" si="76"/>
        <v>97.0900163666121</v>
      </c>
      <c r="J636" s="703"/>
      <c r="K636" s="698"/>
      <c r="L636" s="704"/>
      <c r="M636" s="698"/>
      <c r="N636" s="698"/>
      <c r="O636" s="766"/>
      <c r="P636" s="720"/>
      <c r="Q636" s="698"/>
      <c r="R636" s="770"/>
    </row>
    <row r="637" spans="1:18" ht="50.25" customHeight="1">
      <c r="A637" s="764">
        <v>4740</v>
      </c>
      <c r="B637" s="828" t="s">
        <v>235</v>
      </c>
      <c r="C637" s="720">
        <v>26500</v>
      </c>
      <c r="D637" s="698">
        <f t="shared" si="72"/>
        <v>24096</v>
      </c>
      <c r="E637" s="698">
        <f t="shared" si="77"/>
        <v>23470</v>
      </c>
      <c r="F637" s="699">
        <f t="shared" si="74"/>
        <v>97.40205843293492</v>
      </c>
      <c r="G637" s="720">
        <f>26500+566-2970</f>
        <v>24096</v>
      </c>
      <c r="H637" s="698">
        <v>23470</v>
      </c>
      <c r="I637" s="744">
        <f t="shared" si="76"/>
        <v>97.40205843293492</v>
      </c>
      <c r="J637" s="703"/>
      <c r="K637" s="698"/>
      <c r="L637" s="704"/>
      <c r="M637" s="698"/>
      <c r="N637" s="698"/>
      <c r="O637" s="766"/>
      <c r="P637" s="720"/>
      <c r="Q637" s="698"/>
      <c r="R637" s="770"/>
    </row>
    <row r="638" spans="1:18" ht="36">
      <c r="A638" s="764">
        <v>4750</v>
      </c>
      <c r="B638" s="828" t="s">
        <v>551</v>
      </c>
      <c r="C638" s="720">
        <v>47700</v>
      </c>
      <c r="D638" s="698">
        <f t="shared" si="72"/>
        <v>58028</v>
      </c>
      <c r="E638" s="698">
        <f t="shared" si="77"/>
        <v>56934</v>
      </c>
      <c r="F638" s="699">
        <f t="shared" si="74"/>
        <v>98.11470324670849</v>
      </c>
      <c r="G638" s="720">
        <f>47700+895+7900-1387+2920</f>
        <v>58028</v>
      </c>
      <c r="H638" s="698">
        <v>56934</v>
      </c>
      <c r="I638" s="744">
        <f t="shared" si="76"/>
        <v>98.11470324670849</v>
      </c>
      <c r="J638" s="703"/>
      <c r="K638" s="698"/>
      <c r="L638" s="704"/>
      <c r="M638" s="698"/>
      <c r="N638" s="698"/>
      <c r="O638" s="766"/>
      <c r="P638" s="720"/>
      <c r="Q638" s="698"/>
      <c r="R638" s="770"/>
    </row>
    <row r="639" spans="1:18" ht="61.5" customHeight="1">
      <c r="A639" s="764">
        <v>6050</v>
      </c>
      <c r="B639" s="768" t="s">
        <v>442</v>
      </c>
      <c r="C639" s="720">
        <v>3718600</v>
      </c>
      <c r="D639" s="698">
        <f t="shared" si="72"/>
        <v>4271180</v>
      </c>
      <c r="E639" s="698">
        <f t="shared" si="77"/>
        <v>3408679</v>
      </c>
      <c r="F639" s="699">
        <f t="shared" si="74"/>
        <v>79.80649375582391</v>
      </c>
      <c r="G639" s="720">
        <f>3718600+320000+180000+110000+6000+10000+3262+30000+298-16880+16500+24600-130000-1200</f>
        <v>4271180</v>
      </c>
      <c r="H639" s="698">
        <v>3408679</v>
      </c>
      <c r="I639" s="744">
        <f t="shared" si="76"/>
        <v>79.80649375582391</v>
      </c>
      <c r="J639" s="703"/>
      <c r="K639" s="698"/>
      <c r="L639" s="704"/>
      <c r="M639" s="698"/>
      <c r="N639" s="698"/>
      <c r="O639" s="766"/>
      <c r="P639" s="720"/>
      <c r="Q639" s="698"/>
      <c r="R639" s="770"/>
    </row>
    <row r="640" spans="1:18" ht="38.25" customHeight="1">
      <c r="A640" s="764">
        <v>6060</v>
      </c>
      <c r="B640" s="768" t="s">
        <v>593</v>
      </c>
      <c r="C640" s="720">
        <v>24000</v>
      </c>
      <c r="D640" s="698">
        <f t="shared" si="72"/>
        <v>16738</v>
      </c>
      <c r="E640" s="698">
        <f t="shared" si="77"/>
        <v>16737</v>
      </c>
      <c r="F640" s="699">
        <f t="shared" si="74"/>
        <v>99.99402557055801</v>
      </c>
      <c r="G640" s="720">
        <f>24000-3262-4000</f>
        <v>16738</v>
      </c>
      <c r="H640" s="698">
        <v>16737</v>
      </c>
      <c r="I640" s="744">
        <f t="shared" si="76"/>
        <v>99.99402557055801</v>
      </c>
      <c r="J640" s="703"/>
      <c r="K640" s="698"/>
      <c r="L640" s="704"/>
      <c r="M640" s="698"/>
      <c r="N640" s="698"/>
      <c r="O640" s="766"/>
      <c r="P640" s="720"/>
      <c r="Q640" s="698"/>
      <c r="R640" s="770"/>
    </row>
    <row r="641" spans="1:20" s="756" customFormat="1" ht="24">
      <c r="A641" s="757">
        <v>80102</v>
      </c>
      <c r="B641" s="852" t="s">
        <v>712</v>
      </c>
      <c r="C641" s="725">
        <f>SUM(C642:C664)</f>
        <v>2487100</v>
      </c>
      <c r="D641" s="712">
        <f t="shared" si="72"/>
        <v>2683688</v>
      </c>
      <c r="E641" s="712">
        <f>H641+K641+Q641+N641</f>
        <v>2679457</v>
      </c>
      <c r="F641" s="713">
        <f t="shared" si="74"/>
        <v>99.84234381940077</v>
      </c>
      <c r="G641" s="873"/>
      <c r="H641" s="874"/>
      <c r="I641" s="955"/>
      <c r="J641" s="875"/>
      <c r="K641" s="874"/>
      <c r="L641" s="876"/>
      <c r="M641" s="712">
        <f>SUM(M642:M665)</f>
        <v>2683688</v>
      </c>
      <c r="N641" s="712">
        <f>SUM(N642:N665)</f>
        <v>2679457</v>
      </c>
      <c r="O641" s="719">
        <f aca="true" t="shared" si="78" ref="O641:O664">N641/M641*100</f>
        <v>99.84234381940077</v>
      </c>
      <c r="P641" s="725"/>
      <c r="Q641" s="712"/>
      <c r="R641" s="846"/>
      <c r="S641" s="682"/>
      <c r="T641" s="682"/>
    </row>
    <row r="642" spans="1:20" s="756" customFormat="1" ht="36">
      <c r="A642" s="764">
        <v>3020</v>
      </c>
      <c r="B642" s="768" t="s">
        <v>709</v>
      </c>
      <c r="C642" s="720">
        <v>6000</v>
      </c>
      <c r="D642" s="698">
        <f t="shared" si="72"/>
        <v>7300</v>
      </c>
      <c r="E642" s="698">
        <f aca="true" t="shared" si="79" ref="E642:E665">SUM(H642+K642+N642+Q642)</f>
        <v>4988</v>
      </c>
      <c r="F642" s="699">
        <f t="shared" si="74"/>
        <v>68.32876712328768</v>
      </c>
      <c r="G642" s="720"/>
      <c r="H642" s="698"/>
      <c r="I642" s="948"/>
      <c r="J642" s="703"/>
      <c r="K642" s="698"/>
      <c r="L642" s="704"/>
      <c r="M642" s="720">
        <f>6000-1300+2600</f>
        <v>7300</v>
      </c>
      <c r="N642" s="732">
        <v>4988</v>
      </c>
      <c r="O642" s="744">
        <f t="shared" si="78"/>
        <v>68.32876712328768</v>
      </c>
      <c r="P642" s="720"/>
      <c r="Q642" s="698"/>
      <c r="R642" s="770"/>
      <c r="S642" s="682"/>
      <c r="T642" s="682"/>
    </row>
    <row r="643" spans="1:20" s="756" customFormat="1" ht="15" customHeight="1">
      <c r="A643" s="764">
        <v>3110</v>
      </c>
      <c r="B643" s="768" t="s">
        <v>713</v>
      </c>
      <c r="C643" s="720">
        <v>2700</v>
      </c>
      <c r="D643" s="698">
        <f>G643+J643+P643+M643</f>
        <v>2700</v>
      </c>
      <c r="E643" s="698">
        <f>SUM(H643+K643+N643+Q643)</f>
        <v>1714</v>
      </c>
      <c r="F643" s="699">
        <f>E643/D643*100</f>
        <v>63.48148148148148</v>
      </c>
      <c r="G643" s="720"/>
      <c r="H643" s="698"/>
      <c r="I643" s="948"/>
      <c r="J643" s="703"/>
      <c r="K643" s="698"/>
      <c r="L643" s="704"/>
      <c r="M643" s="720">
        <v>2700</v>
      </c>
      <c r="N643" s="698">
        <v>1714</v>
      </c>
      <c r="O643" s="744">
        <f t="shared" si="78"/>
        <v>63.48148148148148</v>
      </c>
      <c r="P643" s="720"/>
      <c r="Q643" s="698"/>
      <c r="R643" s="770"/>
      <c r="S643" s="682"/>
      <c r="T643" s="682"/>
    </row>
    <row r="644" spans="1:20" s="756" customFormat="1" ht="28.5" customHeight="1">
      <c r="A644" s="764">
        <v>4010</v>
      </c>
      <c r="B644" s="768" t="s">
        <v>201</v>
      </c>
      <c r="C644" s="720">
        <v>1714600</v>
      </c>
      <c r="D644" s="698">
        <f t="shared" si="72"/>
        <v>1843200</v>
      </c>
      <c r="E644" s="698">
        <f t="shared" si="79"/>
        <v>1843200</v>
      </c>
      <c r="F644" s="699">
        <f t="shared" si="74"/>
        <v>100</v>
      </c>
      <c r="G644" s="720"/>
      <c r="H644" s="698"/>
      <c r="I644" s="948"/>
      <c r="J644" s="703"/>
      <c r="K644" s="698"/>
      <c r="L644" s="704"/>
      <c r="M644" s="720">
        <f>1714600+128600</f>
        <v>1843200</v>
      </c>
      <c r="N644" s="698">
        <v>1843200</v>
      </c>
      <c r="O644" s="744">
        <f t="shared" si="78"/>
        <v>100</v>
      </c>
      <c r="P644" s="720"/>
      <c r="Q644" s="698"/>
      <c r="R644" s="770"/>
      <c r="S644" s="682"/>
      <c r="T644" s="682"/>
    </row>
    <row r="645" spans="1:20" s="756" customFormat="1" ht="24">
      <c r="A645" s="764">
        <v>4040</v>
      </c>
      <c r="B645" s="768" t="s">
        <v>205</v>
      </c>
      <c r="C645" s="720">
        <v>124600</v>
      </c>
      <c r="D645" s="698">
        <f t="shared" si="72"/>
        <v>139020</v>
      </c>
      <c r="E645" s="698">
        <f t="shared" si="79"/>
        <v>139019</v>
      </c>
      <c r="F645" s="699">
        <f t="shared" si="74"/>
        <v>99.99928067903897</v>
      </c>
      <c r="G645" s="720"/>
      <c r="H645" s="698"/>
      <c r="I645" s="948"/>
      <c r="J645" s="703"/>
      <c r="K645" s="698"/>
      <c r="L645" s="704"/>
      <c r="M645" s="720">
        <f>124600+14420</f>
        <v>139020</v>
      </c>
      <c r="N645" s="698">
        <v>139019</v>
      </c>
      <c r="O645" s="744">
        <f t="shared" si="78"/>
        <v>99.99928067903897</v>
      </c>
      <c r="P645" s="720"/>
      <c r="Q645" s="698"/>
      <c r="R645" s="770"/>
      <c r="S645" s="682"/>
      <c r="T645" s="682"/>
    </row>
    <row r="646" spans="1:20" s="756" customFormat="1" ht="24" customHeight="1">
      <c r="A646" s="764">
        <v>4110</v>
      </c>
      <c r="B646" s="768" t="s">
        <v>207</v>
      </c>
      <c r="C646" s="720">
        <v>281800</v>
      </c>
      <c r="D646" s="698">
        <f t="shared" si="72"/>
        <v>294300</v>
      </c>
      <c r="E646" s="698">
        <f t="shared" si="79"/>
        <v>294300</v>
      </c>
      <c r="F646" s="699">
        <f t="shared" si="74"/>
        <v>100</v>
      </c>
      <c r="G646" s="720"/>
      <c r="H646" s="698"/>
      <c r="I646" s="948"/>
      <c r="J646" s="703"/>
      <c r="K646" s="698"/>
      <c r="L646" s="704"/>
      <c r="M646" s="720">
        <f>281800+12500</f>
        <v>294300</v>
      </c>
      <c r="N646" s="698">
        <v>294300</v>
      </c>
      <c r="O646" s="744">
        <f t="shared" si="78"/>
        <v>100</v>
      </c>
      <c r="P646" s="720"/>
      <c r="Q646" s="698"/>
      <c r="R646" s="770"/>
      <c r="S646" s="682"/>
      <c r="T646" s="682"/>
    </row>
    <row r="647" spans="1:20" s="756" customFormat="1" ht="15" customHeight="1">
      <c r="A647" s="764">
        <v>4120</v>
      </c>
      <c r="B647" s="768" t="s">
        <v>584</v>
      </c>
      <c r="C647" s="720">
        <v>44900</v>
      </c>
      <c r="D647" s="698">
        <f t="shared" si="72"/>
        <v>46400</v>
      </c>
      <c r="E647" s="698">
        <f t="shared" si="79"/>
        <v>46400</v>
      </c>
      <c r="F647" s="699">
        <f t="shared" si="74"/>
        <v>100</v>
      </c>
      <c r="G647" s="720"/>
      <c r="H647" s="698"/>
      <c r="I647" s="948"/>
      <c r="J647" s="703"/>
      <c r="K647" s="698"/>
      <c r="L647" s="704"/>
      <c r="M647" s="720">
        <f>44900+1500</f>
        <v>46400</v>
      </c>
      <c r="N647" s="698">
        <v>46400</v>
      </c>
      <c r="O647" s="744">
        <f t="shared" si="78"/>
        <v>100</v>
      </c>
      <c r="P647" s="720"/>
      <c r="Q647" s="698"/>
      <c r="R647" s="770"/>
      <c r="S647" s="682"/>
      <c r="T647" s="682"/>
    </row>
    <row r="648" spans="1:20" s="756" customFormat="1" ht="36" hidden="1">
      <c r="A648" s="764">
        <v>4130</v>
      </c>
      <c r="B648" s="768" t="s">
        <v>714</v>
      </c>
      <c r="C648" s="720"/>
      <c r="D648" s="698">
        <f t="shared" si="72"/>
        <v>0</v>
      </c>
      <c r="E648" s="698">
        <f t="shared" si="79"/>
        <v>0</v>
      </c>
      <c r="F648" s="699" t="e">
        <f t="shared" si="74"/>
        <v>#DIV/0!</v>
      </c>
      <c r="G648" s="720"/>
      <c r="H648" s="698"/>
      <c r="I648" s="948"/>
      <c r="J648" s="703"/>
      <c r="K648" s="698"/>
      <c r="L648" s="704"/>
      <c r="M648" s="720"/>
      <c r="N648" s="698"/>
      <c r="O648" s="744" t="e">
        <f t="shared" si="78"/>
        <v>#DIV/0!</v>
      </c>
      <c r="P648" s="720"/>
      <c r="Q648" s="698"/>
      <c r="R648" s="770"/>
      <c r="S648" s="682"/>
      <c r="T648" s="682"/>
    </row>
    <row r="649" spans="1:20" s="756" customFormat="1" ht="24">
      <c r="A649" s="764">
        <v>4210</v>
      </c>
      <c r="B649" s="768" t="s">
        <v>211</v>
      </c>
      <c r="C649" s="720">
        <v>40000</v>
      </c>
      <c r="D649" s="698">
        <f t="shared" si="72"/>
        <v>37000</v>
      </c>
      <c r="E649" s="698">
        <f t="shared" si="79"/>
        <v>37000</v>
      </c>
      <c r="F649" s="699">
        <f t="shared" si="74"/>
        <v>100</v>
      </c>
      <c r="G649" s="720"/>
      <c r="H649" s="698"/>
      <c r="I649" s="948"/>
      <c r="J649" s="703"/>
      <c r="K649" s="698"/>
      <c r="L649" s="704"/>
      <c r="M649" s="720">
        <f>40000+1000-5000+1000</f>
        <v>37000</v>
      </c>
      <c r="N649" s="698">
        <v>37000</v>
      </c>
      <c r="O649" s="744">
        <f t="shared" si="78"/>
        <v>100</v>
      </c>
      <c r="P649" s="720"/>
      <c r="Q649" s="698"/>
      <c r="R649" s="770"/>
      <c r="S649" s="682"/>
      <c r="T649" s="682"/>
    </row>
    <row r="650" spans="1:20" s="756" customFormat="1" ht="28.5" customHeight="1">
      <c r="A650" s="764">
        <v>4240</v>
      </c>
      <c r="B650" s="768" t="s">
        <v>572</v>
      </c>
      <c r="C650" s="720">
        <v>6800</v>
      </c>
      <c r="D650" s="698">
        <f t="shared" si="72"/>
        <v>6800</v>
      </c>
      <c r="E650" s="698">
        <f t="shared" si="79"/>
        <v>6800</v>
      </c>
      <c r="F650" s="699">
        <f t="shared" si="74"/>
        <v>100</v>
      </c>
      <c r="G650" s="720"/>
      <c r="H650" s="698"/>
      <c r="I650" s="948"/>
      <c r="J650" s="703"/>
      <c r="K650" s="698"/>
      <c r="L650" s="704"/>
      <c r="M650" s="720">
        <v>6800</v>
      </c>
      <c r="N650" s="698">
        <v>6800</v>
      </c>
      <c r="O650" s="744">
        <f t="shared" si="78"/>
        <v>100</v>
      </c>
      <c r="P650" s="720"/>
      <c r="Q650" s="698"/>
      <c r="R650" s="770"/>
      <c r="S650" s="682"/>
      <c r="T650" s="682"/>
    </row>
    <row r="651" spans="1:20" s="756" customFormat="1" ht="13.5" customHeight="1">
      <c r="A651" s="764">
        <v>4260</v>
      </c>
      <c r="B651" s="768" t="s">
        <v>215</v>
      </c>
      <c r="C651" s="720">
        <v>96000</v>
      </c>
      <c r="D651" s="698">
        <f t="shared" si="72"/>
        <v>130780</v>
      </c>
      <c r="E651" s="698">
        <f t="shared" si="79"/>
        <v>130780</v>
      </c>
      <c r="F651" s="699">
        <f t="shared" si="74"/>
        <v>100</v>
      </c>
      <c r="G651" s="720"/>
      <c r="H651" s="698"/>
      <c r="I651" s="948"/>
      <c r="J651" s="703"/>
      <c r="K651" s="698"/>
      <c r="L651" s="704"/>
      <c r="M651" s="720">
        <f>96000+3980+30800</f>
        <v>130780</v>
      </c>
      <c r="N651" s="698">
        <v>130780</v>
      </c>
      <c r="O651" s="744">
        <f t="shared" si="78"/>
        <v>100</v>
      </c>
      <c r="P651" s="720"/>
      <c r="Q651" s="698"/>
      <c r="R651" s="770"/>
      <c r="S651" s="682"/>
      <c r="T651" s="682"/>
    </row>
    <row r="652" spans="1:20" s="756" customFormat="1" ht="13.5" customHeight="1">
      <c r="A652" s="764">
        <v>4270</v>
      </c>
      <c r="B652" s="768" t="s">
        <v>217</v>
      </c>
      <c r="C652" s="720">
        <v>3800</v>
      </c>
      <c r="D652" s="698">
        <f t="shared" si="72"/>
        <v>3800</v>
      </c>
      <c r="E652" s="698">
        <f t="shared" si="79"/>
        <v>3800</v>
      </c>
      <c r="F652" s="699">
        <f t="shared" si="74"/>
        <v>100</v>
      </c>
      <c r="G652" s="720"/>
      <c r="H652" s="698"/>
      <c r="I652" s="948"/>
      <c r="J652" s="703"/>
      <c r="K652" s="698"/>
      <c r="L652" s="704"/>
      <c r="M652" s="720">
        <v>3800</v>
      </c>
      <c r="N652" s="698">
        <v>3800</v>
      </c>
      <c r="O652" s="744">
        <f t="shared" si="78"/>
        <v>100</v>
      </c>
      <c r="P652" s="720"/>
      <c r="Q652" s="698"/>
      <c r="R652" s="770"/>
      <c r="S652" s="682"/>
      <c r="T652" s="682"/>
    </row>
    <row r="653" spans="1:20" s="756" customFormat="1" ht="13.5" customHeight="1">
      <c r="A653" s="764">
        <v>4280</v>
      </c>
      <c r="B653" s="768" t="s">
        <v>542</v>
      </c>
      <c r="C653" s="720">
        <v>1900</v>
      </c>
      <c r="D653" s="698">
        <f t="shared" si="72"/>
        <v>980</v>
      </c>
      <c r="E653" s="698">
        <f t="shared" si="79"/>
        <v>896</v>
      </c>
      <c r="F653" s="699">
        <f t="shared" si="74"/>
        <v>91.42857142857143</v>
      </c>
      <c r="G653" s="720"/>
      <c r="H653" s="698"/>
      <c r="I653" s="948"/>
      <c r="J653" s="703"/>
      <c r="K653" s="698"/>
      <c r="L653" s="704"/>
      <c r="M653" s="720">
        <f>1900-800-120</f>
        <v>980</v>
      </c>
      <c r="N653" s="698">
        <v>896</v>
      </c>
      <c r="O653" s="744">
        <f t="shared" si="78"/>
        <v>91.42857142857143</v>
      </c>
      <c r="P653" s="720"/>
      <c r="Q653" s="698"/>
      <c r="R653" s="770"/>
      <c r="S653" s="682"/>
      <c r="T653" s="682"/>
    </row>
    <row r="654" spans="1:20" s="756" customFormat="1" ht="16.5" customHeight="1">
      <c r="A654" s="764">
        <v>4300</v>
      </c>
      <c r="B654" s="768" t="s">
        <v>219</v>
      </c>
      <c r="C654" s="720">
        <v>60000</v>
      </c>
      <c r="D654" s="698">
        <f t="shared" si="72"/>
        <v>60000</v>
      </c>
      <c r="E654" s="698">
        <f t="shared" si="79"/>
        <v>60000</v>
      </c>
      <c r="F654" s="699">
        <f t="shared" si="74"/>
        <v>100</v>
      </c>
      <c r="G654" s="720"/>
      <c r="H654" s="698"/>
      <c r="I654" s="948"/>
      <c r="J654" s="703"/>
      <c r="K654" s="698"/>
      <c r="L654" s="704"/>
      <c r="M654" s="720">
        <v>60000</v>
      </c>
      <c r="N654" s="698">
        <v>60000</v>
      </c>
      <c r="O654" s="744">
        <f t="shared" si="78"/>
        <v>100</v>
      </c>
      <c r="P654" s="720"/>
      <c r="Q654" s="698"/>
      <c r="R654" s="770"/>
      <c r="S654" s="682"/>
      <c r="T654" s="682"/>
    </row>
    <row r="655" spans="1:20" s="756" customFormat="1" ht="24">
      <c r="A655" s="764">
        <v>4350</v>
      </c>
      <c r="B655" s="768" t="s">
        <v>544</v>
      </c>
      <c r="C655" s="720">
        <v>1200</v>
      </c>
      <c r="D655" s="698">
        <f t="shared" si="72"/>
        <v>1360</v>
      </c>
      <c r="E655" s="698">
        <f t="shared" si="79"/>
        <v>1360</v>
      </c>
      <c r="F655" s="699">
        <f t="shared" si="74"/>
        <v>100</v>
      </c>
      <c r="G655" s="720"/>
      <c r="H655" s="698"/>
      <c r="I655" s="948"/>
      <c r="J655" s="703"/>
      <c r="K655" s="698"/>
      <c r="L655" s="704"/>
      <c r="M655" s="720">
        <f>1200+160</f>
        <v>1360</v>
      </c>
      <c r="N655" s="698">
        <v>1360</v>
      </c>
      <c r="O655" s="744">
        <f t="shared" si="78"/>
        <v>100</v>
      </c>
      <c r="P655" s="720"/>
      <c r="Q655" s="698"/>
      <c r="R655" s="770"/>
      <c r="S655" s="682"/>
      <c r="T655" s="682"/>
    </row>
    <row r="656" spans="1:20" s="756" customFormat="1" ht="36" customHeight="1">
      <c r="A656" s="764">
        <v>4360</v>
      </c>
      <c r="B656" s="828" t="s">
        <v>682</v>
      </c>
      <c r="C656" s="720">
        <v>700</v>
      </c>
      <c r="D656" s="698">
        <f t="shared" si="72"/>
        <v>750</v>
      </c>
      <c r="E656" s="698">
        <f>SUM(H656+K656+N656+Q656)</f>
        <v>750</v>
      </c>
      <c r="F656" s="699">
        <f>E656/D656*100</f>
        <v>100</v>
      </c>
      <c r="G656" s="720"/>
      <c r="H656" s="698"/>
      <c r="I656" s="948"/>
      <c r="J656" s="703"/>
      <c r="K656" s="698"/>
      <c r="L656" s="704"/>
      <c r="M656" s="720">
        <f>700+50</f>
        <v>750</v>
      </c>
      <c r="N656" s="698">
        <v>750</v>
      </c>
      <c r="O656" s="744">
        <f t="shared" si="78"/>
        <v>100</v>
      </c>
      <c r="P656" s="720"/>
      <c r="Q656" s="698"/>
      <c r="R656" s="770"/>
      <c r="S656" s="682"/>
      <c r="T656" s="682"/>
    </row>
    <row r="657" spans="1:20" s="756" customFormat="1" ht="38.25" customHeight="1">
      <c r="A657" s="764">
        <v>4370</v>
      </c>
      <c r="B657" s="828" t="s">
        <v>635</v>
      </c>
      <c r="C657" s="720">
        <v>1900</v>
      </c>
      <c r="D657" s="698">
        <f t="shared" si="72"/>
        <v>1900</v>
      </c>
      <c r="E657" s="698">
        <f>SUM(H657+K657+N657+Q657)</f>
        <v>1900</v>
      </c>
      <c r="F657" s="699">
        <f>E657/D657*100</f>
        <v>100</v>
      </c>
      <c r="G657" s="720"/>
      <c r="H657" s="698"/>
      <c r="I657" s="948"/>
      <c r="J657" s="703"/>
      <c r="K657" s="698"/>
      <c r="L657" s="704"/>
      <c r="M657" s="720">
        <v>1900</v>
      </c>
      <c r="N657" s="698">
        <v>1900</v>
      </c>
      <c r="O657" s="744">
        <f t="shared" si="78"/>
        <v>100</v>
      </c>
      <c r="P657" s="720"/>
      <c r="Q657" s="698"/>
      <c r="R657" s="770"/>
      <c r="S657" s="682"/>
      <c r="T657" s="682"/>
    </row>
    <row r="658" spans="1:20" s="756" customFormat="1" ht="39" customHeight="1">
      <c r="A658" s="764">
        <v>4390</v>
      </c>
      <c r="B658" s="768" t="s">
        <v>243</v>
      </c>
      <c r="C658" s="720">
        <v>3300</v>
      </c>
      <c r="D658" s="698">
        <f t="shared" si="72"/>
        <v>3300</v>
      </c>
      <c r="E658" s="698">
        <f>SUM(H658+K658+N658+Q658)</f>
        <v>3133</v>
      </c>
      <c r="F658" s="699">
        <f>E658/D658*100</f>
        <v>94.93939393939394</v>
      </c>
      <c r="G658" s="720"/>
      <c r="H658" s="698"/>
      <c r="I658" s="948"/>
      <c r="J658" s="703"/>
      <c r="K658" s="698"/>
      <c r="L658" s="704"/>
      <c r="M658" s="720">
        <v>3300</v>
      </c>
      <c r="N658" s="698">
        <v>3133</v>
      </c>
      <c r="O658" s="744">
        <f t="shared" si="78"/>
        <v>94.93939393939394</v>
      </c>
      <c r="P658" s="720"/>
      <c r="Q658" s="698"/>
      <c r="R658" s="770"/>
      <c r="S658" s="682"/>
      <c r="T658" s="682"/>
    </row>
    <row r="659" spans="1:20" s="756" customFormat="1" ht="18" customHeight="1">
      <c r="A659" s="764">
        <v>4410</v>
      </c>
      <c r="B659" s="768" t="s">
        <v>193</v>
      </c>
      <c r="C659" s="720">
        <v>3900</v>
      </c>
      <c r="D659" s="698">
        <f t="shared" si="72"/>
        <v>3660</v>
      </c>
      <c r="E659" s="698">
        <f t="shared" si="79"/>
        <v>3309</v>
      </c>
      <c r="F659" s="699">
        <f t="shared" si="74"/>
        <v>90.40983606557377</v>
      </c>
      <c r="G659" s="720"/>
      <c r="H659" s="698"/>
      <c r="I659" s="948"/>
      <c r="J659" s="703"/>
      <c r="K659" s="698"/>
      <c r="L659" s="704"/>
      <c r="M659" s="720">
        <f>3900-1900+2040-380</f>
        <v>3660</v>
      </c>
      <c r="N659" s="698">
        <f>3310-1</f>
        <v>3309</v>
      </c>
      <c r="O659" s="744">
        <f t="shared" si="78"/>
        <v>90.40983606557377</v>
      </c>
      <c r="P659" s="720"/>
      <c r="Q659" s="698"/>
      <c r="R659" s="770"/>
      <c r="S659" s="682"/>
      <c r="T659" s="682"/>
    </row>
    <row r="660" spans="1:20" s="756" customFormat="1" ht="12.75">
      <c r="A660" s="764">
        <v>4440</v>
      </c>
      <c r="B660" s="768" t="s">
        <v>223</v>
      </c>
      <c r="C660" s="720">
        <v>86600</v>
      </c>
      <c r="D660" s="698">
        <f t="shared" si="72"/>
        <v>92038</v>
      </c>
      <c r="E660" s="698">
        <f t="shared" si="79"/>
        <v>92038</v>
      </c>
      <c r="F660" s="699">
        <f t="shared" si="74"/>
        <v>100</v>
      </c>
      <c r="G660" s="720"/>
      <c r="H660" s="698"/>
      <c r="I660" s="948"/>
      <c r="J660" s="703"/>
      <c r="K660" s="698"/>
      <c r="L660" s="704"/>
      <c r="M660" s="720">
        <f>86600+3921+1517</f>
        <v>92038</v>
      </c>
      <c r="N660" s="698">
        <v>92038</v>
      </c>
      <c r="O660" s="744">
        <f t="shared" si="78"/>
        <v>100</v>
      </c>
      <c r="P660" s="720"/>
      <c r="Q660" s="698"/>
      <c r="R660" s="770"/>
      <c r="S660" s="682"/>
      <c r="T660" s="682"/>
    </row>
    <row r="661" spans="1:20" s="756" customFormat="1" ht="40.5" customHeight="1">
      <c r="A661" s="764">
        <v>4700</v>
      </c>
      <c r="B661" s="828" t="s">
        <v>550</v>
      </c>
      <c r="C661" s="720">
        <v>1700</v>
      </c>
      <c r="D661" s="698">
        <f t="shared" si="72"/>
        <v>1700</v>
      </c>
      <c r="E661" s="698">
        <f>SUM(H661+K661+N661+Q661)</f>
        <v>1370</v>
      </c>
      <c r="F661" s="699">
        <f>E661/D661*100</f>
        <v>80.58823529411765</v>
      </c>
      <c r="G661" s="720"/>
      <c r="H661" s="698"/>
      <c r="I661" s="948"/>
      <c r="J661" s="703"/>
      <c r="K661" s="698"/>
      <c r="L661" s="704"/>
      <c r="M661" s="720">
        <v>1700</v>
      </c>
      <c r="N661" s="698">
        <v>1370</v>
      </c>
      <c r="O661" s="744">
        <f t="shared" si="78"/>
        <v>80.58823529411765</v>
      </c>
      <c r="P661" s="720"/>
      <c r="Q661" s="698"/>
      <c r="R661" s="770"/>
      <c r="S661" s="682"/>
      <c r="T661" s="682"/>
    </row>
    <row r="662" spans="1:20" s="756" customFormat="1" ht="49.5" customHeight="1">
      <c r="A662" s="764">
        <v>4740</v>
      </c>
      <c r="B662" s="828" t="s">
        <v>235</v>
      </c>
      <c r="C662" s="720">
        <v>1400</v>
      </c>
      <c r="D662" s="698">
        <f t="shared" si="72"/>
        <v>1400</v>
      </c>
      <c r="E662" s="698">
        <f>SUM(H662+K662+N662+Q662)</f>
        <v>1400</v>
      </c>
      <c r="F662" s="699">
        <f>E662/D662*100</f>
        <v>100</v>
      </c>
      <c r="G662" s="720"/>
      <c r="H662" s="698"/>
      <c r="I662" s="948"/>
      <c r="J662" s="703"/>
      <c r="K662" s="698"/>
      <c r="L662" s="704"/>
      <c r="M662" s="720">
        <v>1400</v>
      </c>
      <c r="N662" s="698">
        <v>1400</v>
      </c>
      <c r="O662" s="744">
        <f t="shared" si="78"/>
        <v>100</v>
      </c>
      <c r="P662" s="720"/>
      <c r="Q662" s="698"/>
      <c r="R662" s="770"/>
      <c r="S662" s="682"/>
      <c r="T662" s="682"/>
    </row>
    <row r="663" spans="1:20" s="756" customFormat="1" ht="36">
      <c r="A663" s="764">
        <v>4750</v>
      </c>
      <c r="B663" s="828" t="s">
        <v>551</v>
      </c>
      <c r="C663" s="720">
        <v>3300</v>
      </c>
      <c r="D663" s="698">
        <f t="shared" si="72"/>
        <v>5300</v>
      </c>
      <c r="E663" s="698">
        <f>SUM(H663+K663+N663+Q663)</f>
        <v>5300</v>
      </c>
      <c r="F663" s="761">
        <f>E663/D663*100</f>
        <v>100</v>
      </c>
      <c r="G663" s="720"/>
      <c r="H663" s="698"/>
      <c r="I663" s="948"/>
      <c r="J663" s="703"/>
      <c r="K663" s="698"/>
      <c r="L663" s="704"/>
      <c r="M663" s="720">
        <f>3300+2000</f>
        <v>5300</v>
      </c>
      <c r="N663" s="698">
        <v>5300</v>
      </c>
      <c r="O663" s="744">
        <f t="shared" si="78"/>
        <v>100</v>
      </c>
      <c r="P663" s="720"/>
      <c r="Q663" s="698"/>
      <c r="R663" s="770"/>
      <c r="S663" s="682"/>
      <c r="T663" s="682"/>
    </row>
    <row r="664" spans="1:20" s="756" customFormat="1" ht="36" hidden="1">
      <c r="A664" s="764">
        <v>6050</v>
      </c>
      <c r="B664" s="768" t="s">
        <v>246</v>
      </c>
      <c r="C664" s="720"/>
      <c r="D664" s="698">
        <f aca="true" t="shared" si="80" ref="D664:D727">G664+J664+P664+M664</f>
        <v>0</v>
      </c>
      <c r="E664" s="698">
        <f t="shared" si="79"/>
        <v>0</v>
      </c>
      <c r="F664" s="699" t="e">
        <f t="shared" si="74"/>
        <v>#DIV/0!</v>
      </c>
      <c r="G664" s="720"/>
      <c r="H664" s="698"/>
      <c r="I664" s="948"/>
      <c r="J664" s="703"/>
      <c r="K664" s="698"/>
      <c r="L664" s="704"/>
      <c r="M664" s="720"/>
      <c r="N664" s="698"/>
      <c r="O664" s="744" t="e">
        <f t="shared" si="78"/>
        <v>#DIV/0!</v>
      </c>
      <c r="P664" s="720"/>
      <c r="Q664" s="698"/>
      <c r="R664" s="770"/>
      <c r="S664" s="682"/>
      <c r="T664" s="682"/>
    </row>
    <row r="665" spans="1:20" s="756" customFormat="1" ht="48" hidden="1">
      <c r="A665" s="764">
        <v>6060</v>
      </c>
      <c r="B665" s="768" t="s">
        <v>593</v>
      </c>
      <c r="C665" s="720"/>
      <c r="D665" s="792">
        <f t="shared" si="80"/>
        <v>0</v>
      </c>
      <c r="E665" s="792">
        <f t="shared" si="79"/>
        <v>0</v>
      </c>
      <c r="F665" s="760" t="e">
        <f>E665/D665*100</f>
        <v>#DIV/0!</v>
      </c>
      <c r="G665" s="720"/>
      <c r="H665" s="698"/>
      <c r="I665" s="948"/>
      <c r="J665" s="703"/>
      <c r="K665" s="698"/>
      <c r="L665" s="704"/>
      <c r="M665" s="720"/>
      <c r="N665" s="698"/>
      <c r="O665" s="744" t="e">
        <f>N665/M665*100</f>
        <v>#DIV/0!</v>
      </c>
      <c r="P665" s="720"/>
      <c r="Q665" s="698"/>
      <c r="R665" s="770"/>
      <c r="S665" s="682"/>
      <c r="T665" s="682"/>
    </row>
    <row r="666" spans="1:20" s="756" customFormat="1" ht="24">
      <c r="A666" s="757">
        <v>80103</v>
      </c>
      <c r="B666" s="852" t="s">
        <v>715</v>
      </c>
      <c r="C666" s="725">
        <f>SUM(C667:C677)</f>
        <v>926600</v>
      </c>
      <c r="D666" s="712">
        <f t="shared" si="80"/>
        <v>984697</v>
      </c>
      <c r="E666" s="712">
        <f>SUM(H666+K666+N666+Q666)</f>
        <v>981693</v>
      </c>
      <c r="F666" s="760">
        <f>E666/D666*100</f>
        <v>99.69493153731554</v>
      </c>
      <c r="G666" s="725">
        <f>SUM(G667:G677)</f>
        <v>984697</v>
      </c>
      <c r="H666" s="712">
        <f>SUM(H667:H677)</f>
        <v>981693</v>
      </c>
      <c r="I666" s="955">
        <f>H666/G666*100</f>
        <v>99.69493153731554</v>
      </c>
      <c r="J666" s="717"/>
      <c r="K666" s="712"/>
      <c r="L666" s="718"/>
      <c r="M666" s="880"/>
      <c r="N666" s="712"/>
      <c r="O666" s="799"/>
      <c r="P666" s="725"/>
      <c r="Q666" s="712"/>
      <c r="R666" s="802"/>
      <c r="S666" s="682"/>
      <c r="T666" s="682"/>
    </row>
    <row r="667" spans="1:20" s="756" customFormat="1" ht="41.25" customHeight="1">
      <c r="A667" s="849">
        <v>2540</v>
      </c>
      <c r="B667" s="768" t="s">
        <v>708</v>
      </c>
      <c r="C667" s="720">
        <v>72000</v>
      </c>
      <c r="D667" s="698">
        <f t="shared" si="80"/>
        <v>114103</v>
      </c>
      <c r="E667" s="698">
        <f aca="true" t="shared" si="81" ref="E667:E677">SUM(H667+K667+N667+Q667)</f>
        <v>114103</v>
      </c>
      <c r="F667" s="699">
        <f t="shared" si="74"/>
        <v>100</v>
      </c>
      <c r="G667" s="720">
        <f>72000+13128+28975</f>
        <v>114103</v>
      </c>
      <c r="H667" s="698">
        <v>114103</v>
      </c>
      <c r="I667" s="948">
        <f>H667/G667*100</f>
        <v>100</v>
      </c>
      <c r="J667" s="703"/>
      <c r="K667" s="698"/>
      <c r="L667" s="704"/>
      <c r="M667" s="879"/>
      <c r="N667" s="698"/>
      <c r="O667" s="702"/>
      <c r="P667" s="720"/>
      <c r="Q667" s="698"/>
      <c r="R667" s="770"/>
      <c r="S667" s="682"/>
      <c r="T667" s="682"/>
    </row>
    <row r="668" spans="1:20" s="756" customFormat="1" ht="36">
      <c r="A668" s="956">
        <v>3020</v>
      </c>
      <c r="B668" s="768" t="s">
        <v>709</v>
      </c>
      <c r="C668" s="720">
        <v>1500</v>
      </c>
      <c r="D668" s="698">
        <f t="shared" si="80"/>
        <v>1300</v>
      </c>
      <c r="E668" s="698">
        <f t="shared" si="81"/>
        <v>700</v>
      </c>
      <c r="F668" s="699">
        <f>E668/D668*100</f>
        <v>53.84615384615385</v>
      </c>
      <c r="G668" s="720">
        <f>1500-200</f>
        <v>1300</v>
      </c>
      <c r="H668" s="698">
        <v>700</v>
      </c>
      <c r="I668" s="948">
        <f>H668/G668*100</f>
        <v>53.84615384615385</v>
      </c>
      <c r="J668" s="703"/>
      <c r="K668" s="698"/>
      <c r="L668" s="704"/>
      <c r="M668" s="879"/>
      <c r="N668" s="698"/>
      <c r="O668" s="702"/>
      <c r="P668" s="720"/>
      <c r="Q668" s="698"/>
      <c r="R668" s="770"/>
      <c r="S668" s="682"/>
      <c r="T668" s="682"/>
    </row>
    <row r="669" spans="1:20" s="756" customFormat="1" ht="27.75" customHeight="1">
      <c r="A669" s="956">
        <v>4010</v>
      </c>
      <c r="B669" s="768" t="s">
        <v>201</v>
      </c>
      <c r="C669" s="720">
        <v>618900</v>
      </c>
      <c r="D669" s="698">
        <f t="shared" si="80"/>
        <v>638280</v>
      </c>
      <c r="E669" s="698">
        <f t="shared" si="81"/>
        <v>638280</v>
      </c>
      <c r="F669" s="699">
        <f t="shared" si="74"/>
        <v>100</v>
      </c>
      <c r="G669" s="720">
        <f>618900+52000-32620</f>
        <v>638280</v>
      </c>
      <c r="H669" s="698">
        <v>638280</v>
      </c>
      <c r="I669" s="948">
        <f aca="true" t="shared" si="82" ref="I669:I725">H669/G669*100</f>
        <v>100</v>
      </c>
      <c r="J669" s="703"/>
      <c r="K669" s="698"/>
      <c r="L669" s="704"/>
      <c r="M669" s="879"/>
      <c r="N669" s="698"/>
      <c r="O669" s="702"/>
      <c r="P669" s="720"/>
      <c r="Q669" s="698"/>
      <c r="R669" s="770"/>
      <c r="S669" s="682"/>
      <c r="T669" s="682"/>
    </row>
    <row r="670" spans="1:20" s="756" customFormat="1" ht="24">
      <c r="A670" s="956">
        <v>4040</v>
      </c>
      <c r="B670" s="768" t="s">
        <v>280</v>
      </c>
      <c r="C670" s="720">
        <v>43300</v>
      </c>
      <c r="D670" s="698">
        <f t="shared" si="80"/>
        <v>41790</v>
      </c>
      <c r="E670" s="698">
        <f t="shared" si="81"/>
        <v>41753</v>
      </c>
      <c r="F670" s="699">
        <f t="shared" si="74"/>
        <v>99.91146207226609</v>
      </c>
      <c r="G670" s="720">
        <f>43300-1410-100</f>
        <v>41790</v>
      </c>
      <c r="H670" s="698">
        <v>41753</v>
      </c>
      <c r="I670" s="948">
        <f t="shared" si="82"/>
        <v>99.91146207226609</v>
      </c>
      <c r="J670" s="703"/>
      <c r="K670" s="698"/>
      <c r="L670" s="704"/>
      <c r="M670" s="879"/>
      <c r="N670" s="698"/>
      <c r="O670" s="702"/>
      <c r="P670" s="720"/>
      <c r="Q670" s="698"/>
      <c r="R670" s="770"/>
      <c r="S670" s="682"/>
      <c r="T670" s="682"/>
    </row>
    <row r="671" spans="1:20" s="756" customFormat="1" ht="24" customHeight="1">
      <c r="A671" s="956">
        <v>4110</v>
      </c>
      <c r="B671" s="768" t="s">
        <v>207</v>
      </c>
      <c r="C671" s="720">
        <v>105900</v>
      </c>
      <c r="D671" s="698">
        <f t="shared" si="80"/>
        <v>104260</v>
      </c>
      <c r="E671" s="698">
        <f t="shared" si="81"/>
        <v>103191</v>
      </c>
      <c r="F671" s="699">
        <f aca="true" t="shared" si="83" ref="F671:F679">E671/D671*100</f>
        <v>98.97467868789565</v>
      </c>
      <c r="G671" s="720">
        <f>105900+7800-11940+2500</f>
        <v>104260</v>
      </c>
      <c r="H671" s="698">
        <f>103190+1</f>
        <v>103191</v>
      </c>
      <c r="I671" s="948">
        <f t="shared" si="82"/>
        <v>98.97467868789565</v>
      </c>
      <c r="J671" s="703"/>
      <c r="K671" s="698"/>
      <c r="L671" s="704"/>
      <c r="M671" s="879"/>
      <c r="N671" s="698"/>
      <c r="O671" s="702"/>
      <c r="P671" s="720"/>
      <c r="Q671" s="698"/>
      <c r="R671" s="770"/>
      <c r="S671" s="682"/>
      <c r="T671" s="682"/>
    </row>
    <row r="672" spans="1:20" s="756" customFormat="1" ht="12.75" customHeight="1">
      <c r="A672" s="956">
        <v>4120</v>
      </c>
      <c r="B672" s="768" t="s">
        <v>584</v>
      </c>
      <c r="C672" s="720">
        <v>16600</v>
      </c>
      <c r="D672" s="698">
        <f t="shared" si="80"/>
        <v>17390</v>
      </c>
      <c r="E672" s="698">
        <f t="shared" si="81"/>
        <v>16150</v>
      </c>
      <c r="F672" s="699">
        <f t="shared" si="83"/>
        <v>92.86946520989075</v>
      </c>
      <c r="G672" s="720">
        <f>16600+1300-510</f>
        <v>17390</v>
      </c>
      <c r="H672" s="698">
        <v>16150</v>
      </c>
      <c r="I672" s="948">
        <f t="shared" si="82"/>
        <v>92.86946520989075</v>
      </c>
      <c r="J672" s="703"/>
      <c r="K672" s="698"/>
      <c r="L672" s="704"/>
      <c r="M672" s="879"/>
      <c r="N672" s="698"/>
      <c r="O672" s="702"/>
      <c r="P672" s="720"/>
      <c r="Q672" s="698"/>
      <c r="R672" s="770"/>
      <c r="S672" s="682"/>
      <c r="T672" s="682"/>
    </row>
    <row r="673" spans="1:20" s="756" customFormat="1" ht="12.75" customHeight="1">
      <c r="A673" s="956">
        <v>4140</v>
      </c>
      <c r="B673" s="768" t="s">
        <v>283</v>
      </c>
      <c r="C673" s="720">
        <v>1600</v>
      </c>
      <c r="D673" s="698">
        <f t="shared" si="80"/>
        <v>1448</v>
      </c>
      <c r="E673" s="698">
        <f t="shared" si="81"/>
        <v>1448</v>
      </c>
      <c r="F673" s="699">
        <f t="shared" si="83"/>
        <v>100</v>
      </c>
      <c r="G673" s="720">
        <f>1600-152</f>
        <v>1448</v>
      </c>
      <c r="H673" s="698">
        <v>1448</v>
      </c>
      <c r="I673" s="948">
        <f t="shared" si="82"/>
        <v>100</v>
      </c>
      <c r="J673" s="703"/>
      <c r="K673" s="698"/>
      <c r="L673" s="704"/>
      <c r="M673" s="879"/>
      <c r="N673" s="698"/>
      <c r="O673" s="702"/>
      <c r="P673" s="720"/>
      <c r="Q673" s="698"/>
      <c r="R673" s="770"/>
      <c r="S673" s="682"/>
      <c r="T673" s="682"/>
    </row>
    <row r="674" spans="1:20" s="756" customFormat="1" ht="24">
      <c r="A674" s="764">
        <v>4210</v>
      </c>
      <c r="B674" s="768" t="s">
        <v>211</v>
      </c>
      <c r="C674" s="720">
        <v>16100</v>
      </c>
      <c r="D674" s="698">
        <f t="shared" si="80"/>
        <v>17300</v>
      </c>
      <c r="E674" s="698">
        <f>SUM(H674+K674+N674+Q674)</f>
        <v>17274</v>
      </c>
      <c r="F674" s="699">
        <f>E674/D674*100</f>
        <v>99.84971098265896</v>
      </c>
      <c r="G674" s="720">
        <f>16100+1000+200</f>
        <v>17300</v>
      </c>
      <c r="H674" s="698">
        <v>17274</v>
      </c>
      <c r="I674" s="948">
        <f t="shared" si="82"/>
        <v>99.84971098265896</v>
      </c>
      <c r="J674" s="703"/>
      <c r="K674" s="698"/>
      <c r="L674" s="704"/>
      <c r="M674" s="879"/>
      <c r="N674" s="698"/>
      <c r="O674" s="702"/>
      <c r="P674" s="720"/>
      <c r="Q674" s="698"/>
      <c r="R674" s="770"/>
      <c r="S674" s="682"/>
      <c r="T674" s="682"/>
    </row>
    <row r="675" spans="1:20" s="756" customFormat="1" ht="28.5" customHeight="1">
      <c r="A675" s="764">
        <v>4240</v>
      </c>
      <c r="B675" s="768" t="s">
        <v>572</v>
      </c>
      <c r="C675" s="720">
        <v>10800</v>
      </c>
      <c r="D675" s="698">
        <f t="shared" si="80"/>
        <v>8800</v>
      </c>
      <c r="E675" s="698">
        <f>SUM(H675+K675+N675+Q675)</f>
        <v>8768</v>
      </c>
      <c r="F675" s="699">
        <f>E675/D675*100</f>
        <v>99.63636363636364</v>
      </c>
      <c r="G675" s="720">
        <f>10800-1000-1000</f>
        <v>8800</v>
      </c>
      <c r="H675" s="698">
        <v>8768</v>
      </c>
      <c r="I675" s="948">
        <f t="shared" si="82"/>
        <v>99.63636363636364</v>
      </c>
      <c r="J675" s="703"/>
      <c r="K675" s="698"/>
      <c r="L675" s="704"/>
      <c r="M675" s="879"/>
      <c r="N675" s="698"/>
      <c r="O675" s="702"/>
      <c r="P675" s="720"/>
      <c r="Q675" s="698"/>
      <c r="R675" s="770"/>
      <c r="S675" s="682"/>
      <c r="T675" s="682"/>
    </row>
    <row r="676" spans="1:20" s="756" customFormat="1" ht="24" hidden="1">
      <c r="A676" s="764">
        <v>4270</v>
      </c>
      <c r="B676" s="768" t="s">
        <v>217</v>
      </c>
      <c r="C676" s="720"/>
      <c r="D676" s="698">
        <f>G676+J676+P676+M676</f>
        <v>0</v>
      </c>
      <c r="E676" s="698">
        <f>SUM(H676+K676+N676+Q676)</f>
        <v>0</v>
      </c>
      <c r="F676" s="699" t="e">
        <f>E676/D676*100</f>
        <v>#DIV/0!</v>
      </c>
      <c r="G676" s="720"/>
      <c r="H676" s="698"/>
      <c r="I676" s="948" t="e">
        <f>H676/G676*100</f>
        <v>#DIV/0!</v>
      </c>
      <c r="J676" s="703"/>
      <c r="K676" s="698"/>
      <c r="L676" s="704"/>
      <c r="M676" s="879"/>
      <c r="N676" s="698"/>
      <c r="O676" s="702"/>
      <c r="P676" s="720"/>
      <c r="Q676" s="698"/>
      <c r="R676" s="770"/>
      <c r="S676" s="682"/>
      <c r="T676" s="682"/>
    </row>
    <row r="677" spans="1:20" s="756" customFormat="1" ht="12.75" customHeight="1">
      <c r="A677" s="957">
        <v>4440</v>
      </c>
      <c r="B677" s="804" t="s">
        <v>223</v>
      </c>
      <c r="C677" s="791">
        <v>39900</v>
      </c>
      <c r="D677" s="698">
        <f t="shared" si="80"/>
        <v>40026</v>
      </c>
      <c r="E677" s="698">
        <f t="shared" si="81"/>
        <v>40026</v>
      </c>
      <c r="F677" s="699">
        <f t="shared" si="83"/>
        <v>100</v>
      </c>
      <c r="G677" s="791">
        <f>39900+892-766</f>
        <v>40026</v>
      </c>
      <c r="H677" s="792">
        <v>40026</v>
      </c>
      <c r="I677" s="948">
        <f t="shared" si="82"/>
        <v>100</v>
      </c>
      <c r="J677" s="793"/>
      <c r="K677" s="792"/>
      <c r="L677" s="794"/>
      <c r="M677" s="903"/>
      <c r="N677" s="792"/>
      <c r="O677" s="796"/>
      <c r="P677" s="791"/>
      <c r="Q677" s="792"/>
      <c r="R677" s="797"/>
      <c r="S677" s="682"/>
      <c r="T677" s="682"/>
    </row>
    <row r="678" spans="1:18" ht="12.75">
      <c r="A678" s="958">
        <v>80104</v>
      </c>
      <c r="B678" s="852" t="s">
        <v>716</v>
      </c>
      <c r="C678" s="725">
        <f>SUM(C679:C681)</f>
        <v>15041300</v>
      </c>
      <c r="D678" s="712">
        <f t="shared" si="80"/>
        <v>15012170</v>
      </c>
      <c r="E678" s="712">
        <f>H678+K678+Q678+N678</f>
        <v>15012124</v>
      </c>
      <c r="F678" s="713">
        <f t="shared" si="83"/>
        <v>99.99969358194052</v>
      </c>
      <c r="G678" s="725">
        <f>SUM(G679:G681)</f>
        <v>15012170</v>
      </c>
      <c r="H678" s="712">
        <f>SUM(H679:H681)</f>
        <v>15012124</v>
      </c>
      <c r="I678" s="741">
        <f t="shared" si="82"/>
        <v>99.99969358194052</v>
      </c>
      <c r="J678" s="717"/>
      <c r="K678" s="712"/>
      <c r="L678" s="718"/>
      <c r="M678" s="712"/>
      <c r="N678" s="712"/>
      <c r="O678" s="762"/>
      <c r="P678" s="725"/>
      <c r="Q678" s="712"/>
      <c r="R678" s="846"/>
    </row>
    <row r="679" spans="1:20" s="756" customFormat="1" ht="36">
      <c r="A679" s="956">
        <v>2510</v>
      </c>
      <c r="B679" s="768" t="s">
        <v>717</v>
      </c>
      <c r="C679" s="720">
        <f>13050000+66300</f>
        <v>13116300</v>
      </c>
      <c r="D679" s="698">
        <f t="shared" si="80"/>
        <v>14140870</v>
      </c>
      <c r="E679" s="698">
        <f>SUM(H679+K679+N679+Q679)</f>
        <v>14140870</v>
      </c>
      <c r="F679" s="699">
        <f t="shared" si="83"/>
        <v>100</v>
      </c>
      <c r="G679" s="720">
        <f>13050000+66300+690000+160000+174570</f>
        <v>14140870</v>
      </c>
      <c r="H679" s="698">
        <v>14140870</v>
      </c>
      <c r="I679" s="744">
        <f t="shared" si="82"/>
        <v>100</v>
      </c>
      <c r="J679" s="703"/>
      <c r="K679" s="698"/>
      <c r="L679" s="704"/>
      <c r="M679" s="698"/>
      <c r="N679" s="698"/>
      <c r="O679" s="766"/>
      <c r="P679" s="720"/>
      <c r="Q679" s="698"/>
      <c r="R679" s="770"/>
      <c r="S679" s="682"/>
      <c r="T679" s="682"/>
    </row>
    <row r="680" spans="1:20" s="756" customFormat="1" ht="41.25" customHeight="1">
      <c r="A680" s="764">
        <v>2540</v>
      </c>
      <c r="B680" s="768" t="s">
        <v>708</v>
      </c>
      <c r="C680" s="720">
        <v>315000</v>
      </c>
      <c r="D680" s="698">
        <f>G680+J680+P680+M680</f>
        <v>486000</v>
      </c>
      <c r="E680" s="698">
        <f>SUM(H680+K680+N680+Q680)</f>
        <v>486000</v>
      </c>
      <c r="F680" s="699">
        <f>E680/D680*100</f>
        <v>100</v>
      </c>
      <c r="G680" s="703">
        <f>315000+82626+88374</f>
        <v>486000</v>
      </c>
      <c r="H680" s="703">
        <v>486000</v>
      </c>
      <c r="I680" s="744">
        <f t="shared" si="82"/>
        <v>100</v>
      </c>
      <c r="J680" s="703"/>
      <c r="K680" s="698"/>
      <c r="L680" s="704"/>
      <c r="M680" s="698"/>
      <c r="N680" s="698"/>
      <c r="O680" s="766"/>
      <c r="P680" s="703"/>
      <c r="Q680" s="698"/>
      <c r="R680" s="770"/>
      <c r="S680" s="682"/>
      <c r="T680" s="682"/>
    </row>
    <row r="681" spans="1:20" s="756" customFormat="1" ht="77.25" customHeight="1">
      <c r="A681" s="956">
        <v>6210</v>
      </c>
      <c r="B681" s="768" t="s">
        <v>568</v>
      </c>
      <c r="C681" s="720">
        <v>1610000</v>
      </c>
      <c r="D681" s="698">
        <f>G681+J681+P681+M681</f>
        <v>385300</v>
      </c>
      <c r="E681" s="698">
        <f>SUM(H681+K681+N681+Q681)</f>
        <v>385254</v>
      </c>
      <c r="F681" s="699">
        <f>E681/D681*100</f>
        <v>99.98806125097327</v>
      </c>
      <c r="G681" s="703">
        <f>1610000-1250000+7000+18300</f>
        <v>385300</v>
      </c>
      <c r="H681" s="703">
        <f>385300-46</f>
        <v>385254</v>
      </c>
      <c r="I681" s="744">
        <f t="shared" si="82"/>
        <v>99.98806125097327</v>
      </c>
      <c r="J681" s="703"/>
      <c r="K681" s="698"/>
      <c r="L681" s="704"/>
      <c r="M681" s="698"/>
      <c r="N681" s="698"/>
      <c r="O681" s="766"/>
      <c r="P681" s="703"/>
      <c r="Q681" s="698"/>
      <c r="R681" s="770"/>
      <c r="S681" s="682"/>
      <c r="T681" s="682"/>
    </row>
    <row r="682" spans="1:20" s="756" customFormat="1" ht="15" customHeight="1">
      <c r="A682" s="757">
        <v>80105</v>
      </c>
      <c r="B682" s="959" t="s">
        <v>718</v>
      </c>
      <c r="C682" s="725">
        <f>SUM(C683:C698)</f>
        <v>598100</v>
      </c>
      <c r="D682" s="712">
        <f t="shared" si="80"/>
        <v>652024</v>
      </c>
      <c r="E682" s="712">
        <f>H682+K682+Q682+N682</f>
        <v>651715</v>
      </c>
      <c r="F682" s="713">
        <f aca="true" t="shared" si="84" ref="F682:F745">E682/D682*100</f>
        <v>99.95260910641326</v>
      </c>
      <c r="G682" s="712"/>
      <c r="H682" s="717"/>
      <c r="I682" s="955"/>
      <c r="J682" s="717"/>
      <c r="K682" s="712"/>
      <c r="L682" s="718"/>
      <c r="M682" s="712">
        <f>SUM(M683:M698)</f>
        <v>652024</v>
      </c>
      <c r="N682" s="712">
        <f>SUM(N683:N698)</f>
        <v>651715</v>
      </c>
      <c r="O682" s="741">
        <f aca="true" t="shared" si="85" ref="O682:O698">N682/M682*100</f>
        <v>99.95260910641326</v>
      </c>
      <c r="P682" s="712"/>
      <c r="Q682" s="712"/>
      <c r="R682" s="846"/>
      <c r="S682" s="682"/>
      <c r="T682" s="682"/>
    </row>
    <row r="683" spans="1:20" s="756" customFormat="1" ht="36">
      <c r="A683" s="764">
        <v>3020</v>
      </c>
      <c r="B683" s="768" t="s">
        <v>709</v>
      </c>
      <c r="C683" s="720">
        <v>2000</v>
      </c>
      <c r="D683" s="698">
        <f t="shared" si="80"/>
        <v>2000</v>
      </c>
      <c r="E683" s="698">
        <f aca="true" t="shared" si="86" ref="E683:E693">SUM(H683+K683+N683+Q683)</f>
        <v>2000</v>
      </c>
      <c r="F683" s="699">
        <f t="shared" si="84"/>
        <v>100</v>
      </c>
      <c r="G683" s="698"/>
      <c r="H683" s="703"/>
      <c r="I683" s="948"/>
      <c r="J683" s="703"/>
      <c r="K683" s="698"/>
      <c r="L683" s="704"/>
      <c r="M683" s="720">
        <v>2000</v>
      </c>
      <c r="N683" s="732">
        <v>2000</v>
      </c>
      <c r="O683" s="744">
        <f t="shared" si="85"/>
        <v>100</v>
      </c>
      <c r="P683" s="698"/>
      <c r="Q683" s="698"/>
      <c r="R683" s="770"/>
      <c r="S683" s="682"/>
      <c r="T683" s="682"/>
    </row>
    <row r="684" spans="1:20" s="756" customFormat="1" ht="24.75" customHeight="1">
      <c r="A684" s="764">
        <v>4010</v>
      </c>
      <c r="B684" s="934" t="s">
        <v>201</v>
      </c>
      <c r="C684" s="720">
        <v>428000</v>
      </c>
      <c r="D684" s="698">
        <f t="shared" si="80"/>
        <v>471900</v>
      </c>
      <c r="E684" s="698">
        <f t="shared" si="86"/>
        <v>471900</v>
      </c>
      <c r="F684" s="699">
        <f t="shared" si="84"/>
        <v>100</v>
      </c>
      <c r="G684" s="698"/>
      <c r="H684" s="703"/>
      <c r="I684" s="948"/>
      <c r="J684" s="703"/>
      <c r="K684" s="698"/>
      <c r="L684" s="704"/>
      <c r="M684" s="720">
        <f>428000+43900</f>
        <v>471900</v>
      </c>
      <c r="N684" s="698">
        <v>471900</v>
      </c>
      <c r="O684" s="744">
        <f t="shared" si="85"/>
        <v>100</v>
      </c>
      <c r="P684" s="698"/>
      <c r="Q684" s="698"/>
      <c r="R684" s="770"/>
      <c r="S684" s="682"/>
      <c r="T684" s="682"/>
    </row>
    <row r="685" spans="1:20" s="756" customFormat="1" ht="24">
      <c r="A685" s="764">
        <v>4040</v>
      </c>
      <c r="B685" s="934" t="s">
        <v>205</v>
      </c>
      <c r="C685" s="720">
        <v>33200</v>
      </c>
      <c r="D685" s="698">
        <f t="shared" si="80"/>
        <v>33200</v>
      </c>
      <c r="E685" s="698">
        <f t="shared" si="86"/>
        <v>33200</v>
      </c>
      <c r="F685" s="699">
        <f t="shared" si="84"/>
        <v>100</v>
      </c>
      <c r="G685" s="698"/>
      <c r="H685" s="703"/>
      <c r="I685" s="948"/>
      <c r="J685" s="703"/>
      <c r="K685" s="698"/>
      <c r="L685" s="704"/>
      <c r="M685" s="720">
        <v>33200</v>
      </c>
      <c r="N685" s="698">
        <v>33200</v>
      </c>
      <c r="O685" s="744">
        <f t="shared" si="85"/>
        <v>100</v>
      </c>
      <c r="P685" s="698"/>
      <c r="Q685" s="698"/>
      <c r="R685" s="770"/>
      <c r="S685" s="682"/>
      <c r="T685" s="682"/>
    </row>
    <row r="686" spans="1:20" s="756" customFormat="1" ht="24" customHeight="1">
      <c r="A686" s="764">
        <v>4110</v>
      </c>
      <c r="B686" s="934" t="s">
        <v>207</v>
      </c>
      <c r="C686" s="720">
        <v>69000</v>
      </c>
      <c r="D686" s="698">
        <f t="shared" si="80"/>
        <v>76000</v>
      </c>
      <c r="E686" s="698">
        <f t="shared" si="86"/>
        <v>76000</v>
      </c>
      <c r="F686" s="699">
        <f t="shared" si="84"/>
        <v>100</v>
      </c>
      <c r="G686" s="698"/>
      <c r="H686" s="703"/>
      <c r="I686" s="948"/>
      <c r="J686" s="703"/>
      <c r="K686" s="698"/>
      <c r="L686" s="704"/>
      <c r="M686" s="720">
        <f>69000+7000</f>
        <v>76000</v>
      </c>
      <c r="N686" s="698">
        <v>76000</v>
      </c>
      <c r="O686" s="744">
        <f t="shared" si="85"/>
        <v>100</v>
      </c>
      <c r="P686" s="698"/>
      <c r="Q686" s="698"/>
      <c r="R686" s="770"/>
      <c r="S686" s="682"/>
      <c r="T686" s="682"/>
    </row>
    <row r="687" spans="1:20" s="756" customFormat="1" ht="12.75">
      <c r="A687" s="764">
        <v>4120</v>
      </c>
      <c r="B687" s="934" t="s">
        <v>584</v>
      </c>
      <c r="C687" s="720">
        <v>11200</v>
      </c>
      <c r="D687" s="698">
        <f t="shared" si="80"/>
        <v>11600</v>
      </c>
      <c r="E687" s="698">
        <f t="shared" si="86"/>
        <v>11600</v>
      </c>
      <c r="F687" s="699">
        <f t="shared" si="84"/>
        <v>100</v>
      </c>
      <c r="G687" s="698"/>
      <c r="H687" s="703"/>
      <c r="I687" s="948"/>
      <c r="J687" s="703"/>
      <c r="K687" s="698"/>
      <c r="L687" s="704"/>
      <c r="M687" s="720">
        <f>11200+400</f>
        <v>11600</v>
      </c>
      <c r="N687" s="698">
        <v>11600</v>
      </c>
      <c r="O687" s="744">
        <f t="shared" si="85"/>
        <v>100</v>
      </c>
      <c r="P687" s="698"/>
      <c r="Q687" s="698"/>
      <c r="R687" s="770"/>
      <c r="S687" s="682"/>
      <c r="T687" s="682"/>
    </row>
    <row r="688" spans="1:20" s="756" customFormat="1" ht="24">
      <c r="A688" s="764">
        <v>4210</v>
      </c>
      <c r="B688" s="934" t="s">
        <v>211</v>
      </c>
      <c r="C688" s="720">
        <v>7000</v>
      </c>
      <c r="D688" s="698">
        <f t="shared" si="80"/>
        <v>8000</v>
      </c>
      <c r="E688" s="698">
        <f t="shared" si="86"/>
        <v>8000</v>
      </c>
      <c r="F688" s="699">
        <f t="shared" si="84"/>
        <v>100</v>
      </c>
      <c r="G688" s="698"/>
      <c r="H688" s="703"/>
      <c r="I688" s="948"/>
      <c r="J688" s="703"/>
      <c r="K688" s="698"/>
      <c r="L688" s="704"/>
      <c r="M688" s="720">
        <f>7000+1000</f>
        <v>8000</v>
      </c>
      <c r="N688" s="698">
        <v>8000</v>
      </c>
      <c r="O688" s="744">
        <f t="shared" si="85"/>
        <v>100</v>
      </c>
      <c r="P688" s="698"/>
      <c r="Q688" s="698"/>
      <c r="R688" s="770"/>
      <c r="S688" s="682"/>
      <c r="T688" s="682"/>
    </row>
    <row r="689" spans="1:20" s="756" customFormat="1" ht="24.75" customHeight="1">
      <c r="A689" s="764">
        <v>4240</v>
      </c>
      <c r="B689" s="934" t="s">
        <v>572</v>
      </c>
      <c r="C689" s="720">
        <v>1000</v>
      </c>
      <c r="D689" s="698">
        <f t="shared" si="80"/>
        <v>1000</v>
      </c>
      <c r="E689" s="698">
        <f t="shared" si="86"/>
        <v>1000</v>
      </c>
      <c r="F689" s="699">
        <f t="shared" si="84"/>
        <v>100</v>
      </c>
      <c r="G689" s="698"/>
      <c r="H689" s="703"/>
      <c r="I689" s="948"/>
      <c r="J689" s="703"/>
      <c r="K689" s="698"/>
      <c r="L689" s="704"/>
      <c r="M689" s="720">
        <v>1000</v>
      </c>
      <c r="N689" s="698">
        <v>1000</v>
      </c>
      <c r="O689" s="744">
        <f t="shared" si="85"/>
        <v>100</v>
      </c>
      <c r="P689" s="698"/>
      <c r="Q689" s="698"/>
      <c r="R689" s="770"/>
      <c r="S689" s="682"/>
      <c r="T689" s="682"/>
    </row>
    <row r="690" spans="1:20" s="756" customFormat="1" ht="12.75">
      <c r="A690" s="764">
        <v>4260</v>
      </c>
      <c r="B690" s="934" t="s">
        <v>215</v>
      </c>
      <c r="C690" s="720">
        <v>20000</v>
      </c>
      <c r="D690" s="698">
        <f t="shared" si="80"/>
        <v>20000</v>
      </c>
      <c r="E690" s="698">
        <f t="shared" si="86"/>
        <v>20000</v>
      </c>
      <c r="F690" s="699">
        <f t="shared" si="84"/>
        <v>100</v>
      </c>
      <c r="G690" s="698"/>
      <c r="H690" s="703"/>
      <c r="I690" s="948"/>
      <c r="J690" s="703"/>
      <c r="K690" s="698"/>
      <c r="L690" s="704"/>
      <c r="M690" s="720">
        <v>20000</v>
      </c>
      <c r="N690" s="698">
        <v>20000</v>
      </c>
      <c r="O690" s="744">
        <f t="shared" si="85"/>
        <v>100</v>
      </c>
      <c r="P690" s="698"/>
      <c r="Q690" s="698"/>
      <c r="R690" s="770"/>
      <c r="S690" s="682"/>
      <c r="T690" s="682"/>
    </row>
    <row r="691" spans="1:20" s="756" customFormat="1" ht="15" customHeight="1">
      <c r="A691" s="764">
        <v>4270</v>
      </c>
      <c r="B691" s="934" t="s">
        <v>217</v>
      </c>
      <c r="C691" s="720">
        <v>2000</v>
      </c>
      <c r="D691" s="698">
        <f t="shared" si="80"/>
        <v>2000</v>
      </c>
      <c r="E691" s="698">
        <f t="shared" si="86"/>
        <v>2000</v>
      </c>
      <c r="F691" s="699">
        <f t="shared" si="84"/>
        <v>100</v>
      </c>
      <c r="G691" s="698"/>
      <c r="H691" s="703"/>
      <c r="I691" s="948"/>
      <c r="J691" s="703"/>
      <c r="K691" s="698"/>
      <c r="L691" s="704"/>
      <c r="M691" s="720">
        <v>2000</v>
      </c>
      <c r="N691" s="698">
        <v>2000</v>
      </c>
      <c r="O691" s="744">
        <f t="shared" si="85"/>
        <v>100</v>
      </c>
      <c r="P691" s="698"/>
      <c r="Q691" s="698"/>
      <c r="R691" s="770"/>
      <c r="S691" s="682"/>
      <c r="T691" s="682"/>
    </row>
    <row r="692" spans="1:20" s="756" customFormat="1" ht="15" customHeight="1">
      <c r="A692" s="764">
        <v>4280</v>
      </c>
      <c r="B692" s="768" t="s">
        <v>542</v>
      </c>
      <c r="C692" s="720">
        <v>500</v>
      </c>
      <c r="D692" s="698">
        <f t="shared" si="80"/>
        <v>500</v>
      </c>
      <c r="E692" s="698">
        <f t="shared" si="86"/>
        <v>500</v>
      </c>
      <c r="F692" s="699">
        <f t="shared" si="84"/>
        <v>100</v>
      </c>
      <c r="G692" s="698"/>
      <c r="H692" s="703"/>
      <c r="I692" s="948"/>
      <c r="J692" s="703"/>
      <c r="K692" s="698"/>
      <c r="L692" s="704"/>
      <c r="M692" s="720">
        <v>500</v>
      </c>
      <c r="N692" s="698">
        <v>500</v>
      </c>
      <c r="O692" s="744">
        <f t="shared" si="85"/>
        <v>100</v>
      </c>
      <c r="P692" s="698"/>
      <c r="Q692" s="698"/>
      <c r="R692" s="770"/>
      <c r="S692" s="682"/>
      <c r="T692" s="682"/>
    </row>
    <row r="693" spans="1:20" s="756" customFormat="1" ht="15" customHeight="1">
      <c r="A693" s="764">
        <v>4300</v>
      </c>
      <c r="B693" s="934" t="s">
        <v>219</v>
      </c>
      <c r="C693" s="720">
        <v>3000</v>
      </c>
      <c r="D693" s="698">
        <f t="shared" si="80"/>
        <v>3000</v>
      </c>
      <c r="E693" s="698">
        <f t="shared" si="86"/>
        <v>3000</v>
      </c>
      <c r="F693" s="699">
        <f t="shared" si="84"/>
        <v>100</v>
      </c>
      <c r="G693" s="698"/>
      <c r="H693" s="703"/>
      <c r="I693" s="948"/>
      <c r="J693" s="703"/>
      <c r="K693" s="698"/>
      <c r="L693" s="704"/>
      <c r="M693" s="720">
        <v>3000</v>
      </c>
      <c r="N693" s="698">
        <v>3000</v>
      </c>
      <c r="O693" s="744">
        <f t="shared" si="85"/>
        <v>100</v>
      </c>
      <c r="P693" s="698"/>
      <c r="Q693" s="698"/>
      <c r="R693" s="770"/>
      <c r="S693" s="682"/>
      <c r="T693" s="682"/>
    </row>
    <row r="694" spans="1:20" s="756" customFormat="1" ht="39" customHeight="1">
      <c r="A694" s="764">
        <v>4370</v>
      </c>
      <c r="B694" s="828" t="s">
        <v>635</v>
      </c>
      <c r="C694" s="720">
        <v>1000</v>
      </c>
      <c r="D694" s="698">
        <f t="shared" si="80"/>
        <v>1000</v>
      </c>
      <c r="E694" s="698">
        <f>SUM(H694+K694+N694+Q694)</f>
        <v>902</v>
      </c>
      <c r="F694" s="699">
        <f t="shared" si="84"/>
        <v>90.2</v>
      </c>
      <c r="G694" s="698"/>
      <c r="H694" s="703"/>
      <c r="I694" s="948"/>
      <c r="J694" s="703"/>
      <c r="K694" s="698"/>
      <c r="L694" s="704"/>
      <c r="M694" s="720">
        <v>1000</v>
      </c>
      <c r="N694" s="698">
        <v>902</v>
      </c>
      <c r="O694" s="744">
        <f t="shared" si="85"/>
        <v>90.2</v>
      </c>
      <c r="P694" s="698"/>
      <c r="Q694" s="698"/>
      <c r="R694" s="770"/>
      <c r="S694" s="682"/>
      <c r="T694" s="682"/>
    </row>
    <row r="695" spans="1:20" s="756" customFormat="1" ht="15" customHeight="1">
      <c r="A695" s="764">
        <v>4440</v>
      </c>
      <c r="B695" s="828" t="s">
        <v>223</v>
      </c>
      <c r="C695" s="720">
        <v>18400</v>
      </c>
      <c r="D695" s="698">
        <f t="shared" si="80"/>
        <v>19224</v>
      </c>
      <c r="E695" s="698">
        <f>SUM(H695+K695+N695+Q695)</f>
        <v>19224</v>
      </c>
      <c r="F695" s="699">
        <f t="shared" si="84"/>
        <v>100</v>
      </c>
      <c r="G695" s="698"/>
      <c r="H695" s="703"/>
      <c r="I695" s="948"/>
      <c r="J695" s="703"/>
      <c r="K695" s="698"/>
      <c r="L695" s="704"/>
      <c r="M695" s="720">
        <f>18400+1183-359</f>
        <v>19224</v>
      </c>
      <c r="N695" s="698">
        <v>19224</v>
      </c>
      <c r="O695" s="744">
        <f t="shared" si="85"/>
        <v>100</v>
      </c>
      <c r="P695" s="698"/>
      <c r="Q695" s="698"/>
      <c r="R695" s="770"/>
      <c r="S695" s="682"/>
      <c r="T695" s="682"/>
    </row>
    <row r="696" spans="1:20" s="756" customFormat="1" ht="41.25" customHeight="1">
      <c r="A696" s="764">
        <v>4700</v>
      </c>
      <c r="B696" s="828" t="s">
        <v>550</v>
      </c>
      <c r="C696" s="720">
        <v>800</v>
      </c>
      <c r="D696" s="698">
        <f t="shared" si="80"/>
        <v>800</v>
      </c>
      <c r="E696" s="698">
        <f>SUM(H696+K696+N696+Q696)</f>
        <v>590</v>
      </c>
      <c r="F696" s="699">
        <f t="shared" si="84"/>
        <v>73.75</v>
      </c>
      <c r="G696" s="698"/>
      <c r="H696" s="703"/>
      <c r="I696" s="948"/>
      <c r="J696" s="703"/>
      <c r="K696" s="698"/>
      <c r="L696" s="704"/>
      <c r="M696" s="720">
        <v>800</v>
      </c>
      <c r="N696" s="698">
        <v>590</v>
      </c>
      <c r="O696" s="744">
        <f t="shared" si="85"/>
        <v>73.75</v>
      </c>
      <c r="P696" s="698"/>
      <c r="Q696" s="698"/>
      <c r="R696" s="770"/>
      <c r="S696" s="682"/>
      <c r="T696" s="682"/>
    </row>
    <row r="697" spans="1:20" s="756" customFormat="1" ht="46.5" customHeight="1">
      <c r="A697" s="764">
        <v>4740</v>
      </c>
      <c r="B697" s="828" t="s">
        <v>235</v>
      </c>
      <c r="C697" s="720">
        <v>500</v>
      </c>
      <c r="D697" s="698">
        <f>G697+J697+P697+M697</f>
        <v>500</v>
      </c>
      <c r="E697" s="698">
        <f>SUM(H697+K697+N697+Q697)</f>
        <v>500</v>
      </c>
      <c r="F697" s="699">
        <f>E697/D697*100</f>
        <v>100</v>
      </c>
      <c r="G697" s="698"/>
      <c r="H697" s="703"/>
      <c r="I697" s="948"/>
      <c r="J697" s="703"/>
      <c r="K697" s="698"/>
      <c r="L697" s="704"/>
      <c r="M697" s="720">
        <v>500</v>
      </c>
      <c r="N697" s="698">
        <v>500</v>
      </c>
      <c r="O697" s="744">
        <f t="shared" si="85"/>
        <v>100</v>
      </c>
      <c r="P697" s="698"/>
      <c r="Q697" s="698"/>
      <c r="R697" s="770"/>
      <c r="S697" s="682"/>
      <c r="T697" s="682"/>
    </row>
    <row r="698" spans="1:20" s="756" customFormat="1" ht="36">
      <c r="A698" s="764">
        <v>4750</v>
      </c>
      <c r="B698" s="828" t="s">
        <v>551</v>
      </c>
      <c r="C698" s="791">
        <v>500</v>
      </c>
      <c r="D698" s="792">
        <f t="shared" si="80"/>
        <v>1300</v>
      </c>
      <c r="E698" s="792">
        <f>SUM(H698+K698+N698+Q698)</f>
        <v>1299</v>
      </c>
      <c r="F698" s="760">
        <f t="shared" si="84"/>
        <v>99.92307692307692</v>
      </c>
      <c r="G698" s="792"/>
      <c r="H698" s="793"/>
      <c r="I698" s="954"/>
      <c r="J698" s="793"/>
      <c r="K698" s="792"/>
      <c r="L698" s="794"/>
      <c r="M698" s="791">
        <f>500+800</f>
        <v>1300</v>
      </c>
      <c r="N698" s="792">
        <f>1300-1</f>
        <v>1299</v>
      </c>
      <c r="O698" s="744">
        <f t="shared" si="85"/>
        <v>99.92307692307692</v>
      </c>
      <c r="P698" s="792"/>
      <c r="Q698" s="792"/>
      <c r="R698" s="797"/>
      <c r="S698" s="682"/>
      <c r="T698" s="682"/>
    </row>
    <row r="699" spans="1:18" ht="12.75">
      <c r="A699" s="757">
        <v>80110</v>
      </c>
      <c r="B699" s="852" t="s">
        <v>719</v>
      </c>
      <c r="C699" s="725">
        <f>SUM(C700:C726)</f>
        <v>21963000</v>
      </c>
      <c r="D699" s="712">
        <f t="shared" si="80"/>
        <v>22863482</v>
      </c>
      <c r="E699" s="712">
        <f>H699+K699+Q699+N699</f>
        <v>22855413</v>
      </c>
      <c r="F699" s="960">
        <f t="shared" si="84"/>
        <v>99.96470791281922</v>
      </c>
      <c r="G699" s="725">
        <f>SUM(G700:G726)</f>
        <v>22863482</v>
      </c>
      <c r="H699" s="717">
        <f>SUM(H700:H726)</f>
        <v>22855413</v>
      </c>
      <c r="I699" s="741">
        <f t="shared" si="82"/>
        <v>99.96470791281922</v>
      </c>
      <c r="J699" s="717"/>
      <c r="K699" s="712"/>
      <c r="L699" s="718"/>
      <c r="M699" s="712"/>
      <c r="N699" s="712"/>
      <c r="O699" s="762"/>
      <c r="P699" s="725"/>
      <c r="Q699" s="712"/>
      <c r="R699" s="846"/>
    </row>
    <row r="700" spans="1:20" s="756" customFormat="1" ht="40.5" customHeight="1">
      <c r="A700" s="764">
        <v>2540</v>
      </c>
      <c r="B700" s="768" t="s">
        <v>708</v>
      </c>
      <c r="C700" s="720">
        <v>600000</v>
      </c>
      <c r="D700" s="698">
        <f t="shared" si="80"/>
        <v>564114</v>
      </c>
      <c r="E700" s="698">
        <f>SUM(H700+K700+N700+Q700)</f>
        <v>564114</v>
      </c>
      <c r="F700" s="699">
        <f t="shared" si="84"/>
        <v>100</v>
      </c>
      <c r="G700" s="720">
        <f>600000-35886</f>
        <v>564114</v>
      </c>
      <c r="H700" s="698">
        <v>564114</v>
      </c>
      <c r="I700" s="744">
        <f t="shared" si="82"/>
        <v>100</v>
      </c>
      <c r="J700" s="703"/>
      <c r="K700" s="698"/>
      <c r="L700" s="704"/>
      <c r="M700" s="698"/>
      <c r="N700" s="698"/>
      <c r="O700" s="766"/>
      <c r="P700" s="720"/>
      <c r="Q700" s="698"/>
      <c r="R700" s="770"/>
      <c r="S700" s="682"/>
      <c r="T700" s="682"/>
    </row>
    <row r="701" spans="1:18" ht="36">
      <c r="A701" s="764">
        <v>3020</v>
      </c>
      <c r="B701" s="768" t="s">
        <v>709</v>
      </c>
      <c r="C701" s="720">
        <v>76100</v>
      </c>
      <c r="D701" s="698">
        <f t="shared" si="80"/>
        <v>62603</v>
      </c>
      <c r="E701" s="698">
        <f>SUM(H701+K701+N701+Q701)</f>
        <v>62484</v>
      </c>
      <c r="F701" s="699">
        <f t="shared" si="84"/>
        <v>99.80991326294267</v>
      </c>
      <c r="G701" s="720">
        <f>76100-6300-1046-6151</f>
        <v>62603</v>
      </c>
      <c r="H701" s="698">
        <v>62484</v>
      </c>
      <c r="I701" s="744">
        <f t="shared" si="82"/>
        <v>99.80991326294267</v>
      </c>
      <c r="J701" s="703"/>
      <c r="K701" s="698"/>
      <c r="L701" s="704"/>
      <c r="M701" s="698"/>
      <c r="N701" s="698"/>
      <c r="O701" s="766"/>
      <c r="P701" s="720"/>
      <c r="Q701" s="698"/>
      <c r="R701" s="770"/>
    </row>
    <row r="702" spans="1:18" ht="27.75" customHeight="1">
      <c r="A702" s="764">
        <v>4010</v>
      </c>
      <c r="B702" s="768" t="s">
        <v>201</v>
      </c>
      <c r="C702" s="720">
        <v>13882800</v>
      </c>
      <c r="D702" s="698">
        <f t="shared" si="80"/>
        <v>14724900</v>
      </c>
      <c r="E702" s="698">
        <f>SUM(H702+K702+N702+Q702)</f>
        <v>14724614</v>
      </c>
      <c r="F702" s="699">
        <f t="shared" si="84"/>
        <v>99.99805771176715</v>
      </c>
      <c r="G702" s="720">
        <f>13882800-2300+271000+400410+177290-4300</f>
        <v>14724900</v>
      </c>
      <c r="H702" s="698">
        <v>14724614</v>
      </c>
      <c r="I702" s="744">
        <f t="shared" si="82"/>
        <v>99.99805771176715</v>
      </c>
      <c r="J702" s="703"/>
      <c r="K702" s="698"/>
      <c r="L702" s="704"/>
      <c r="M702" s="698"/>
      <c r="N702" s="698"/>
      <c r="O702" s="766"/>
      <c r="P702" s="720"/>
      <c r="Q702" s="698"/>
      <c r="R702" s="770"/>
    </row>
    <row r="703" spans="1:18" ht="25.5" customHeight="1">
      <c r="A703" s="764">
        <v>4040</v>
      </c>
      <c r="B703" s="768" t="s">
        <v>280</v>
      </c>
      <c r="C703" s="720">
        <v>1092600</v>
      </c>
      <c r="D703" s="698">
        <f t="shared" si="80"/>
        <v>1064455</v>
      </c>
      <c r="E703" s="698">
        <f>SUM(H703+K703+N703+Q703)</f>
        <v>1064436</v>
      </c>
      <c r="F703" s="699">
        <f t="shared" si="84"/>
        <v>99.9982150490157</v>
      </c>
      <c r="G703" s="720">
        <f>1092600-27145-1000</f>
        <v>1064455</v>
      </c>
      <c r="H703" s="698">
        <f>1064433+3</f>
        <v>1064436</v>
      </c>
      <c r="I703" s="744">
        <f t="shared" si="82"/>
        <v>99.9982150490157</v>
      </c>
      <c r="J703" s="703"/>
      <c r="K703" s="698"/>
      <c r="L703" s="704"/>
      <c r="M703" s="698"/>
      <c r="N703" s="698"/>
      <c r="O703" s="766"/>
      <c r="P703" s="720"/>
      <c r="Q703" s="698"/>
      <c r="R703" s="770"/>
    </row>
    <row r="704" spans="1:18" ht="24" customHeight="1">
      <c r="A704" s="764">
        <v>4110</v>
      </c>
      <c r="B704" s="768" t="s">
        <v>207</v>
      </c>
      <c r="C704" s="720">
        <v>2437500</v>
      </c>
      <c r="D704" s="698">
        <f t="shared" si="80"/>
        <v>2358270</v>
      </c>
      <c r="E704" s="698">
        <f aca="true" t="shared" si="87" ref="E704:E725">SUM(H704+K704+N704+Q704)</f>
        <v>2358270</v>
      </c>
      <c r="F704" s="699">
        <f t="shared" si="84"/>
        <v>100</v>
      </c>
      <c r="G704" s="720">
        <f>2437500-82800+3570</f>
        <v>2358270</v>
      </c>
      <c r="H704" s="698">
        <v>2358270</v>
      </c>
      <c r="I704" s="744">
        <f t="shared" si="82"/>
        <v>100</v>
      </c>
      <c r="J704" s="703"/>
      <c r="K704" s="698"/>
      <c r="L704" s="704"/>
      <c r="M704" s="698"/>
      <c r="N704" s="698"/>
      <c r="O704" s="766"/>
      <c r="P704" s="720"/>
      <c r="Q704" s="698"/>
      <c r="R704" s="770"/>
    </row>
    <row r="705" spans="1:18" ht="12.75">
      <c r="A705" s="764">
        <v>4120</v>
      </c>
      <c r="B705" s="768" t="s">
        <v>584</v>
      </c>
      <c r="C705" s="720">
        <v>368500</v>
      </c>
      <c r="D705" s="698">
        <f t="shared" si="80"/>
        <v>358030</v>
      </c>
      <c r="E705" s="698">
        <f t="shared" si="87"/>
        <v>358030</v>
      </c>
      <c r="F705" s="699">
        <f t="shared" si="84"/>
        <v>100</v>
      </c>
      <c r="G705" s="720">
        <f>368500-10400-70</f>
        <v>358030</v>
      </c>
      <c r="H705" s="698">
        <v>358030</v>
      </c>
      <c r="I705" s="744">
        <f t="shared" si="82"/>
        <v>100</v>
      </c>
      <c r="J705" s="703"/>
      <c r="K705" s="698"/>
      <c r="L705" s="704"/>
      <c r="M705" s="698"/>
      <c r="N705" s="698"/>
      <c r="O705" s="766"/>
      <c r="P705" s="720"/>
      <c r="Q705" s="698"/>
      <c r="R705" s="770"/>
    </row>
    <row r="706" spans="1:20" s="756" customFormat="1" ht="12.75">
      <c r="A706" s="764">
        <v>4140</v>
      </c>
      <c r="B706" s="768" t="s">
        <v>283</v>
      </c>
      <c r="C706" s="720">
        <v>67800</v>
      </c>
      <c r="D706" s="698">
        <f t="shared" si="80"/>
        <v>67171</v>
      </c>
      <c r="E706" s="698">
        <f t="shared" si="87"/>
        <v>66979</v>
      </c>
      <c r="F706" s="699">
        <f t="shared" si="84"/>
        <v>99.71416236173349</v>
      </c>
      <c r="G706" s="720">
        <f>67800-2810+3080-899</f>
        <v>67171</v>
      </c>
      <c r="H706" s="698">
        <v>66979</v>
      </c>
      <c r="I706" s="744">
        <f t="shared" si="82"/>
        <v>99.71416236173349</v>
      </c>
      <c r="J706" s="703"/>
      <c r="K706" s="698"/>
      <c r="L706" s="704"/>
      <c r="M706" s="698"/>
      <c r="N706" s="698"/>
      <c r="O706" s="766"/>
      <c r="P706" s="720"/>
      <c r="Q706" s="698"/>
      <c r="R706" s="770"/>
      <c r="S706" s="682"/>
      <c r="T706" s="682"/>
    </row>
    <row r="707" spans="1:20" s="756" customFormat="1" ht="24">
      <c r="A707" s="764">
        <v>4170</v>
      </c>
      <c r="B707" s="768" t="s">
        <v>242</v>
      </c>
      <c r="C707" s="720"/>
      <c r="D707" s="698">
        <f t="shared" si="80"/>
        <v>7250</v>
      </c>
      <c r="E707" s="698">
        <f>SUM(H707+K707+N707+Q707)</f>
        <v>7250</v>
      </c>
      <c r="F707" s="699">
        <f t="shared" si="84"/>
        <v>100</v>
      </c>
      <c r="G707" s="720">
        <f>6950+300</f>
        <v>7250</v>
      </c>
      <c r="H707" s="698">
        <v>7250</v>
      </c>
      <c r="I707" s="744">
        <f t="shared" si="82"/>
        <v>100</v>
      </c>
      <c r="J707" s="703"/>
      <c r="K707" s="698"/>
      <c r="L707" s="704"/>
      <c r="M707" s="698"/>
      <c r="N707" s="698"/>
      <c r="O707" s="766"/>
      <c r="P707" s="720"/>
      <c r="Q707" s="698"/>
      <c r="R707" s="770"/>
      <c r="S707" s="682"/>
      <c r="T707" s="682"/>
    </row>
    <row r="708" spans="1:18" ht="24">
      <c r="A708" s="764">
        <v>4210</v>
      </c>
      <c r="B708" s="768" t="s">
        <v>211</v>
      </c>
      <c r="C708" s="720">
        <v>364100</v>
      </c>
      <c r="D708" s="698">
        <f t="shared" si="80"/>
        <v>372853</v>
      </c>
      <c r="E708" s="698">
        <f t="shared" si="87"/>
        <v>372853</v>
      </c>
      <c r="F708" s="699">
        <f t="shared" si="84"/>
        <v>100</v>
      </c>
      <c r="G708" s="720">
        <f>364100+4000+1700+3140+8313+3100-16600-3100+3100+5100</f>
        <v>372853</v>
      </c>
      <c r="H708" s="698">
        <v>372853</v>
      </c>
      <c r="I708" s="744">
        <f t="shared" si="82"/>
        <v>100</v>
      </c>
      <c r="J708" s="703"/>
      <c r="K708" s="698"/>
      <c r="L708" s="704"/>
      <c r="M708" s="698"/>
      <c r="N708" s="698"/>
      <c r="O708" s="766"/>
      <c r="P708" s="720"/>
      <c r="Q708" s="698"/>
      <c r="R708" s="770"/>
    </row>
    <row r="709" spans="1:18" ht="35.25" customHeight="1">
      <c r="A709" s="764">
        <v>4240</v>
      </c>
      <c r="B709" s="768" t="s">
        <v>710</v>
      </c>
      <c r="C709" s="720">
        <v>42400</v>
      </c>
      <c r="D709" s="698">
        <f t="shared" si="80"/>
        <v>47950</v>
      </c>
      <c r="E709" s="698">
        <f t="shared" si="87"/>
        <v>47950</v>
      </c>
      <c r="F709" s="699">
        <f t="shared" si="84"/>
        <v>100</v>
      </c>
      <c r="G709" s="720">
        <f>42400+5000+550</f>
        <v>47950</v>
      </c>
      <c r="H709" s="698">
        <v>47950</v>
      </c>
      <c r="I709" s="744">
        <f t="shared" si="82"/>
        <v>100</v>
      </c>
      <c r="J709" s="703"/>
      <c r="K709" s="698"/>
      <c r="L709" s="704"/>
      <c r="M709" s="698"/>
      <c r="N709" s="698"/>
      <c r="O709" s="766"/>
      <c r="P709" s="720"/>
      <c r="Q709" s="698"/>
      <c r="R709" s="770"/>
    </row>
    <row r="710" spans="1:18" ht="12.75">
      <c r="A710" s="764">
        <v>4260</v>
      </c>
      <c r="B710" s="696" t="s">
        <v>215</v>
      </c>
      <c r="C710" s="720">
        <v>1033800</v>
      </c>
      <c r="D710" s="698">
        <f t="shared" si="80"/>
        <v>1082100</v>
      </c>
      <c r="E710" s="698">
        <f t="shared" si="87"/>
        <v>1078624</v>
      </c>
      <c r="F710" s="699">
        <f t="shared" si="84"/>
        <v>99.67877275667684</v>
      </c>
      <c r="G710" s="720">
        <f>1033800+1400+22000+57900-33000</f>
        <v>1082100</v>
      </c>
      <c r="H710" s="698">
        <v>1078624</v>
      </c>
      <c r="I710" s="744">
        <f t="shared" si="82"/>
        <v>99.67877275667684</v>
      </c>
      <c r="J710" s="703"/>
      <c r="K710" s="698"/>
      <c r="L710" s="704"/>
      <c r="M710" s="698"/>
      <c r="N710" s="698"/>
      <c r="O710" s="766"/>
      <c r="P710" s="720"/>
      <c r="Q710" s="698"/>
      <c r="R710" s="770"/>
    </row>
    <row r="711" spans="1:18" ht="17.25" customHeight="1">
      <c r="A711" s="764">
        <v>4270</v>
      </c>
      <c r="B711" s="768" t="s">
        <v>217</v>
      </c>
      <c r="C711" s="720">
        <v>50300</v>
      </c>
      <c r="D711" s="698">
        <f t="shared" si="80"/>
        <v>76689</v>
      </c>
      <c r="E711" s="698">
        <f t="shared" si="87"/>
        <v>76684</v>
      </c>
      <c r="F711" s="699">
        <f t="shared" si="84"/>
        <v>99.99348016012726</v>
      </c>
      <c r="G711" s="720">
        <f>50300+11100+14260+700-2400-700+700+2729</f>
        <v>76689</v>
      </c>
      <c r="H711" s="698">
        <v>76684</v>
      </c>
      <c r="I711" s="744">
        <f t="shared" si="82"/>
        <v>99.99348016012726</v>
      </c>
      <c r="J711" s="703"/>
      <c r="K711" s="698"/>
      <c r="L711" s="704"/>
      <c r="M711" s="698"/>
      <c r="N711" s="698"/>
      <c r="O711" s="766"/>
      <c r="P711" s="720"/>
      <c r="Q711" s="698"/>
      <c r="R711" s="770"/>
    </row>
    <row r="712" spans="1:18" ht="15.75" customHeight="1">
      <c r="A712" s="764">
        <v>4280</v>
      </c>
      <c r="B712" s="768" t="s">
        <v>542</v>
      </c>
      <c r="C712" s="720">
        <v>15200</v>
      </c>
      <c r="D712" s="698">
        <f t="shared" si="80"/>
        <v>15199</v>
      </c>
      <c r="E712" s="698">
        <f t="shared" si="87"/>
        <v>14817</v>
      </c>
      <c r="F712" s="699">
        <f t="shared" si="84"/>
        <v>97.48667675504967</v>
      </c>
      <c r="G712" s="720">
        <f>15200-401+900-500</f>
        <v>15199</v>
      </c>
      <c r="H712" s="698">
        <v>14817</v>
      </c>
      <c r="I712" s="744">
        <f t="shared" si="82"/>
        <v>97.48667675504967</v>
      </c>
      <c r="J712" s="703"/>
      <c r="K712" s="698"/>
      <c r="L712" s="704"/>
      <c r="M712" s="698"/>
      <c r="N712" s="698"/>
      <c r="O712" s="766"/>
      <c r="P712" s="720"/>
      <c r="Q712" s="698"/>
      <c r="R712" s="770"/>
    </row>
    <row r="713" spans="1:18" ht="16.5" customHeight="1">
      <c r="A713" s="764">
        <v>4300</v>
      </c>
      <c r="B713" s="768" t="s">
        <v>219</v>
      </c>
      <c r="C713" s="720">
        <v>319400</v>
      </c>
      <c r="D713" s="698">
        <f t="shared" si="80"/>
        <v>322795</v>
      </c>
      <c r="E713" s="698">
        <f t="shared" si="87"/>
        <v>322795</v>
      </c>
      <c r="F713" s="699">
        <f t="shared" si="84"/>
        <v>100</v>
      </c>
      <c r="G713" s="720">
        <f>319400-3100+10620-8800+1472-2400+5603</f>
        <v>322795</v>
      </c>
      <c r="H713" s="698">
        <v>322795</v>
      </c>
      <c r="I713" s="744">
        <f t="shared" si="82"/>
        <v>100</v>
      </c>
      <c r="J713" s="703"/>
      <c r="K713" s="698"/>
      <c r="L713" s="704"/>
      <c r="M713" s="698"/>
      <c r="N713" s="698"/>
      <c r="O713" s="766"/>
      <c r="P713" s="720"/>
      <c r="Q713" s="698"/>
      <c r="R713" s="770"/>
    </row>
    <row r="714" spans="1:18" ht="24">
      <c r="A714" s="764">
        <v>4350</v>
      </c>
      <c r="B714" s="768" t="s">
        <v>544</v>
      </c>
      <c r="C714" s="720">
        <v>8500</v>
      </c>
      <c r="D714" s="698">
        <f t="shared" si="80"/>
        <v>7324</v>
      </c>
      <c r="E714" s="698">
        <f t="shared" si="87"/>
        <v>7232</v>
      </c>
      <c r="F714" s="699">
        <f t="shared" si="84"/>
        <v>98.74385581649372</v>
      </c>
      <c r="G714" s="720">
        <f>8500-164-900-112</f>
        <v>7324</v>
      </c>
      <c r="H714" s="698">
        <v>7232</v>
      </c>
      <c r="I714" s="744">
        <f t="shared" si="82"/>
        <v>98.74385581649372</v>
      </c>
      <c r="J714" s="703"/>
      <c r="K714" s="698"/>
      <c r="L714" s="704"/>
      <c r="M714" s="698"/>
      <c r="N714" s="698"/>
      <c r="O714" s="766"/>
      <c r="P714" s="720"/>
      <c r="Q714" s="698"/>
      <c r="R714" s="770"/>
    </row>
    <row r="715" spans="1:18" ht="38.25" customHeight="1">
      <c r="A715" s="764">
        <v>4360</v>
      </c>
      <c r="B715" s="828" t="s">
        <v>682</v>
      </c>
      <c r="C715" s="720">
        <v>2400</v>
      </c>
      <c r="D715" s="698">
        <f t="shared" si="80"/>
        <v>1567</v>
      </c>
      <c r="E715" s="698">
        <f>SUM(H715+K715+N715+Q715)</f>
        <v>1557</v>
      </c>
      <c r="F715" s="699">
        <f>E715/D715*100</f>
        <v>99.36183790682833</v>
      </c>
      <c r="G715" s="720">
        <f>2400-143-690</f>
        <v>1567</v>
      </c>
      <c r="H715" s="698">
        <v>1557</v>
      </c>
      <c r="I715" s="744">
        <f t="shared" si="82"/>
        <v>99.36183790682833</v>
      </c>
      <c r="J715" s="703"/>
      <c r="K715" s="698"/>
      <c r="L715" s="704"/>
      <c r="M715" s="698"/>
      <c r="N715" s="698"/>
      <c r="O715" s="766"/>
      <c r="P715" s="720"/>
      <c r="Q715" s="698"/>
      <c r="R715" s="770"/>
    </row>
    <row r="716" spans="1:18" ht="37.5" customHeight="1">
      <c r="A716" s="764">
        <v>4370</v>
      </c>
      <c r="B716" s="828" t="s">
        <v>635</v>
      </c>
      <c r="C716" s="720">
        <v>46500</v>
      </c>
      <c r="D716" s="698">
        <f t="shared" si="80"/>
        <v>33630</v>
      </c>
      <c r="E716" s="698">
        <f>SUM(H716+K716+N716+Q716)</f>
        <v>32182</v>
      </c>
      <c r="F716" s="699">
        <f>E716/D716*100</f>
        <v>95.69432054713054</v>
      </c>
      <c r="G716" s="720">
        <f>46500-1700-4200-4400-2570</f>
        <v>33630</v>
      </c>
      <c r="H716" s="698">
        <v>32182</v>
      </c>
      <c r="I716" s="744">
        <f t="shared" si="82"/>
        <v>95.69432054713054</v>
      </c>
      <c r="J716" s="703"/>
      <c r="K716" s="698"/>
      <c r="L716" s="704"/>
      <c r="M716" s="698"/>
      <c r="N716" s="698"/>
      <c r="O716" s="766"/>
      <c r="P716" s="720"/>
      <c r="Q716" s="698"/>
      <c r="R716" s="770"/>
    </row>
    <row r="717" spans="1:18" ht="38.25" customHeight="1">
      <c r="A717" s="764">
        <v>4390</v>
      </c>
      <c r="B717" s="768" t="s">
        <v>243</v>
      </c>
      <c r="C717" s="720">
        <v>33900</v>
      </c>
      <c r="D717" s="698">
        <f t="shared" si="80"/>
        <v>30134</v>
      </c>
      <c r="E717" s="698">
        <f>SUM(H717+K717+N717+Q717)</f>
        <v>30117</v>
      </c>
      <c r="F717" s="699">
        <f>E717/D717*100</f>
        <v>99.94358531890887</v>
      </c>
      <c r="G717" s="720">
        <f>33900-920+3850-3140-3556</f>
        <v>30134</v>
      </c>
      <c r="H717" s="698">
        <v>30117</v>
      </c>
      <c r="I717" s="744">
        <f t="shared" si="82"/>
        <v>99.94358531890887</v>
      </c>
      <c r="J717" s="703"/>
      <c r="K717" s="698"/>
      <c r="L717" s="704"/>
      <c r="M717" s="698"/>
      <c r="N717" s="698"/>
      <c r="O717" s="766"/>
      <c r="P717" s="720"/>
      <c r="Q717" s="698"/>
      <c r="R717" s="770"/>
    </row>
    <row r="718" spans="1:18" ht="13.5" customHeight="1">
      <c r="A718" s="764">
        <v>4410</v>
      </c>
      <c r="B718" s="768" t="s">
        <v>193</v>
      </c>
      <c r="C718" s="720">
        <v>25400</v>
      </c>
      <c r="D718" s="698">
        <f t="shared" si="80"/>
        <v>28290</v>
      </c>
      <c r="E718" s="698">
        <f t="shared" si="87"/>
        <v>28274</v>
      </c>
      <c r="F718" s="699">
        <f t="shared" si="84"/>
        <v>99.94344291268999</v>
      </c>
      <c r="G718" s="720">
        <f>25400+2000+200-250+940</f>
        <v>28290</v>
      </c>
      <c r="H718" s="698">
        <v>28274</v>
      </c>
      <c r="I718" s="744">
        <f t="shared" si="82"/>
        <v>99.94344291268999</v>
      </c>
      <c r="J718" s="703"/>
      <c r="K718" s="698"/>
      <c r="L718" s="704"/>
      <c r="M718" s="698"/>
      <c r="N718" s="698"/>
      <c r="O718" s="766"/>
      <c r="P718" s="720"/>
      <c r="Q718" s="698"/>
      <c r="R718" s="770"/>
    </row>
    <row r="719" spans="1:18" ht="18" customHeight="1">
      <c r="A719" s="764">
        <v>4420</v>
      </c>
      <c r="B719" s="768" t="s">
        <v>560</v>
      </c>
      <c r="C719" s="720"/>
      <c r="D719" s="698">
        <f t="shared" si="80"/>
        <v>570</v>
      </c>
      <c r="E719" s="698">
        <f t="shared" si="87"/>
        <v>570</v>
      </c>
      <c r="F719" s="699">
        <f t="shared" si="84"/>
        <v>100</v>
      </c>
      <c r="G719" s="720">
        <v>570</v>
      </c>
      <c r="H719" s="698">
        <v>570</v>
      </c>
      <c r="I719" s="744">
        <f t="shared" si="82"/>
        <v>100</v>
      </c>
      <c r="J719" s="703"/>
      <c r="K719" s="698"/>
      <c r="L719" s="704"/>
      <c r="M719" s="698"/>
      <c r="N719" s="698"/>
      <c r="O719" s="766"/>
      <c r="P719" s="720"/>
      <c r="Q719" s="698"/>
      <c r="R719" s="770"/>
    </row>
    <row r="720" spans="1:18" ht="12.75">
      <c r="A720" s="764">
        <v>4430</v>
      </c>
      <c r="B720" s="768" t="s">
        <v>221</v>
      </c>
      <c r="C720" s="720">
        <v>600</v>
      </c>
      <c r="D720" s="698">
        <f t="shared" si="80"/>
        <v>342</v>
      </c>
      <c r="E720" s="698">
        <f>SUM(H720+K720+N720+Q720)</f>
        <v>273</v>
      </c>
      <c r="F720" s="699">
        <f>E720/D720*100</f>
        <v>79.82456140350878</v>
      </c>
      <c r="G720" s="720">
        <f>600-258</f>
        <v>342</v>
      </c>
      <c r="H720" s="698">
        <v>273</v>
      </c>
      <c r="I720" s="744">
        <f t="shared" si="82"/>
        <v>79.82456140350878</v>
      </c>
      <c r="J720" s="703"/>
      <c r="K720" s="698"/>
      <c r="L720" s="704"/>
      <c r="M720" s="698"/>
      <c r="N720" s="698"/>
      <c r="O720" s="766"/>
      <c r="P720" s="720"/>
      <c r="Q720" s="698"/>
      <c r="R720" s="770"/>
    </row>
    <row r="721" spans="1:18" ht="12.75">
      <c r="A721" s="764">
        <v>4440</v>
      </c>
      <c r="B721" s="768" t="s">
        <v>223</v>
      </c>
      <c r="C721" s="720">
        <v>838100</v>
      </c>
      <c r="D721" s="698">
        <f t="shared" si="80"/>
        <v>865642</v>
      </c>
      <c r="E721" s="698">
        <f>SUM(H721+K721+N721+Q721)</f>
        <v>865642</v>
      </c>
      <c r="F721" s="699">
        <f>E721/D721*100</f>
        <v>100</v>
      </c>
      <c r="G721" s="720">
        <f>838100+25378+3390+140-1366</f>
        <v>865642</v>
      </c>
      <c r="H721" s="698">
        <v>865642</v>
      </c>
      <c r="I721" s="744">
        <f t="shared" si="82"/>
        <v>100</v>
      </c>
      <c r="J721" s="703"/>
      <c r="K721" s="698"/>
      <c r="L721" s="704"/>
      <c r="M721" s="698"/>
      <c r="N721" s="698"/>
      <c r="O721" s="766"/>
      <c r="P721" s="720"/>
      <c r="Q721" s="698"/>
      <c r="R721" s="770"/>
    </row>
    <row r="722" spans="1:20" s="756" customFormat="1" ht="39" customHeight="1">
      <c r="A722" s="764">
        <v>4700</v>
      </c>
      <c r="B722" s="828" t="s">
        <v>550</v>
      </c>
      <c r="C722" s="720">
        <v>22000</v>
      </c>
      <c r="D722" s="698">
        <f t="shared" si="80"/>
        <v>22560</v>
      </c>
      <c r="E722" s="698">
        <f t="shared" si="87"/>
        <v>22274</v>
      </c>
      <c r="F722" s="699">
        <f t="shared" si="84"/>
        <v>98.73226950354609</v>
      </c>
      <c r="G722" s="720">
        <f>22000-340-20+920</f>
        <v>22560</v>
      </c>
      <c r="H722" s="698">
        <v>22274</v>
      </c>
      <c r="I722" s="744">
        <f t="shared" si="82"/>
        <v>98.73226950354609</v>
      </c>
      <c r="J722" s="703"/>
      <c r="K722" s="698"/>
      <c r="L722" s="704"/>
      <c r="M722" s="698"/>
      <c r="N722" s="698"/>
      <c r="O722" s="766"/>
      <c r="P722" s="720"/>
      <c r="Q722" s="698"/>
      <c r="R722" s="770"/>
      <c r="S722" s="682"/>
      <c r="T722" s="682"/>
    </row>
    <row r="723" spans="1:20" s="756" customFormat="1" ht="50.25" customHeight="1">
      <c r="A723" s="764">
        <v>4740</v>
      </c>
      <c r="B723" s="828" t="s">
        <v>235</v>
      </c>
      <c r="C723" s="720">
        <v>20600</v>
      </c>
      <c r="D723" s="698">
        <f t="shared" si="80"/>
        <v>17034</v>
      </c>
      <c r="E723" s="698">
        <f>SUM(H723+K723+N723+Q723)</f>
        <v>16335</v>
      </c>
      <c r="F723" s="699">
        <f>E723/D723*100</f>
        <v>95.89644240929906</v>
      </c>
      <c r="G723" s="720">
        <f>20600-1500-566-1500</f>
        <v>17034</v>
      </c>
      <c r="H723" s="698">
        <v>16335</v>
      </c>
      <c r="I723" s="744">
        <f t="shared" si="82"/>
        <v>95.89644240929906</v>
      </c>
      <c r="J723" s="703"/>
      <c r="K723" s="698"/>
      <c r="L723" s="704"/>
      <c r="M723" s="698"/>
      <c r="N723" s="698"/>
      <c r="O723" s="766"/>
      <c r="P723" s="720"/>
      <c r="Q723" s="698"/>
      <c r="R723" s="770"/>
      <c r="S723" s="682"/>
      <c r="T723" s="682"/>
    </row>
    <row r="724" spans="1:20" s="756" customFormat="1" ht="36">
      <c r="A724" s="764">
        <v>4750</v>
      </c>
      <c r="B724" s="828" t="s">
        <v>551</v>
      </c>
      <c r="C724" s="720">
        <v>39600</v>
      </c>
      <c r="D724" s="698">
        <f t="shared" si="80"/>
        <v>43773</v>
      </c>
      <c r="E724" s="698">
        <f>SUM(H724+K724+N724+Q724)</f>
        <v>42852</v>
      </c>
      <c r="F724" s="699">
        <f>E724/D724*100</f>
        <v>97.89596326502638</v>
      </c>
      <c r="G724" s="720">
        <f>39600+3100+1643-570</f>
        <v>43773</v>
      </c>
      <c r="H724" s="698">
        <v>42852</v>
      </c>
      <c r="I724" s="744">
        <f t="shared" si="82"/>
        <v>97.89596326502638</v>
      </c>
      <c r="J724" s="703"/>
      <c r="K724" s="698"/>
      <c r="L724" s="704"/>
      <c r="M724" s="698"/>
      <c r="N724" s="698"/>
      <c r="O724" s="766"/>
      <c r="P724" s="720"/>
      <c r="Q724" s="698"/>
      <c r="R724" s="770"/>
      <c r="S724" s="682"/>
      <c r="T724" s="682"/>
    </row>
    <row r="725" spans="1:20" s="756" customFormat="1" ht="51.75" customHeight="1">
      <c r="A725" s="764">
        <v>6050</v>
      </c>
      <c r="B725" s="768" t="s">
        <v>443</v>
      </c>
      <c r="C725" s="720">
        <v>570900</v>
      </c>
      <c r="D725" s="698">
        <f t="shared" si="80"/>
        <v>688237</v>
      </c>
      <c r="E725" s="698">
        <f t="shared" si="87"/>
        <v>688205</v>
      </c>
      <c r="F725" s="699">
        <f t="shared" si="84"/>
        <v>99.99535043887498</v>
      </c>
      <c r="G725" s="720">
        <f>570900+6000+537+9600+100000+1200</f>
        <v>688237</v>
      </c>
      <c r="H725" s="698">
        <v>688205</v>
      </c>
      <c r="I725" s="744">
        <f t="shared" si="82"/>
        <v>99.99535043887498</v>
      </c>
      <c r="J725" s="703"/>
      <c r="K725" s="698"/>
      <c r="L725" s="704"/>
      <c r="M725" s="698"/>
      <c r="N725" s="698"/>
      <c r="O725" s="766"/>
      <c r="P725" s="720"/>
      <c r="Q725" s="698"/>
      <c r="R725" s="770"/>
      <c r="S725" s="682"/>
      <c r="T725" s="682"/>
    </row>
    <row r="726" spans="1:20" s="756" customFormat="1" ht="39.75" customHeight="1">
      <c r="A726" s="764">
        <v>6060</v>
      </c>
      <c r="B726" s="768" t="s">
        <v>593</v>
      </c>
      <c r="C726" s="720">
        <v>4000</v>
      </c>
      <c r="D726" s="698">
        <f t="shared" si="80"/>
        <v>0</v>
      </c>
      <c r="E726" s="698">
        <f>SUM(H726+K726+N726+Q726)</f>
        <v>0</v>
      </c>
      <c r="F726" s="699"/>
      <c r="G726" s="720">
        <f>4000-4000</f>
        <v>0</v>
      </c>
      <c r="H726" s="698"/>
      <c r="I726" s="744"/>
      <c r="J726" s="703"/>
      <c r="K726" s="698"/>
      <c r="L726" s="704"/>
      <c r="M726" s="698"/>
      <c r="N726" s="698"/>
      <c r="O726" s="766"/>
      <c r="P726" s="720"/>
      <c r="Q726" s="698"/>
      <c r="R726" s="770"/>
      <c r="S726" s="682"/>
      <c r="T726" s="682"/>
    </row>
    <row r="727" spans="1:20" s="818" customFormat="1" ht="12.75">
      <c r="A727" s="757">
        <v>80111</v>
      </c>
      <c r="B727" s="852" t="s">
        <v>720</v>
      </c>
      <c r="C727" s="725">
        <f>SUM(C728:C748)</f>
        <v>2570400</v>
      </c>
      <c r="D727" s="712">
        <f t="shared" si="80"/>
        <v>2713745</v>
      </c>
      <c r="E727" s="712">
        <f>H727+K727+Q727+N727</f>
        <v>2710864</v>
      </c>
      <c r="F727" s="713">
        <f t="shared" si="84"/>
        <v>99.89383674589912</v>
      </c>
      <c r="G727" s="873"/>
      <c r="H727" s="874"/>
      <c r="I727" s="955"/>
      <c r="J727" s="875"/>
      <c r="K727" s="874"/>
      <c r="L727" s="876"/>
      <c r="M727" s="712">
        <f>SUM(M728:M748)</f>
        <v>2713745</v>
      </c>
      <c r="N727" s="712">
        <f>SUM(N728:N748)</f>
        <v>2710864</v>
      </c>
      <c r="O727" s="741">
        <f aca="true" t="shared" si="88" ref="O727:O772">N727/M727*100</f>
        <v>99.89383674589912</v>
      </c>
      <c r="P727" s="725"/>
      <c r="Q727" s="712"/>
      <c r="R727" s="846"/>
      <c r="S727" s="817"/>
      <c r="T727" s="817"/>
    </row>
    <row r="728" spans="1:20" s="818" customFormat="1" ht="36">
      <c r="A728" s="784">
        <v>3020</v>
      </c>
      <c r="B728" s="768" t="s">
        <v>709</v>
      </c>
      <c r="C728" s="723">
        <v>7000</v>
      </c>
      <c r="D728" s="732">
        <f aca="true" t="shared" si="89" ref="D728:D769">G728+J728+P728+M728</f>
        <v>7400</v>
      </c>
      <c r="E728" s="732">
        <f aca="true" t="shared" si="90" ref="E728:E769">SUM(H728+K728+N728+Q728)</f>
        <v>5677</v>
      </c>
      <c r="F728" s="721">
        <f t="shared" si="84"/>
        <v>76.71621621621621</v>
      </c>
      <c r="G728" s="723"/>
      <c r="H728" s="732"/>
      <c r="I728" s="961"/>
      <c r="J728" s="735"/>
      <c r="K728" s="732"/>
      <c r="L728" s="736"/>
      <c r="M728" s="723">
        <f>7000+400</f>
        <v>7400</v>
      </c>
      <c r="N728" s="732">
        <v>5677</v>
      </c>
      <c r="O728" s="786">
        <f t="shared" si="88"/>
        <v>76.71621621621621</v>
      </c>
      <c r="P728" s="723"/>
      <c r="Q728" s="732"/>
      <c r="R728" s="788"/>
      <c r="S728" s="817"/>
      <c r="T728" s="817"/>
    </row>
    <row r="729" spans="1:20" s="818" customFormat="1" ht="26.25" customHeight="1">
      <c r="A729" s="764">
        <v>4010</v>
      </c>
      <c r="B729" s="768" t="s">
        <v>201</v>
      </c>
      <c r="C729" s="720">
        <v>1793700</v>
      </c>
      <c r="D729" s="698">
        <f t="shared" si="89"/>
        <v>1891600</v>
      </c>
      <c r="E729" s="698">
        <f t="shared" si="90"/>
        <v>1891600</v>
      </c>
      <c r="F729" s="699">
        <f t="shared" si="84"/>
        <v>100</v>
      </c>
      <c r="G729" s="720"/>
      <c r="H729" s="698"/>
      <c r="I729" s="948"/>
      <c r="J729" s="703"/>
      <c r="K729" s="698"/>
      <c r="L729" s="704"/>
      <c r="M729" s="720">
        <f>1793700+1890+78000+18010</f>
        <v>1891600</v>
      </c>
      <c r="N729" s="698">
        <v>1891600</v>
      </c>
      <c r="O729" s="744">
        <f t="shared" si="88"/>
        <v>100</v>
      </c>
      <c r="P729" s="720"/>
      <c r="Q729" s="698"/>
      <c r="R729" s="770"/>
      <c r="S729" s="817"/>
      <c r="T729" s="817"/>
    </row>
    <row r="730" spans="1:20" s="818" customFormat="1" ht="24">
      <c r="A730" s="764">
        <v>4040</v>
      </c>
      <c r="B730" s="768" t="s">
        <v>205</v>
      </c>
      <c r="C730" s="720">
        <v>128300</v>
      </c>
      <c r="D730" s="698">
        <f t="shared" si="89"/>
        <v>144280</v>
      </c>
      <c r="E730" s="698">
        <f t="shared" si="90"/>
        <v>144276</v>
      </c>
      <c r="F730" s="699">
        <f t="shared" si="84"/>
        <v>99.99722761297477</v>
      </c>
      <c r="G730" s="720"/>
      <c r="H730" s="698"/>
      <c r="I730" s="948"/>
      <c r="J730" s="703"/>
      <c r="K730" s="698"/>
      <c r="L730" s="704"/>
      <c r="M730" s="720">
        <f>128300+15980</f>
        <v>144280</v>
      </c>
      <c r="N730" s="698">
        <v>144276</v>
      </c>
      <c r="O730" s="744">
        <f t="shared" si="88"/>
        <v>99.99722761297477</v>
      </c>
      <c r="P730" s="720"/>
      <c r="Q730" s="698"/>
      <c r="R730" s="770"/>
      <c r="S730" s="817"/>
      <c r="T730" s="817"/>
    </row>
    <row r="731" spans="1:20" s="818" customFormat="1" ht="27" customHeight="1">
      <c r="A731" s="764">
        <v>4110</v>
      </c>
      <c r="B731" s="768" t="s">
        <v>207</v>
      </c>
      <c r="C731" s="720">
        <v>291900</v>
      </c>
      <c r="D731" s="698">
        <f t="shared" si="89"/>
        <v>305500</v>
      </c>
      <c r="E731" s="698">
        <f t="shared" si="90"/>
        <v>305500</v>
      </c>
      <c r="F731" s="699">
        <f t="shared" si="84"/>
        <v>100</v>
      </c>
      <c r="G731" s="720"/>
      <c r="H731" s="698"/>
      <c r="I731" s="948"/>
      <c r="J731" s="703"/>
      <c r="K731" s="698"/>
      <c r="L731" s="704"/>
      <c r="M731" s="720">
        <f>291900+260+13340</f>
        <v>305500</v>
      </c>
      <c r="N731" s="698">
        <v>305500</v>
      </c>
      <c r="O731" s="744">
        <f t="shared" si="88"/>
        <v>100</v>
      </c>
      <c r="P731" s="720"/>
      <c r="Q731" s="698"/>
      <c r="R731" s="770"/>
      <c r="S731" s="817"/>
      <c r="T731" s="817"/>
    </row>
    <row r="732" spans="1:20" s="818" customFormat="1" ht="15.75" customHeight="1">
      <c r="A732" s="764">
        <v>4120</v>
      </c>
      <c r="B732" s="768" t="s">
        <v>584</v>
      </c>
      <c r="C732" s="720">
        <v>46800</v>
      </c>
      <c r="D732" s="698">
        <f t="shared" si="89"/>
        <v>46700</v>
      </c>
      <c r="E732" s="698">
        <f t="shared" si="90"/>
        <v>46700</v>
      </c>
      <c r="F732" s="699">
        <f t="shared" si="84"/>
        <v>100</v>
      </c>
      <c r="G732" s="720"/>
      <c r="H732" s="698"/>
      <c r="I732" s="948"/>
      <c r="J732" s="703"/>
      <c r="K732" s="698"/>
      <c r="L732" s="704"/>
      <c r="M732" s="720">
        <f>46800+50-150</f>
        <v>46700</v>
      </c>
      <c r="N732" s="698">
        <v>46700</v>
      </c>
      <c r="O732" s="744">
        <f t="shared" si="88"/>
        <v>100</v>
      </c>
      <c r="P732" s="720"/>
      <c r="Q732" s="698"/>
      <c r="R732" s="770"/>
      <c r="S732" s="817"/>
      <c r="T732" s="817"/>
    </row>
    <row r="733" spans="1:20" s="818" customFormat="1" ht="15.75" customHeight="1">
      <c r="A733" s="764">
        <v>4140</v>
      </c>
      <c r="B733" s="768" t="s">
        <v>283</v>
      </c>
      <c r="C733" s="720">
        <v>3200</v>
      </c>
      <c r="D733" s="698">
        <f t="shared" si="89"/>
        <v>3420</v>
      </c>
      <c r="E733" s="698">
        <f t="shared" si="90"/>
        <v>3420</v>
      </c>
      <c r="F733" s="699">
        <f t="shared" si="84"/>
        <v>100</v>
      </c>
      <c r="G733" s="720"/>
      <c r="H733" s="698"/>
      <c r="I733" s="948"/>
      <c r="J733" s="703"/>
      <c r="K733" s="698"/>
      <c r="L733" s="704"/>
      <c r="M733" s="720">
        <f>3200+220</f>
        <v>3420</v>
      </c>
      <c r="N733" s="698">
        <v>3420</v>
      </c>
      <c r="O733" s="744">
        <f t="shared" si="88"/>
        <v>100</v>
      </c>
      <c r="P733" s="703"/>
      <c r="Q733" s="698"/>
      <c r="R733" s="770"/>
      <c r="S733" s="817"/>
      <c r="T733" s="817"/>
    </row>
    <row r="734" spans="1:20" s="818" customFormat="1" ht="24">
      <c r="A734" s="764">
        <v>4210</v>
      </c>
      <c r="B734" s="768" t="s">
        <v>211</v>
      </c>
      <c r="C734" s="720">
        <v>28000</v>
      </c>
      <c r="D734" s="698">
        <f t="shared" si="89"/>
        <v>29900</v>
      </c>
      <c r="E734" s="698">
        <f t="shared" si="90"/>
        <v>29900</v>
      </c>
      <c r="F734" s="699">
        <f t="shared" si="84"/>
        <v>100</v>
      </c>
      <c r="G734" s="720"/>
      <c r="H734" s="698"/>
      <c r="I734" s="948"/>
      <c r="J734" s="703"/>
      <c r="K734" s="698"/>
      <c r="L734" s="704"/>
      <c r="M734" s="720">
        <f>28000+1000+900</f>
        <v>29900</v>
      </c>
      <c r="N734" s="698">
        <v>29900</v>
      </c>
      <c r="O734" s="744">
        <f t="shared" si="88"/>
        <v>100</v>
      </c>
      <c r="P734" s="698"/>
      <c r="Q734" s="698"/>
      <c r="R734" s="770"/>
      <c r="S734" s="817"/>
      <c r="T734" s="817"/>
    </row>
    <row r="735" spans="1:20" s="818" customFormat="1" ht="24.75" customHeight="1">
      <c r="A735" s="764">
        <v>4240</v>
      </c>
      <c r="B735" s="768" t="s">
        <v>721</v>
      </c>
      <c r="C735" s="720">
        <v>4000</v>
      </c>
      <c r="D735" s="698">
        <f t="shared" si="89"/>
        <v>4000</v>
      </c>
      <c r="E735" s="698">
        <f t="shared" si="90"/>
        <v>4000</v>
      </c>
      <c r="F735" s="699">
        <f t="shared" si="84"/>
        <v>100</v>
      </c>
      <c r="G735" s="720"/>
      <c r="H735" s="698"/>
      <c r="I735" s="948"/>
      <c r="J735" s="703"/>
      <c r="K735" s="698"/>
      <c r="L735" s="704"/>
      <c r="M735" s="720">
        <v>4000</v>
      </c>
      <c r="N735" s="698">
        <v>4000</v>
      </c>
      <c r="O735" s="744">
        <f t="shared" si="88"/>
        <v>100</v>
      </c>
      <c r="P735" s="698"/>
      <c r="Q735" s="698"/>
      <c r="R735" s="770"/>
      <c r="S735" s="817"/>
      <c r="T735" s="817"/>
    </row>
    <row r="736" spans="1:20" s="818" customFormat="1" ht="18.75" customHeight="1">
      <c r="A736" s="764">
        <v>4260</v>
      </c>
      <c r="B736" s="768" t="s">
        <v>215</v>
      </c>
      <c r="C736" s="720">
        <v>97800</v>
      </c>
      <c r="D736" s="698">
        <f t="shared" si="89"/>
        <v>106000</v>
      </c>
      <c r="E736" s="698">
        <f t="shared" si="90"/>
        <v>106000</v>
      </c>
      <c r="F736" s="699">
        <f t="shared" si="84"/>
        <v>100</v>
      </c>
      <c r="G736" s="720"/>
      <c r="H736" s="698"/>
      <c r="I736" s="948"/>
      <c r="J736" s="703"/>
      <c r="K736" s="698"/>
      <c r="L736" s="704"/>
      <c r="M736" s="720">
        <f>97800+4000+4200</f>
        <v>106000</v>
      </c>
      <c r="N736" s="698">
        <v>106000</v>
      </c>
      <c r="O736" s="744">
        <f t="shared" si="88"/>
        <v>100</v>
      </c>
      <c r="P736" s="698"/>
      <c r="Q736" s="698"/>
      <c r="R736" s="770"/>
      <c r="S736" s="817"/>
      <c r="T736" s="817"/>
    </row>
    <row r="737" spans="1:20" s="818" customFormat="1" ht="16.5" customHeight="1">
      <c r="A737" s="764">
        <v>4270</v>
      </c>
      <c r="B737" s="768" t="s">
        <v>217</v>
      </c>
      <c r="C737" s="720">
        <v>4200</v>
      </c>
      <c r="D737" s="698">
        <f t="shared" si="89"/>
        <v>4200</v>
      </c>
      <c r="E737" s="698">
        <f t="shared" si="90"/>
        <v>4200</v>
      </c>
      <c r="F737" s="699">
        <f t="shared" si="84"/>
        <v>100</v>
      </c>
      <c r="G737" s="720"/>
      <c r="H737" s="698"/>
      <c r="I737" s="948"/>
      <c r="J737" s="703"/>
      <c r="K737" s="698"/>
      <c r="L737" s="704"/>
      <c r="M737" s="720">
        <v>4200</v>
      </c>
      <c r="N737" s="698">
        <v>4200</v>
      </c>
      <c r="O737" s="744">
        <f t="shared" si="88"/>
        <v>100</v>
      </c>
      <c r="P737" s="698"/>
      <c r="Q737" s="698"/>
      <c r="R737" s="770"/>
      <c r="S737" s="817"/>
      <c r="T737" s="817"/>
    </row>
    <row r="738" spans="1:20" s="818" customFormat="1" ht="16.5" customHeight="1">
      <c r="A738" s="764">
        <v>4280</v>
      </c>
      <c r="B738" s="768" t="s">
        <v>542</v>
      </c>
      <c r="C738" s="720">
        <v>2100</v>
      </c>
      <c r="D738" s="698">
        <f t="shared" si="89"/>
        <v>1820</v>
      </c>
      <c r="E738" s="698">
        <f t="shared" si="90"/>
        <v>1820</v>
      </c>
      <c r="F738" s="699">
        <f t="shared" si="84"/>
        <v>100</v>
      </c>
      <c r="G738" s="720"/>
      <c r="H738" s="698"/>
      <c r="I738" s="948"/>
      <c r="J738" s="703"/>
      <c r="K738" s="698"/>
      <c r="L738" s="704"/>
      <c r="M738" s="720">
        <f>2100-280</f>
        <v>1820</v>
      </c>
      <c r="N738" s="698">
        <v>1820</v>
      </c>
      <c r="O738" s="744">
        <f t="shared" si="88"/>
        <v>100</v>
      </c>
      <c r="P738" s="698"/>
      <c r="Q738" s="698"/>
      <c r="R738" s="770"/>
      <c r="S738" s="817"/>
      <c r="T738" s="817"/>
    </row>
    <row r="739" spans="1:20" s="818" customFormat="1" ht="17.25" customHeight="1">
      <c r="A739" s="764">
        <v>4300</v>
      </c>
      <c r="B739" s="768" t="s">
        <v>219</v>
      </c>
      <c r="C739" s="720">
        <v>53400</v>
      </c>
      <c r="D739" s="698">
        <f t="shared" si="89"/>
        <v>53400</v>
      </c>
      <c r="E739" s="698">
        <f t="shared" si="90"/>
        <v>53400</v>
      </c>
      <c r="F739" s="699">
        <f t="shared" si="84"/>
        <v>100</v>
      </c>
      <c r="G739" s="720"/>
      <c r="H739" s="698"/>
      <c r="I739" s="948"/>
      <c r="J739" s="703"/>
      <c r="K739" s="698"/>
      <c r="L739" s="704"/>
      <c r="M739" s="720">
        <v>53400</v>
      </c>
      <c r="N739" s="698">
        <v>53400</v>
      </c>
      <c r="O739" s="744">
        <f t="shared" si="88"/>
        <v>100</v>
      </c>
      <c r="P739" s="698"/>
      <c r="Q739" s="698"/>
      <c r="R739" s="770"/>
      <c r="S739" s="817"/>
      <c r="T739" s="817"/>
    </row>
    <row r="740" spans="1:20" s="818" customFormat="1" ht="24">
      <c r="A740" s="764">
        <v>4350</v>
      </c>
      <c r="B740" s="768" t="s">
        <v>544</v>
      </c>
      <c r="C740" s="720">
        <v>1100</v>
      </c>
      <c r="D740" s="698">
        <f t="shared" si="89"/>
        <v>1200</v>
      </c>
      <c r="E740" s="698">
        <f t="shared" si="90"/>
        <v>1200</v>
      </c>
      <c r="F740" s="699">
        <f t="shared" si="84"/>
        <v>100</v>
      </c>
      <c r="G740" s="720"/>
      <c r="H740" s="698"/>
      <c r="I740" s="948"/>
      <c r="J740" s="703"/>
      <c r="K740" s="698"/>
      <c r="L740" s="704"/>
      <c r="M740" s="720">
        <f>1100+100</f>
        <v>1200</v>
      </c>
      <c r="N740" s="698">
        <v>1200</v>
      </c>
      <c r="O740" s="744">
        <f t="shared" si="88"/>
        <v>100</v>
      </c>
      <c r="P740" s="698"/>
      <c r="Q740" s="698"/>
      <c r="R740" s="770"/>
      <c r="S740" s="817"/>
      <c r="T740" s="817"/>
    </row>
    <row r="741" spans="1:20" s="818" customFormat="1" ht="36.75" customHeight="1">
      <c r="A741" s="764">
        <v>4360</v>
      </c>
      <c r="B741" s="828" t="s">
        <v>682</v>
      </c>
      <c r="C741" s="720">
        <v>400</v>
      </c>
      <c r="D741" s="698">
        <f t="shared" si="89"/>
        <v>450</v>
      </c>
      <c r="E741" s="698">
        <f>SUM(H741+K741+N741+Q741)</f>
        <v>447</v>
      </c>
      <c r="F741" s="699">
        <f>E741/D741*100</f>
        <v>99.33333333333333</v>
      </c>
      <c r="G741" s="720"/>
      <c r="H741" s="698"/>
      <c r="I741" s="948"/>
      <c r="J741" s="703"/>
      <c r="K741" s="698"/>
      <c r="L741" s="704"/>
      <c r="M741" s="720">
        <f>400+50</f>
        <v>450</v>
      </c>
      <c r="N741" s="698">
        <v>447</v>
      </c>
      <c r="O741" s="744">
        <f t="shared" si="88"/>
        <v>99.33333333333333</v>
      </c>
      <c r="P741" s="698"/>
      <c r="Q741" s="698"/>
      <c r="R741" s="770"/>
      <c r="S741" s="817"/>
      <c r="T741" s="817"/>
    </row>
    <row r="742" spans="1:20" s="818" customFormat="1" ht="36.75" customHeight="1">
      <c r="A742" s="764">
        <v>4370</v>
      </c>
      <c r="B742" s="828" t="s">
        <v>635</v>
      </c>
      <c r="C742" s="720">
        <v>2300</v>
      </c>
      <c r="D742" s="698">
        <f t="shared" si="89"/>
        <v>2300</v>
      </c>
      <c r="E742" s="698">
        <f>SUM(H742+K742+N742+Q742)</f>
        <v>1902</v>
      </c>
      <c r="F742" s="699">
        <f>E742/D742*100</f>
        <v>82.69565217391305</v>
      </c>
      <c r="G742" s="720"/>
      <c r="H742" s="698"/>
      <c r="I742" s="948"/>
      <c r="J742" s="703"/>
      <c r="K742" s="698"/>
      <c r="L742" s="704"/>
      <c r="M742" s="720">
        <v>2300</v>
      </c>
      <c r="N742" s="698">
        <v>1902</v>
      </c>
      <c r="O742" s="744">
        <f t="shared" si="88"/>
        <v>82.69565217391305</v>
      </c>
      <c r="P742" s="698"/>
      <c r="Q742" s="698"/>
      <c r="R742" s="770"/>
      <c r="S742" s="817"/>
      <c r="T742" s="817"/>
    </row>
    <row r="743" spans="1:20" s="818" customFormat="1" ht="39" customHeight="1">
      <c r="A743" s="764">
        <v>4390</v>
      </c>
      <c r="B743" s="768" t="s">
        <v>243</v>
      </c>
      <c r="C743" s="720">
        <v>4000</v>
      </c>
      <c r="D743" s="698">
        <f t="shared" si="89"/>
        <v>3600</v>
      </c>
      <c r="E743" s="698">
        <f>SUM(H743+K743+N743+Q743)</f>
        <v>3467</v>
      </c>
      <c r="F743" s="699">
        <f>E743/D743*100</f>
        <v>96.30555555555556</v>
      </c>
      <c r="G743" s="720"/>
      <c r="H743" s="698"/>
      <c r="I743" s="948"/>
      <c r="J743" s="703"/>
      <c r="K743" s="698"/>
      <c r="L743" s="704"/>
      <c r="M743" s="720">
        <f>4000-400</f>
        <v>3600</v>
      </c>
      <c r="N743" s="698">
        <f>3466+1</f>
        <v>3467</v>
      </c>
      <c r="O743" s="744">
        <f t="shared" si="88"/>
        <v>96.30555555555556</v>
      </c>
      <c r="P743" s="698"/>
      <c r="Q743" s="698"/>
      <c r="R743" s="770"/>
      <c r="S743" s="817"/>
      <c r="T743" s="817"/>
    </row>
    <row r="744" spans="1:20" s="818" customFormat="1" ht="18.75" customHeight="1">
      <c r="A744" s="764">
        <v>4410</v>
      </c>
      <c r="B744" s="768" t="s">
        <v>193</v>
      </c>
      <c r="C744" s="720">
        <v>1700</v>
      </c>
      <c r="D744" s="698">
        <f t="shared" si="89"/>
        <v>650</v>
      </c>
      <c r="E744" s="698">
        <f t="shared" si="90"/>
        <v>650</v>
      </c>
      <c r="F744" s="699">
        <f t="shared" si="84"/>
        <v>100</v>
      </c>
      <c r="G744" s="720"/>
      <c r="H744" s="698"/>
      <c r="I744" s="948"/>
      <c r="J744" s="703"/>
      <c r="K744" s="698"/>
      <c r="L744" s="704"/>
      <c r="M744" s="720">
        <f>1700-100-950</f>
        <v>650</v>
      </c>
      <c r="N744" s="698">
        <v>650</v>
      </c>
      <c r="O744" s="744">
        <f t="shared" si="88"/>
        <v>100</v>
      </c>
      <c r="P744" s="698"/>
      <c r="Q744" s="698"/>
      <c r="R744" s="770"/>
      <c r="S744" s="817"/>
      <c r="T744" s="817"/>
    </row>
    <row r="745" spans="1:20" s="818" customFormat="1" ht="12.75">
      <c r="A745" s="764">
        <v>4440</v>
      </c>
      <c r="B745" s="828" t="s">
        <v>223</v>
      </c>
      <c r="C745" s="720">
        <v>92900</v>
      </c>
      <c r="D745" s="698">
        <f t="shared" si="89"/>
        <v>99725</v>
      </c>
      <c r="E745" s="698">
        <f t="shared" si="90"/>
        <v>99725</v>
      </c>
      <c r="F745" s="699">
        <f t="shared" si="84"/>
        <v>100</v>
      </c>
      <c r="G745" s="720"/>
      <c r="H745" s="698"/>
      <c r="I745" s="948"/>
      <c r="J745" s="703"/>
      <c r="K745" s="698"/>
      <c r="L745" s="704"/>
      <c r="M745" s="720">
        <f>92900+3187+3638</f>
        <v>99725</v>
      </c>
      <c r="N745" s="698">
        <v>99725</v>
      </c>
      <c r="O745" s="744">
        <f t="shared" si="88"/>
        <v>100</v>
      </c>
      <c r="P745" s="698"/>
      <c r="Q745" s="698"/>
      <c r="R745" s="770"/>
      <c r="S745" s="817"/>
      <c r="T745" s="817"/>
    </row>
    <row r="746" spans="1:20" s="818" customFormat="1" ht="39" customHeight="1">
      <c r="A746" s="764">
        <v>4700</v>
      </c>
      <c r="B746" s="828" t="s">
        <v>550</v>
      </c>
      <c r="C746" s="720">
        <v>2300</v>
      </c>
      <c r="D746" s="698">
        <f t="shared" si="89"/>
        <v>2300</v>
      </c>
      <c r="E746" s="698">
        <f>SUM(H746+K746+N746+Q746)</f>
        <v>1680</v>
      </c>
      <c r="F746" s="699">
        <f>E746/D746*100</f>
        <v>73.04347826086956</v>
      </c>
      <c r="G746" s="720"/>
      <c r="H746" s="698"/>
      <c r="I746" s="948"/>
      <c r="J746" s="703"/>
      <c r="K746" s="698"/>
      <c r="L746" s="704"/>
      <c r="M746" s="720">
        <v>2300</v>
      </c>
      <c r="N746" s="698">
        <v>1680</v>
      </c>
      <c r="O746" s="744">
        <f t="shared" si="88"/>
        <v>73.04347826086956</v>
      </c>
      <c r="P746" s="698"/>
      <c r="Q746" s="698"/>
      <c r="R746" s="770"/>
      <c r="S746" s="817"/>
      <c r="T746" s="817"/>
    </row>
    <row r="747" spans="1:20" s="818" customFormat="1" ht="51" customHeight="1">
      <c r="A747" s="764">
        <v>4740</v>
      </c>
      <c r="B747" s="828" t="s">
        <v>235</v>
      </c>
      <c r="C747" s="720">
        <v>1500</v>
      </c>
      <c r="D747" s="698">
        <f t="shared" si="89"/>
        <v>1500</v>
      </c>
      <c r="E747" s="698">
        <f>SUM(H747+K747+N747+Q747)</f>
        <v>1500</v>
      </c>
      <c r="F747" s="699">
        <f>E747/D747*100</f>
        <v>100</v>
      </c>
      <c r="G747" s="720"/>
      <c r="H747" s="698"/>
      <c r="I747" s="948"/>
      <c r="J747" s="703"/>
      <c r="K747" s="698"/>
      <c r="L747" s="704"/>
      <c r="M747" s="720">
        <v>1500</v>
      </c>
      <c r="N747" s="698">
        <v>1500</v>
      </c>
      <c r="O747" s="744">
        <f t="shared" si="88"/>
        <v>100</v>
      </c>
      <c r="P747" s="698"/>
      <c r="Q747" s="698"/>
      <c r="R747" s="770"/>
      <c r="S747" s="817"/>
      <c r="T747" s="817"/>
    </row>
    <row r="748" spans="1:20" s="818" customFormat="1" ht="36">
      <c r="A748" s="764">
        <v>4750</v>
      </c>
      <c r="B748" s="828" t="s">
        <v>551</v>
      </c>
      <c r="C748" s="720">
        <v>3800</v>
      </c>
      <c r="D748" s="698">
        <f t="shared" si="89"/>
        <v>3800</v>
      </c>
      <c r="E748" s="698">
        <f t="shared" si="90"/>
        <v>3800</v>
      </c>
      <c r="F748" s="699">
        <f aca="true" t="shared" si="91" ref="F748:F811">E748/D748*100</f>
        <v>100</v>
      </c>
      <c r="G748" s="720"/>
      <c r="H748" s="698"/>
      <c r="I748" s="948"/>
      <c r="J748" s="703"/>
      <c r="K748" s="698"/>
      <c r="L748" s="704"/>
      <c r="M748" s="720">
        <v>3800</v>
      </c>
      <c r="N748" s="698">
        <v>3800</v>
      </c>
      <c r="O748" s="744">
        <f t="shared" si="88"/>
        <v>100</v>
      </c>
      <c r="P748" s="698"/>
      <c r="Q748" s="698"/>
      <c r="R748" s="770"/>
      <c r="S748" s="817"/>
      <c r="T748" s="817"/>
    </row>
    <row r="749" spans="1:20" s="818" customFormat="1" ht="48">
      <c r="A749" s="757">
        <v>80114</v>
      </c>
      <c r="B749" s="852" t="s">
        <v>722</v>
      </c>
      <c r="C749" s="725">
        <f>SUM(C750:C769)</f>
        <v>1394700</v>
      </c>
      <c r="D749" s="712">
        <f t="shared" si="89"/>
        <v>1676264</v>
      </c>
      <c r="E749" s="712">
        <f t="shared" si="90"/>
        <v>1673767</v>
      </c>
      <c r="F749" s="726">
        <f t="shared" si="91"/>
        <v>99.85103778402447</v>
      </c>
      <c r="G749" s="725">
        <f>SUM(G750:G769)</f>
        <v>1676264</v>
      </c>
      <c r="H749" s="712">
        <f>SUM(H750:H769)</f>
        <v>1673767</v>
      </c>
      <c r="I749" s="962">
        <f>H749/G749*100</f>
        <v>99.85103778402447</v>
      </c>
      <c r="J749" s="717"/>
      <c r="K749" s="712"/>
      <c r="L749" s="718"/>
      <c r="M749" s="725"/>
      <c r="N749" s="712"/>
      <c r="O749" s="925"/>
      <c r="P749" s="712"/>
      <c r="Q749" s="712"/>
      <c r="R749" s="802"/>
      <c r="S749" s="817"/>
      <c r="T749" s="817"/>
    </row>
    <row r="750" spans="1:20" s="818" customFormat="1" ht="36">
      <c r="A750" s="764">
        <v>3020</v>
      </c>
      <c r="B750" s="768" t="s">
        <v>709</v>
      </c>
      <c r="C750" s="723">
        <v>500</v>
      </c>
      <c r="D750" s="698">
        <f t="shared" si="89"/>
        <v>500</v>
      </c>
      <c r="E750" s="698">
        <f t="shared" si="90"/>
        <v>450</v>
      </c>
      <c r="F750" s="699">
        <f t="shared" si="91"/>
        <v>90</v>
      </c>
      <c r="G750" s="723">
        <v>500</v>
      </c>
      <c r="H750" s="732">
        <v>450</v>
      </c>
      <c r="I750" s="948">
        <f>H750/G750*100</f>
        <v>90</v>
      </c>
      <c r="J750" s="735"/>
      <c r="K750" s="732"/>
      <c r="L750" s="736"/>
      <c r="M750" s="723"/>
      <c r="N750" s="732"/>
      <c r="O750" s="786"/>
      <c r="P750" s="732"/>
      <c r="Q750" s="732"/>
      <c r="R750" s="788"/>
      <c r="S750" s="817"/>
      <c r="T750" s="817"/>
    </row>
    <row r="751" spans="1:20" s="818" customFormat="1" ht="28.5" customHeight="1">
      <c r="A751" s="764">
        <v>4010</v>
      </c>
      <c r="B751" s="768" t="s">
        <v>673</v>
      </c>
      <c r="C751" s="720">
        <v>677100</v>
      </c>
      <c r="D751" s="698">
        <f t="shared" si="89"/>
        <v>677100</v>
      </c>
      <c r="E751" s="698">
        <f t="shared" si="90"/>
        <v>677100</v>
      </c>
      <c r="F751" s="699">
        <f t="shared" si="91"/>
        <v>100</v>
      </c>
      <c r="G751" s="720">
        <v>677100</v>
      </c>
      <c r="H751" s="698">
        <v>677100</v>
      </c>
      <c r="I751" s="948">
        <f>H751/G751*100</f>
        <v>100</v>
      </c>
      <c r="J751" s="703"/>
      <c r="K751" s="698"/>
      <c r="L751" s="704"/>
      <c r="M751" s="720"/>
      <c r="N751" s="698"/>
      <c r="O751" s="744"/>
      <c r="P751" s="698"/>
      <c r="Q751" s="698"/>
      <c r="R751" s="770"/>
      <c r="S751" s="817"/>
      <c r="T751" s="817"/>
    </row>
    <row r="752" spans="1:20" s="818" customFormat="1" ht="24">
      <c r="A752" s="764">
        <v>4040</v>
      </c>
      <c r="B752" s="768" t="s">
        <v>205</v>
      </c>
      <c r="C752" s="720">
        <v>51600</v>
      </c>
      <c r="D752" s="698">
        <f t="shared" si="89"/>
        <v>51350</v>
      </c>
      <c r="E752" s="698">
        <f t="shared" si="90"/>
        <v>51348</v>
      </c>
      <c r="F752" s="699">
        <f t="shared" si="91"/>
        <v>99.99610516066213</v>
      </c>
      <c r="G752" s="720">
        <f>51600-250</f>
        <v>51350</v>
      </c>
      <c r="H752" s="698">
        <v>51348</v>
      </c>
      <c r="I752" s="948">
        <f aca="true" t="shared" si="92" ref="I752:I769">H752/G752*100</f>
        <v>99.99610516066213</v>
      </c>
      <c r="J752" s="703"/>
      <c r="K752" s="698"/>
      <c r="L752" s="704"/>
      <c r="M752" s="720"/>
      <c r="N752" s="698"/>
      <c r="O752" s="744"/>
      <c r="P752" s="698"/>
      <c r="Q752" s="698"/>
      <c r="R752" s="770"/>
      <c r="S752" s="817"/>
      <c r="T752" s="817"/>
    </row>
    <row r="753" spans="1:20" s="818" customFormat="1" ht="27" customHeight="1">
      <c r="A753" s="764">
        <v>4110</v>
      </c>
      <c r="B753" s="768" t="s">
        <v>207</v>
      </c>
      <c r="C753" s="720">
        <v>107900</v>
      </c>
      <c r="D753" s="698">
        <f t="shared" si="89"/>
        <v>107900</v>
      </c>
      <c r="E753" s="698">
        <f t="shared" si="90"/>
        <v>107900</v>
      </c>
      <c r="F753" s="699">
        <f t="shared" si="91"/>
        <v>100</v>
      </c>
      <c r="G753" s="720">
        <v>107900</v>
      </c>
      <c r="H753" s="698">
        <v>107900</v>
      </c>
      <c r="I753" s="948">
        <f t="shared" si="92"/>
        <v>100</v>
      </c>
      <c r="J753" s="703"/>
      <c r="K753" s="698"/>
      <c r="L753" s="704"/>
      <c r="M753" s="720"/>
      <c r="N753" s="698"/>
      <c r="O753" s="744"/>
      <c r="P753" s="698"/>
      <c r="Q753" s="698"/>
      <c r="R753" s="770"/>
      <c r="S753" s="817"/>
      <c r="T753" s="817"/>
    </row>
    <row r="754" spans="1:20" s="818" customFormat="1" ht="12.75">
      <c r="A754" s="764">
        <v>4120</v>
      </c>
      <c r="B754" s="768" t="s">
        <v>584</v>
      </c>
      <c r="C754" s="720">
        <v>17400</v>
      </c>
      <c r="D754" s="698">
        <f t="shared" si="89"/>
        <v>17400</v>
      </c>
      <c r="E754" s="698">
        <f t="shared" si="90"/>
        <v>16034</v>
      </c>
      <c r="F754" s="699">
        <f t="shared" si="91"/>
        <v>92.14942528735632</v>
      </c>
      <c r="G754" s="720">
        <v>17400</v>
      </c>
      <c r="H754" s="698">
        <v>16034</v>
      </c>
      <c r="I754" s="948">
        <f t="shared" si="92"/>
        <v>92.14942528735632</v>
      </c>
      <c r="J754" s="703"/>
      <c r="K754" s="698"/>
      <c r="L754" s="704"/>
      <c r="M754" s="720"/>
      <c r="N754" s="698"/>
      <c r="O754" s="744"/>
      <c r="P754" s="698"/>
      <c r="Q754" s="698"/>
      <c r="R754" s="770"/>
      <c r="S754" s="817"/>
      <c r="T754" s="817"/>
    </row>
    <row r="755" spans="1:20" s="818" customFormat="1" ht="24" hidden="1">
      <c r="A755" s="764">
        <v>4170</v>
      </c>
      <c r="B755" s="768" t="s">
        <v>242</v>
      </c>
      <c r="C755" s="720"/>
      <c r="D755" s="698">
        <f t="shared" si="89"/>
        <v>0</v>
      </c>
      <c r="E755" s="698">
        <f t="shared" si="90"/>
        <v>0</v>
      </c>
      <c r="F755" s="699" t="e">
        <f t="shared" si="91"/>
        <v>#DIV/0!</v>
      </c>
      <c r="G755" s="720"/>
      <c r="H755" s="698"/>
      <c r="I755" s="948" t="e">
        <f t="shared" si="92"/>
        <v>#DIV/0!</v>
      </c>
      <c r="J755" s="703"/>
      <c r="K755" s="698"/>
      <c r="L755" s="704"/>
      <c r="M755" s="720"/>
      <c r="N755" s="698"/>
      <c r="O755" s="744"/>
      <c r="P755" s="698"/>
      <c r="Q755" s="698"/>
      <c r="R755" s="770"/>
      <c r="S755" s="817"/>
      <c r="T755" s="817"/>
    </row>
    <row r="756" spans="1:20" s="818" customFormat="1" ht="24">
      <c r="A756" s="764">
        <v>4210</v>
      </c>
      <c r="B756" s="768" t="s">
        <v>211</v>
      </c>
      <c r="C756" s="720">
        <v>35000</v>
      </c>
      <c r="D756" s="698">
        <f t="shared" si="89"/>
        <v>46000</v>
      </c>
      <c r="E756" s="698">
        <f t="shared" si="90"/>
        <v>45994</v>
      </c>
      <c r="F756" s="699">
        <f t="shared" si="91"/>
        <v>99.98695652173913</v>
      </c>
      <c r="G756" s="720">
        <f>35000+10000+1000</f>
        <v>46000</v>
      </c>
      <c r="H756" s="698">
        <v>45994</v>
      </c>
      <c r="I756" s="948">
        <f t="shared" si="92"/>
        <v>99.98695652173913</v>
      </c>
      <c r="J756" s="703"/>
      <c r="K756" s="698"/>
      <c r="L756" s="704"/>
      <c r="M756" s="720"/>
      <c r="N756" s="698"/>
      <c r="O756" s="744"/>
      <c r="P756" s="698"/>
      <c r="Q756" s="698"/>
      <c r="R756" s="770"/>
      <c r="S756" s="817"/>
      <c r="T756" s="817"/>
    </row>
    <row r="757" spans="1:20" s="818" customFormat="1" ht="12.75">
      <c r="A757" s="764">
        <v>4260</v>
      </c>
      <c r="B757" s="768" t="s">
        <v>215</v>
      </c>
      <c r="C757" s="720">
        <v>13200</v>
      </c>
      <c r="D757" s="698">
        <f t="shared" si="89"/>
        <v>14200</v>
      </c>
      <c r="E757" s="698">
        <f t="shared" si="90"/>
        <v>14144</v>
      </c>
      <c r="F757" s="699">
        <f t="shared" si="91"/>
        <v>99.60563380281691</v>
      </c>
      <c r="G757" s="720">
        <f>13200+1000</f>
        <v>14200</v>
      </c>
      <c r="H757" s="698">
        <v>14144</v>
      </c>
      <c r="I757" s="948">
        <f t="shared" si="92"/>
        <v>99.60563380281691</v>
      </c>
      <c r="J757" s="703"/>
      <c r="K757" s="698"/>
      <c r="L757" s="704"/>
      <c r="M757" s="720"/>
      <c r="N757" s="698"/>
      <c r="O757" s="744"/>
      <c r="P757" s="698"/>
      <c r="Q757" s="698"/>
      <c r="R757" s="770"/>
      <c r="S757" s="817"/>
      <c r="T757" s="817"/>
    </row>
    <row r="758" spans="1:20" s="818" customFormat="1" ht="17.25" customHeight="1">
      <c r="A758" s="764">
        <v>4270</v>
      </c>
      <c r="B758" s="768" t="s">
        <v>217</v>
      </c>
      <c r="C758" s="720">
        <v>200000</v>
      </c>
      <c r="D758" s="698">
        <f t="shared" si="89"/>
        <v>280000</v>
      </c>
      <c r="E758" s="698">
        <f t="shared" si="90"/>
        <v>279997</v>
      </c>
      <c r="F758" s="699">
        <f t="shared" si="91"/>
        <v>99.99892857142856</v>
      </c>
      <c r="G758" s="720">
        <f>200000+80000</f>
        <v>280000</v>
      </c>
      <c r="H758" s="698">
        <v>279997</v>
      </c>
      <c r="I758" s="948">
        <f t="shared" si="92"/>
        <v>99.99892857142856</v>
      </c>
      <c r="J758" s="703"/>
      <c r="K758" s="698"/>
      <c r="L758" s="704"/>
      <c r="M758" s="720"/>
      <c r="N758" s="698"/>
      <c r="O758" s="744"/>
      <c r="P758" s="698"/>
      <c r="Q758" s="698"/>
      <c r="R758" s="770"/>
      <c r="S758" s="817"/>
      <c r="T758" s="817"/>
    </row>
    <row r="759" spans="1:20" s="818" customFormat="1" ht="13.5" customHeight="1">
      <c r="A759" s="764">
        <v>4280</v>
      </c>
      <c r="B759" s="768" t="s">
        <v>542</v>
      </c>
      <c r="C759" s="720">
        <v>500</v>
      </c>
      <c r="D759" s="698">
        <f t="shared" si="89"/>
        <v>1110</v>
      </c>
      <c r="E759" s="698">
        <f t="shared" si="90"/>
        <v>1110</v>
      </c>
      <c r="F759" s="699">
        <f t="shared" si="91"/>
        <v>100</v>
      </c>
      <c r="G759" s="720">
        <f>500+610</f>
        <v>1110</v>
      </c>
      <c r="H759" s="698">
        <v>1110</v>
      </c>
      <c r="I759" s="948">
        <f t="shared" si="92"/>
        <v>100</v>
      </c>
      <c r="J759" s="703"/>
      <c r="K759" s="698"/>
      <c r="L759" s="704"/>
      <c r="M759" s="720"/>
      <c r="N759" s="698"/>
      <c r="O759" s="744"/>
      <c r="P759" s="698"/>
      <c r="Q759" s="698"/>
      <c r="R759" s="770"/>
      <c r="S759" s="817"/>
      <c r="T759" s="817"/>
    </row>
    <row r="760" spans="1:20" s="818" customFormat="1" ht="17.25" customHeight="1">
      <c r="A760" s="764">
        <v>4300</v>
      </c>
      <c r="B760" s="768" t="s">
        <v>236</v>
      </c>
      <c r="C760" s="720">
        <v>35000</v>
      </c>
      <c r="D760" s="698">
        <f t="shared" si="89"/>
        <v>37500</v>
      </c>
      <c r="E760" s="698">
        <f t="shared" si="90"/>
        <v>37500</v>
      </c>
      <c r="F760" s="699">
        <f t="shared" si="91"/>
        <v>100</v>
      </c>
      <c r="G760" s="720">
        <f>35000+2500</f>
        <v>37500</v>
      </c>
      <c r="H760" s="698">
        <v>37500</v>
      </c>
      <c r="I760" s="948">
        <f t="shared" si="92"/>
        <v>100</v>
      </c>
      <c r="J760" s="703"/>
      <c r="K760" s="698"/>
      <c r="L760" s="704"/>
      <c r="M760" s="720"/>
      <c r="N760" s="698"/>
      <c r="O760" s="744"/>
      <c r="P760" s="698"/>
      <c r="Q760" s="698"/>
      <c r="R760" s="770"/>
      <c r="S760" s="817"/>
      <c r="T760" s="817"/>
    </row>
    <row r="761" spans="1:20" s="818" customFormat="1" ht="24">
      <c r="A761" s="764">
        <v>4350</v>
      </c>
      <c r="B761" s="768" t="s">
        <v>544</v>
      </c>
      <c r="C761" s="720">
        <v>3300</v>
      </c>
      <c r="D761" s="698">
        <f t="shared" si="89"/>
        <v>3300</v>
      </c>
      <c r="E761" s="698">
        <f t="shared" si="90"/>
        <v>3175</v>
      </c>
      <c r="F761" s="699">
        <f t="shared" si="91"/>
        <v>96.21212121212122</v>
      </c>
      <c r="G761" s="720">
        <v>3300</v>
      </c>
      <c r="H761" s="698">
        <v>3175</v>
      </c>
      <c r="I761" s="948">
        <f t="shared" si="92"/>
        <v>96.21212121212122</v>
      </c>
      <c r="J761" s="703"/>
      <c r="K761" s="698"/>
      <c r="L761" s="704"/>
      <c r="M761" s="720"/>
      <c r="N761" s="698"/>
      <c r="O761" s="744"/>
      <c r="P761" s="698"/>
      <c r="Q761" s="698"/>
      <c r="R761" s="770"/>
      <c r="S761" s="817"/>
      <c r="T761" s="817"/>
    </row>
    <row r="762" spans="1:20" s="818" customFormat="1" ht="39" customHeight="1">
      <c r="A762" s="764">
        <v>4370</v>
      </c>
      <c r="B762" s="828" t="s">
        <v>635</v>
      </c>
      <c r="C762" s="720">
        <v>8000</v>
      </c>
      <c r="D762" s="698">
        <f t="shared" si="89"/>
        <v>6270</v>
      </c>
      <c r="E762" s="698">
        <f t="shared" si="90"/>
        <v>5884</v>
      </c>
      <c r="F762" s="699">
        <f t="shared" si="91"/>
        <v>93.84370015948963</v>
      </c>
      <c r="G762" s="720">
        <f>8000-1730</f>
        <v>6270</v>
      </c>
      <c r="H762" s="698">
        <v>5884</v>
      </c>
      <c r="I762" s="948">
        <f t="shared" si="92"/>
        <v>93.84370015948963</v>
      </c>
      <c r="J762" s="703"/>
      <c r="K762" s="698"/>
      <c r="L762" s="704"/>
      <c r="M762" s="720"/>
      <c r="N762" s="698"/>
      <c r="O762" s="744"/>
      <c r="P762" s="698"/>
      <c r="Q762" s="698"/>
      <c r="R762" s="770"/>
      <c r="S762" s="817"/>
      <c r="T762" s="817"/>
    </row>
    <row r="763" spans="1:20" s="818" customFormat="1" ht="13.5" customHeight="1">
      <c r="A763" s="764">
        <v>4410</v>
      </c>
      <c r="B763" s="768" t="s">
        <v>193</v>
      </c>
      <c r="C763" s="720">
        <v>4300</v>
      </c>
      <c r="D763" s="698">
        <f t="shared" si="89"/>
        <v>4300</v>
      </c>
      <c r="E763" s="698">
        <f t="shared" si="90"/>
        <v>4299</v>
      </c>
      <c r="F763" s="699">
        <f t="shared" si="91"/>
        <v>99.9767441860465</v>
      </c>
      <c r="G763" s="720">
        <v>4300</v>
      </c>
      <c r="H763" s="698">
        <v>4299</v>
      </c>
      <c r="I763" s="948">
        <f t="shared" si="92"/>
        <v>99.9767441860465</v>
      </c>
      <c r="J763" s="703"/>
      <c r="K763" s="698"/>
      <c r="L763" s="704"/>
      <c r="M763" s="720"/>
      <c r="N763" s="698"/>
      <c r="O763" s="744"/>
      <c r="P763" s="698"/>
      <c r="Q763" s="698"/>
      <c r="R763" s="770"/>
      <c r="S763" s="817"/>
      <c r="T763" s="817"/>
    </row>
    <row r="764" spans="1:20" s="818" customFormat="1" ht="12.75">
      <c r="A764" s="764">
        <v>4430</v>
      </c>
      <c r="B764" s="768" t="s">
        <v>221</v>
      </c>
      <c r="C764" s="720">
        <v>900</v>
      </c>
      <c r="D764" s="698">
        <f t="shared" si="89"/>
        <v>700</v>
      </c>
      <c r="E764" s="698">
        <f t="shared" si="90"/>
        <v>699</v>
      </c>
      <c r="F764" s="699">
        <f t="shared" si="91"/>
        <v>99.85714285714286</v>
      </c>
      <c r="G764" s="720">
        <f>900-200</f>
        <v>700</v>
      </c>
      <c r="H764" s="698">
        <v>699</v>
      </c>
      <c r="I764" s="948">
        <f t="shared" si="92"/>
        <v>99.85714285714286</v>
      </c>
      <c r="J764" s="703"/>
      <c r="K764" s="698"/>
      <c r="L764" s="704"/>
      <c r="M764" s="720"/>
      <c r="N764" s="698"/>
      <c r="O764" s="744"/>
      <c r="P764" s="698"/>
      <c r="Q764" s="698"/>
      <c r="R764" s="770"/>
      <c r="S764" s="817"/>
      <c r="T764" s="817"/>
    </row>
    <row r="765" spans="1:20" s="818" customFormat="1" ht="12.75">
      <c r="A765" s="764">
        <v>4440</v>
      </c>
      <c r="B765" s="768" t="s">
        <v>223</v>
      </c>
      <c r="C765" s="720">
        <v>17900</v>
      </c>
      <c r="D765" s="698">
        <f t="shared" si="89"/>
        <v>21214</v>
      </c>
      <c r="E765" s="698">
        <f t="shared" si="90"/>
        <v>21214</v>
      </c>
      <c r="F765" s="699">
        <f t="shared" si="91"/>
        <v>100</v>
      </c>
      <c r="G765" s="720">
        <f>17900+3314</f>
        <v>21214</v>
      </c>
      <c r="H765" s="698">
        <v>21214</v>
      </c>
      <c r="I765" s="948">
        <f t="shared" si="92"/>
        <v>100</v>
      </c>
      <c r="J765" s="703"/>
      <c r="K765" s="698"/>
      <c r="L765" s="704"/>
      <c r="M765" s="720"/>
      <c r="N765" s="698"/>
      <c r="O765" s="744"/>
      <c r="P765" s="698"/>
      <c r="Q765" s="698"/>
      <c r="R765" s="770"/>
      <c r="S765" s="817"/>
      <c r="T765" s="817"/>
    </row>
    <row r="766" spans="1:20" s="818" customFormat="1" ht="40.5" customHeight="1">
      <c r="A766" s="764">
        <v>4700</v>
      </c>
      <c r="B766" s="828" t="s">
        <v>550</v>
      </c>
      <c r="C766" s="720">
        <v>4000</v>
      </c>
      <c r="D766" s="698">
        <f t="shared" si="89"/>
        <v>4000</v>
      </c>
      <c r="E766" s="698">
        <f t="shared" si="90"/>
        <v>3500</v>
      </c>
      <c r="F766" s="699">
        <f t="shared" si="91"/>
        <v>87.5</v>
      </c>
      <c r="G766" s="720">
        <v>4000</v>
      </c>
      <c r="H766" s="698">
        <v>3500</v>
      </c>
      <c r="I766" s="948">
        <f t="shared" si="92"/>
        <v>87.5</v>
      </c>
      <c r="J766" s="703"/>
      <c r="K766" s="698"/>
      <c r="L766" s="704"/>
      <c r="M766" s="720"/>
      <c r="N766" s="698"/>
      <c r="O766" s="744"/>
      <c r="P766" s="698"/>
      <c r="Q766" s="698"/>
      <c r="R766" s="770"/>
      <c r="S766" s="817"/>
      <c r="T766" s="817"/>
    </row>
    <row r="767" spans="1:20" s="818" customFormat="1" ht="49.5" customHeight="1">
      <c r="A767" s="764">
        <v>4740</v>
      </c>
      <c r="B767" s="828" t="s">
        <v>235</v>
      </c>
      <c r="C767" s="720">
        <v>3500</v>
      </c>
      <c r="D767" s="698">
        <f t="shared" si="89"/>
        <v>3500</v>
      </c>
      <c r="E767" s="698">
        <f t="shared" si="90"/>
        <v>3500</v>
      </c>
      <c r="F767" s="699">
        <f t="shared" si="91"/>
        <v>100</v>
      </c>
      <c r="G767" s="720">
        <v>3500</v>
      </c>
      <c r="H767" s="698">
        <v>3500</v>
      </c>
      <c r="I767" s="948">
        <f t="shared" si="92"/>
        <v>100</v>
      </c>
      <c r="J767" s="703"/>
      <c r="K767" s="698"/>
      <c r="L767" s="704"/>
      <c r="M767" s="720"/>
      <c r="N767" s="698"/>
      <c r="O767" s="744"/>
      <c r="P767" s="698"/>
      <c r="Q767" s="698"/>
      <c r="R767" s="770"/>
      <c r="S767" s="817"/>
      <c r="T767" s="817"/>
    </row>
    <row r="768" spans="1:20" s="818" customFormat="1" ht="36">
      <c r="A768" s="764">
        <v>4750</v>
      </c>
      <c r="B768" s="828" t="s">
        <v>551</v>
      </c>
      <c r="C768" s="720">
        <v>14600</v>
      </c>
      <c r="D768" s="698">
        <f t="shared" si="89"/>
        <v>14920</v>
      </c>
      <c r="E768" s="698">
        <f t="shared" si="90"/>
        <v>14919</v>
      </c>
      <c r="F768" s="699">
        <f t="shared" si="91"/>
        <v>99.99329758713137</v>
      </c>
      <c r="G768" s="720">
        <f>14600+320</f>
        <v>14920</v>
      </c>
      <c r="H768" s="698">
        <v>14919</v>
      </c>
      <c r="I768" s="948">
        <f t="shared" si="92"/>
        <v>99.99329758713137</v>
      </c>
      <c r="J768" s="703"/>
      <c r="K768" s="698"/>
      <c r="L768" s="704"/>
      <c r="M768" s="720"/>
      <c r="N768" s="698"/>
      <c r="O768" s="744"/>
      <c r="P768" s="698"/>
      <c r="Q768" s="698"/>
      <c r="R768" s="770"/>
      <c r="S768" s="817"/>
      <c r="T768" s="817"/>
    </row>
    <row r="769" spans="1:20" s="818" customFormat="1" ht="38.25" customHeight="1">
      <c r="A769" s="764">
        <v>6050</v>
      </c>
      <c r="B769" s="828" t="s">
        <v>444</v>
      </c>
      <c r="C769" s="791">
        <v>200000</v>
      </c>
      <c r="D769" s="698">
        <f t="shared" si="89"/>
        <v>385000</v>
      </c>
      <c r="E769" s="698">
        <f t="shared" si="90"/>
        <v>385000</v>
      </c>
      <c r="F769" s="699">
        <f t="shared" si="91"/>
        <v>100</v>
      </c>
      <c r="G769" s="791">
        <f>200000+185000</f>
        <v>385000</v>
      </c>
      <c r="H769" s="792">
        <f>384999+1</f>
        <v>385000</v>
      </c>
      <c r="I769" s="948">
        <f t="shared" si="92"/>
        <v>100</v>
      </c>
      <c r="J769" s="793"/>
      <c r="K769" s="792"/>
      <c r="L769" s="794"/>
      <c r="M769" s="791"/>
      <c r="N769" s="792"/>
      <c r="O769" s="761"/>
      <c r="P769" s="792"/>
      <c r="Q769" s="792"/>
      <c r="R769" s="797"/>
      <c r="S769" s="817"/>
      <c r="T769" s="817"/>
    </row>
    <row r="770" spans="1:20" s="818" customFormat="1" ht="15.75" customHeight="1">
      <c r="A770" s="757">
        <v>80120</v>
      </c>
      <c r="B770" s="852" t="s">
        <v>723</v>
      </c>
      <c r="C770" s="725">
        <f>SUM(C771:C798)</f>
        <v>17263300</v>
      </c>
      <c r="D770" s="712">
        <f>G770+J770+P770+M770</f>
        <v>17715497</v>
      </c>
      <c r="E770" s="712">
        <f>H770+K770+Q770+N770</f>
        <v>17705313</v>
      </c>
      <c r="F770" s="713">
        <f t="shared" si="91"/>
        <v>99.94251360828319</v>
      </c>
      <c r="G770" s="873"/>
      <c r="H770" s="874"/>
      <c r="I770" s="955"/>
      <c r="J770" s="875"/>
      <c r="K770" s="874"/>
      <c r="L770" s="876"/>
      <c r="M770" s="725">
        <f>SUM(M771:M798)</f>
        <v>17715497</v>
      </c>
      <c r="N770" s="712">
        <f>SUM(N771:N798)</f>
        <v>17705313</v>
      </c>
      <c r="O770" s="741">
        <f t="shared" si="88"/>
        <v>99.94251360828319</v>
      </c>
      <c r="P770" s="712"/>
      <c r="Q770" s="712"/>
      <c r="R770" s="846"/>
      <c r="S770" s="817"/>
      <c r="T770" s="817"/>
    </row>
    <row r="771" spans="1:20" s="818" customFormat="1" ht="39.75" customHeight="1">
      <c r="A771" s="764">
        <v>2540</v>
      </c>
      <c r="B771" s="768" t="s">
        <v>708</v>
      </c>
      <c r="C771" s="720">
        <v>1500000</v>
      </c>
      <c r="D771" s="698">
        <f>G771+J771+P771+M771</f>
        <v>2320705</v>
      </c>
      <c r="E771" s="698">
        <f aca="true" t="shared" si="93" ref="E771:E798">SUM(H771+K771+N771+Q771)</f>
        <v>2320705</v>
      </c>
      <c r="F771" s="699">
        <f t="shared" si="91"/>
        <v>100</v>
      </c>
      <c r="G771" s="720"/>
      <c r="H771" s="698"/>
      <c r="I771" s="948"/>
      <c r="J771" s="703"/>
      <c r="K771" s="698"/>
      <c r="L771" s="704"/>
      <c r="M771" s="720">
        <f>1500000+170985+68283+178286+403151</f>
        <v>2320705</v>
      </c>
      <c r="N771" s="698">
        <v>2320705</v>
      </c>
      <c r="O771" s="744">
        <f t="shared" si="88"/>
        <v>100</v>
      </c>
      <c r="P771" s="698"/>
      <c r="Q771" s="698"/>
      <c r="R771" s="770"/>
      <c r="S771" s="817"/>
      <c r="T771" s="817"/>
    </row>
    <row r="772" spans="1:20" s="818" customFormat="1" ht="36">
      <c r="A772" s="764">
        <v>3020</v>
      </c>
      <c r="B772" s="768" t="s">
        <v>709</v>
      </c>
      <c r="C772" s="720">
        <v>34900</v>
      </c>
      <c r="D772" s="698">
        <f>G772+J772+P772+M772</f>
        <v>61038</v>
      </c>
      <c r="E772" s="698">
        <f t="shared" si="93"/>
        <v>60182</v>
      </c>
      <c r="F772" s="699">
        <f t="shared" si="91"/>
        <v>98.59759494085651</v>
      </c>
      <c r="G772" s="720"/>
      <c r="H772" s="698"/>
      <c r="I772" s="948"/>
      <c r="J772" s="703"/>
      <c r="K772" s="698"/>
      <c r="L772" s="704"/>
      <c r="M772" s="720">
        <f>34900+3500+7747+2165+12726</f>
        <v>61038</v>
      </c>
      <c r="N772" s="698">
        <v>60182</v>
      </c>
      <c r="O772" s="744">
        <f t="shared" si="88"/>
        <v>98.59759494085651</v>
      </c>
      <c r="P772" s="698"/>
      <c r="Q772" s="698"/>
      <c r="R772" s="770"/>
      <c r="S772" s="817"/>
      <c r="T772" s="817"/>
    </row>
    <row r="773" spans="1:20" s="818" customFormat="1" ht="24" hidden="1">
      <c r="A773" s="764">
        <v>3030</v>
      </c>
      <c r="B773" s="768" t="s">
        <v>199</v>
      </c>
      <c r="C773" s="720"/>
      <c r="D773" s="698"/>
      <c r="E773" s="698" t="s">
        <v>597</v>
      </c>
      <c r="F773" s="699" t="s">
        <v>597</v>
      </c>
      <c r="G773" s="720"/>
      <c r="H773" s="698"/>
      <c r="I773" s="948"/>
      <c r="J773" s="703"/>
      <c r="K773" s="698"/>
      <c r="L773" s="704"/>
      <c r="M773" s="720"/>
      <c r="N773" s="698"/>
      <c r="O773" s="744"/>
      <c r="P773" s="698"/>
      <c r="Q773" s="698"/>
      <c r="R773" s="770"/>
      <c r="S773" s="817"/>
      <c r="T773" s="817"/>
    </row>
    <row r="774" spans="1:20" s="818" customFormat="1" ht="25.5" customHeight="1">
      <c r="A774" s="764">
        <v>4010</v>
      </c>
      <c r="B774" s="768" t="s">
        <v>201</v>
      </c>
      <c r="C774" s="720">
        <v>8963600</v>
      </c>
      <c r="D774" s="698">
        <f aca="true" t="shared" si="94" ref="D774:D798">G774+J774+P774+M774</f>
        <v>9299000</v>
      </c>
      <c r="E774" s="698">
        <f t="shared" si="93"/>
        <v>9299000</v>
      </c>
      <c r="F774" s="699">
        <f t="shared" si="91"/>
        <v>100</v>
      </c>
      <c r="G774" s="720"/>
      <c r="H774" s="698"/>
      <c r="I774" s="948"/>
      <c r="J774" s="703"/>
      <c r="K774" s="698"/>
      <c r="L774" s="704"/>
      <c r="M774" s="720">
        <f>8963600+20000+214820+100580</f>
        <v>9299000</v>
      </c>
      <c r="N774" s="698">
        <v>9299000</v>
      </c>
      <c r="O774" s="744">
        <f aca="true" t="shared" si="95" ref="O774:O837">N774/M774*100</f>
        <v>100</v>
      </c>
      <c r="P774" s="698"/>
      <c r="Q774" s="698"/>
      <c r="R774" s="770"/>
      <c r="S774" s="817"/>
      <c r="T774" s="817"/>
    </row>
    <row r="775" spans="1:20" s="818" customFormat="1" ht="24">
      <c r="A775" s="764">
        <v>4040</v>
      </c>
      <c r="B775" s="768" t="s">
        <v>205</v>
      </c>
      <c r="C775" s="720">
        <v>717000</v>
      </c>
      <c r="D775" s="698">
        <f t="shared" si="94"/>
        <v>693966</v>
      </c>
      <c r="E775" s="698">
        <f t="shared" si="93"/>
        <v>693956</v>
      </c>
      <c r="F775" s="699">
        <f t="shared" si="91"/>
        <v>99.9985590072136</v>
      </c>
      <c r="G775" s="720"/>
      <c r="H775" s="698"/>
      <c r="I775" s="948"/>
      <c r="J775" s="703"/>
      <c r="K775" s="698"/>
      <c r="L775" s="704"/>
      <c r="M775" s="720">
        <f>717000-23034</f>
        <v>693966</v>
      </c>
      <c r="N775" s="698">
        <v>693956</v>
      </c>
      <c r="O775" s="744">
        <f t="shared" si="95"/>
        <v>99.9985590072136</v>
      </c>
      <c r="P775" s="698"/>
      <c r="Q775" s="698"/>
      <c r="R775" s="770"/>
      <c r="S775" s="817"/>
      <c r="T775" s="817"/>
    </row>
    <row r="776" spans="1:20" s="818" customFormat="1" ht="24.75" customHeight="1">
      <c r="A776" s="764">
        <v>4110</v>
      </c>
      <c r="B776" s="768" t="s">
        <v>207</v>
      </c>
      <c r="C776" s="720">
        <v>1481900</v>
      </c>
      <c r="D776" s="698">
        <f t="shared" si="94"/>
        <v>1473400</v>
      </c>
      <c r="E776" s="698">
        <f t="shared" si="93"/>
        <v>1473400</v>
      </c>
      <c r="F776" s="699">
        <f t="shared" si="91"/>
        <v>100</v>
      </c>
      <c r="G776" s="720"/>
      <c r="H776" s="698"/>
      <c r="I776" s="948"/>
      <c r="J776" s="703"/>
      <c r="K776" s="698"/>
      <c r="L776" s="704"/>
      <c r="M776" s="720">
        <f>1481900-8500</f>
        <v>1473400</v>
      </c>
      <c r="N776" s="698">
        <v>1473400</v>
      </c>
      <c r="O776" s="744">
        <f t="shared" si="95"/>
        <v>100</v>
      </c>
      <c r="P776" s="698"/>
      <c r="Q776" s="698"/>
      <c r="R776" s="770"/>
      <c r="S776" s="817"/>
      <c r="T776" s="817"/>
    </row>
    <row r="777" spans="1:20" s="818" customFormat="1" ht="12.75">
      <c r="A777" s="764">
        <v>4120</v>
      </c>
      <c r="B777" s="768" t="s">
        <v>584</v>
      </c>
      <c r="C777" s="720">
        <v>236800</v>
      </c>
      <c r="D777" s="698">
        <f t="shared" si="94"/>
        <v>229200</v>
      </c>
      <c r="E777" s="698">
        <f t="shared" si="93"/>
        <v>229200</v>
      </c>
      <c r="F777" s="699">
        <f t="shared" si="91"/>
        <v>100</v>
      </c>
      <c r="G777" s="720"/>
      <c r="H777" s="698"/>
      <c r="I777" s="948"/>
      <c r="J777" s="703"/>
      <c r="K777" s="698"/>
      <c r="L777" s="704"/>
      <c r="M777" s="720">
        <f>236800-7600</f>
        <v>229200</v>
      </c>
      <c r="N777" s="698">
        <v>229200</v>
      </c>
      <c r="O777" s="744">
        <f t="shared" si="95"/>
        <v>100</v>
      </c>
      <c r="P777" s="698"/>
      <c r="Q777" s="698"/>
      <c r="R777" s="770"/>
      <c r="S777" s="817"/>
      <c r="T777" s="817"/>
    </row>
    <row r="778" spans="1:20" s="818" customFormat="1" ht="12.75">
      <c r="A778" s="764">
        <v>4140</v>
      </c>
      <c r="B778" s="768" t="s">
        <v>283</v>
      </c>
      <c r="C778" s="720"/>
      <c r="D778" s="698">
        <f>G778+J778+P778+M778</f>
        <v>4092</v>
      </c>
      <c r="E778" s="698">
        <f>SUM(H778+K778+N778+Q778)</f>
        <v>4092</v>
      </c>
      <c r="F778" s="699">
        <f>E778/D778*100</f>
        <v>100</v>
      </c>
      <c r="G778" s="720"/>
      <c r="H778" s="698"/>
      <c r="I778" s="948"/>
      <c r="J778" s="703"/>
      <c r="K778" s="698"/>
      <c r="L778" s="704"/>
      <c r="M778" s="720">
        <v>4092</v>
      </c>
      <c r="N778" s="698">
        <v>4092</v>
      </c>
      <c r="O778" s="744">
        <f t="shared" si="95"/>
        <v>100</v>
      </c>
      <c r="P778" s="698"/>
      <c r="Q778" s="698"/>
      <c r="R778" s="770"/>
      <c r="S778" s="817"/>
      <c r="T778" s="817"/>
    </row>
    <row r="779" spans="1:20" s="818" customFormat="1" ht="24">
      <c r="A779" s="764">
        <v>4210</v>
      </c>
      <c r="B779" s="768" t="s">
        <v>211</v>
      </c>
      <c r="C779" s="720">
        <v>193200</v>
      </c>
      <c r="D779" s="698">
        <f t="shared" si="94"/>
        <v>234200</v>
      </c>
      <c r="E779" s="698">
        <f t="shared" si="93"/>
        <v>231034</v>
      </c>
      <c r="F779" s="699">
        <f t="shared" si="91"/>
        <v>98.64816396242527</v>
      </c>
      <c r="G779" s="720"/>
      <c r="H779" s="698"/>
      <c r="I779" s="948"/>
      <c r="J779" s="703"/>
      <c r="K779" s="698"/>
      <c r="L779" s="704"/>
      <c r="M779" s="720">
        <f>193200+25000-5000-500+15400+7400-1500+200</f>
        <v>234200</v>
      </c>
      <c r="N779" s="698">
        <v>231034</v>
      </c>
      <c r="O779" s="744">
        <f t="shared" si="95"/>
        <v>98.64816396242527</v>
      </c>
      <c r="P779" s="698"/>
      <c r="Q779" s="698"/>
      <c r="R779" s="770"/>
      <c r="S779" s="817"/>
      <c r="T779" s="817"/>
    </row>
    <row r="780" spans="1:20" s="818" customFormat="1" ht="29.25" customHeight="1">
      <c r="A780" s="764">
        <v>4240</v>
      </c>
      <c r="B780" s="768" t="s">
        <v>572</v>
      </c>
      <c r="C780" s="720">
        <v>57100</v>
      </c>
      <c r="D780" s="698">
        <f t="shared" si="94"/>
        <v>67010</v>
      </c>
      <c r="E780" s="698">
        <f>H780+K780+Q780+N780</f>
        <v>66974</v>
      </c>
      <c r="F780" s="699">
        <f t="shared" si="91"/>
        <v>99.94627667512312</v>
      </c>
      <c r="G780" s="720"/>
      <c r="H780" s="698"/>
      <c r="I780" s="948"/>
      <c r="J780" s="703"/>
      <c r="K780" s="698"/>
      <c r="L780" s="704"/>
      <c r="M780" s="720">
        <f>57100+8000+1910</f>
        <v>67010</v>
      </c>
      <c r="N780" s="698">
        <v>66974</v>
      </c>
      <c r="O780" s="744">
        <f t="shared" si="95"/>
        <v>99.94627667512312</v>
      </c>
      <c r="P780" s="698"/>
      <c r="Q780" s="698"/>
      <c r="R780" s="770"/>
      <c r="S780" s="817"/>
      <c r="T780" s="817"/>
    </row>
    <row r="781" spans="1:20" s="818" customFormat="1" ht="11.25" customHeight="1">
      <c r="A781" s="764">
        <v>4260</v>
      </c>
      <c r="B781" s="768" t="s">
        <v>215</v>
      </c>
      <c r="C781" s="720">
        <v>580000</v>
      </c>
      <c r="D781" s="698">
        <f t="shared" si="94"/>
        <v>751494</v>
      </c>
      <c r="E781" s="698">
        <f t="shared" si="93"/>
        <v>751494</v>
      </c>
      <c r="F781" s="699">
        <f t="shared" si="91"/>
        <v>100</v>
      </c>
      <c r="G781" s="720"/>
      <c r="H781" s="698"/>
      <c r="I781" s="948"/>
      <c r="J781" s="703"/>
      <c r="K781" s="698"/>
      <c r="L781" s="704"/>
      <c r="M781" s="720">
        <f>580000+25000+37330+37164+72000</f>
        <v>751494</v>
      </c>
      <c r="N781" s="698">
        <v>751494</v>
      </c>
      <c r="O781" s="744">
        <f t="shared" si="95"/>
        <v>100</v>
      </c>
      <c r="P781" s="698"/>
      <c r="Q781" s="698"/>
      <c r="R781" s="770"/>
      <c r="S781" s="817"/>
      <c r="T781" s="817"/>
    </row>
    <row r="782" spans="1:20" s="818" customFormat="1" ht="18" customHeight="1">
      <c r="A782" s="764">
        <v>4270</v>
      </c>
      <c r="B782" s="768" t="s">
        <v>217</v>
      </c>
      <c r="C782" s="720">
        <v>36000</v>
      </c>
      <c r="D782" s="698">
        <f t="shared" si="94"/>
        <v>40200</v>
      </c>
      <c r="E782" s="698">
        <f t="shared" si="93"/>
        <v>40104</v>
      </c>
      <c r="F782" s="699">
        <f t="shared" si="91"/>
        <v>99.76119402985074</v>
      </c>
      <c r="G782" s="720"/>
      <c r="H782" s="698"/>
      <c r="I782" s="948"/>
      <c r="J782" s="703"/>
      <c r="K782" s="698"/>
      <c r="L782" s="704"/>
      <c r="M782" s="720">
        <f>36000+3200+1000</f>
        <v>40200</v>
      </c>
      <c r="N782" s="698">
        <v>40104</v>
      </c>
      <c r="O782" s="744">
        <f t="shared" si="95"/>
        <v>99.76119402985074</v>
      </c>
      <c r="P782" s="698"/>
      <c r="Q782" s="698"/>
      <c r="R782" s="770"/>
      <c r="S782" s="817"/>
      <c r="T782" s="817"/>
    </row>
    <row r="783" spans="1:20" s="818" customFormat="1" ht="18" customHeight="1" hidden="1">
      <c r="A783" s="764">
        <v>4270</v>
      </c>
      <c r="B783" s="768" t="s">
        <v>724</v>
      </c>
      <c r="C783" s="720"/>
      <c r="D783" s="698">
        <f t="shared" si="94"/>
        <v>0</v>
      </c>
      <c r="E783" s="698">
        <f t="shared" si="93"/>
        <v>0</v>
      </c>
      <c r="F783" s="699" t="e">
        <f t="shared" si="91"/>
        <v>#DIV/0!</v>
      </c>
      <c r="G783" s="720"/>
      <c r="H783" s="698"/>
      <c r="I783" s="948"/>
      <c r="J783" s="703"/>
      <c r="K783" s="698"/>
      <c r="L783" s="704"/>
      <c r="M783" s="720"/>
      <c r="N783" s="698"/>
      <c r="O783" s="744" t="e">
        <f t="shared" si="95"/>
        <v>#DIV/0!</v>
      </c>
      <c r="P783" s="698"/>
      <c r="Q783" s="698"/>
      <c r="R783" s="770"/>
      <c r="S783" s="817"/>
      <c r="T783" s="817"/>
    </row>
    <row r="784" spans="1:20" s="818" customFormat="1" ht="18" customHeight="1">
      <c r="A784" s="764">
        <v>4280</v>
      </c>
      <c r="B784" s="768" t="s">
        <v>542</v>
      </c>
      <c r="C784" s="720">
        <v>8800</v>
      </c>
      <c r="D784" s="698">
        <f t="shared" si="94"/>
        <v>7300</v>
      </c>
      <c r="E784" s="698">
        <f t="shared" si="93"/>
        <v>5663</v>
      </c>
      <c r="F784" s="699">
        <f t="shared" si="91"/>
        <v>77.57534246575342</v>
      </c>
      <c r="G784" s="720"/>
      <c r="H784" s="698"/>
      <c r="I784" s="948"/>
      <c r="J784" s="703"/>
      <c r="K784" s="698"/>
      <c r="L784" s="704"/>
      <c r="M784" s="720">
        <f>8800-1000-300-200</f>
        <v>7300</v>
      </c>
      <c r="N784" s="698">
        <v>5663</v>
      </c>
      <c r="O784" s="744">
        <f t="shared" si="95"/>
        <v>77.57534246575342</v>
      </c>
      <c r="P784" s="698"/>
      <c r="Q784" s="698"/>
      <c r="R784" s="770"/>
      <c r="S784" s="817"/>
      <c r="T784" s="817"/>
    </row>
    <row r="785" spans="1:20" s="818" customFormat="1" ht="18" customHeight="1">
      <c r="A785" s="764">
        <v>4300</v>
      </c>
      <c r="B785" s="768" t="s">
        <v>219</v>
      </c>
      <c r="C785" s="720">
        <v>145000</v>
      </c>
      <c r="D785" s="698">
        <f t="shared" si="94"/>
        <v>152000</v>
      </c>
      <c r="E785" s="698">
        <f t="shared" si="93"/>
        <v>151957</v>
      </c>
      <c r="F785" s="699">
        <f t="shared" si="91"/>
        <v>99.97171052631579</v>
      </c>
      <c r="G785" s="720"/>
      <c r="H785" s="698"/>
      <c r="I785" s="948"/>
      <c r="J785" s="703"/>
      <c r="K785" s="698"/>
      <c r="L785" s="704"/>
      <c r="M785" s="720">
        <f>145000-3000+10000</f>
        <v>152000</v>
      </c>
      <c r="N785" s="698">
        <v>151957</v>
      </c>
      <c r="O785" s="744">
        <f t="shared" si="95"/>
        <v>99.97171052631579</v>
      </c>
      <c r="P785" s="698"/>
      <c r="Q785" s="698"/>
      <c r="R785" s="770"/>
      <c r="S785" s="817"/>
      <c r="T785" s="817"/>
    </row>
    <row r="786" spans="1:20" s="818" customFormat="1" ht="24">
      <c r="A786" s="764">
        <v>4350</v>
      </c>
      <c r="B786" s="768" t="s">
        <v>544</v>
      </c>
      <c r="C786" s="720">
        <v>10100</v>
      </c>
      <c r="D786" s="698">
        <f t="shared" si="94"/>
        <v>9000</v>
      </c>
      <c r="E786" s="698">
        <f t="shared" si="93"/>
        <v>8647</v>
      </c>
      <c r="F786" s="699">
        <f t="shared" si="91"/>
        <v>96.07777777777777</v>
      </c>
      <c r="G786" s="720"/>
      <c r="H786" s="698"/>
      <c r="I786" s="948"/>
      <c r="J786" s="703"/>
      <c r="K786" s="698"/>
      <c r="L786" s="704"/>
      <c r="M786" s="720">
        <f>10100-300-800</f>
        <v>9000</v>
      </c>
      <c r="N786" s="698">
        <v>8647</v>
      </c>
      <c r="O786" s="744">
        <f t="shared" si="95"/>
        <v>96.07777777777777</v>
      </c>
      <c r="P786" s="698"/>
      <c r="Q786" s="698"/>
      <c r="R786" s="770"/>
      <c r="S786" s="817"/>
      <c r="T786" s="817"/>
    </row>
    <row r="787" spans="1:20" s="818" customFormat="1" ht="36.75" customHeight="1">
      <c r="A787" s="764">
        <v>4360</v>
      </c>
      <c r="B787" s="828" t="s">
        <v>682</v>
      </c>
      <c r="C787" s="720">
        <v>1100</v>
      </c>
      <c r="D787" s="698">
        <f t="shared" si="94"/>
        <v>1100</v>
      </c>
      <c r="E787" s="698">
        <f>SUM(H787+K787+N787+Q787)</f>
        <v>1100</v>
      </c>
      <c r="F787" s="699">
        <f t="shared" si="91"/>
        <v>100</v>
      </c>
      <c r="G787" s="720"/>
      <c r="H787" s="698"/>
      <c r="I787" s="948"/>
      <c r="J787" s="703"/>
      <c r="K787" s="698"/>
      <c r="L787" s="704"/>
      <c r="M787" s="720">
        <v>1100</v>
      </c>
      <c r="N787" s="698">
        <v>1100</v>
      </c>
      <c r="O787" s="744">
        <f t="shared" si="95"/>
        <v>100</v>
      </c>
      <c r="P787" s="698"/>
      <c r="Q787" s="698"/>
      <c r="R787" s="770"/>
      <c r="S787" s="817"/>
      <c r="T787" s="817"/>
    </row>
    <row r="788" spans="1:20" s="818" customFormat="1" ht="37.5" customHeight="1">
      <c r="A788" s="764">
        <v>4370</v>
      </c>
      <c r="B788" s="828" t="s">
        <v>635</v>
      </c>
      <c r="C788" s="720">
        <v>32900</v>
      </c>
      <c r="D788" s="698">
        <f t="shared" si="94"/>
        <v>26500</v>
      </c>
      <c r="E788" s="698">
        <f>SUM(H788+K788+N788+Q788)</f>
        <v>25678</v>
      </c>
      <c r="F788" s="699">
        <f t="shared" si="91"/>
        <v>96.89811320754717</v>
      </c>
      <c r="G788" s="720"/>
      <c r="H788" s="698"/>
      <c r="I788" s="948"/>
      <c r="J788" s="703"/>
      <c r="K788" s="698"/>
      <c r="L788" s="704"/>
      <c r="M788" s="720">
        <f>32900-1000-3000-2400</f>
        <v>26500</v>
      </c>
      <c r="N788" s="698">
        <v>25678</v>
      </c>
      <c r="O788" s="744">
        <f t="shared" si="95"/>
        <v>96.89811320754717</v>
      </c>
      <c r="P788" s="698"/>
      <c r="Q788" s="698"/>
      <c r="R788" s="770"/>
      <c r="S788" s="817"/>
      <c r="T788" s="817"/>
    </row>
    <row r="789" spans="1:20" s="818" customFormat="1" ht="37.5" customHeight="1">
      <c r="A789" s="764">
        <v>4390</v>
      </c>
      <c r="B789" s="768" t="s">
        <v>243</v>
      </c>
      <c r="C789" s="720">
        <v>18000</v>
      </c>
      <c r="D789" s="698">
        <f t="shared" si="94"/>
        <v>18000</v>
      </c>
      <c r="E789" s="698">
        <f>SUM(H789+K789+N789+Q789)</f>
        <v>17624</v>
      </c>
      <c r="F789" s="699">
        <f t="shared" si="91"/>
        <v>97.91111111111111</v>
      </c>
      <c r="G789" s="720"/>
      <c r="H789" s="698"/>
      <c r="I789" s="948"/>
      <c r="J789" s="703"/>
      <c r="K789" s="698"/>
      <c r="L789" s="704"/>
      <c r="M789" s="720">
        <v>18000</v>
      </c>
      <c r="N789" s="698">
        <v>17624</v>
      </c>
      <c r="O789" s="744">
        <f t="shared" si="95"/>
        <v>97.91111111111111</v>
      </c>
      <c r="P789" s="698"/>
      <c r="Q789" s="698"/>
      <c r="R789" s="770"/>
      <c r="S789" s="817"/>
      <c r="T789" s="817"/>
    </row>
    <row r="790" spans="1:20" s="818" customFormat="1" ht="15.75" customHeight="1">
      <c r="A790" s="764">
        <v>4410</v>
      </c>
      <c r="B790" s="768" t="s">
        <v>193</v>
      </c>
      <c r="C790" s="720">
        <v>27500</v>
      </c>
      <c r="D790" s="698">
        <f t="shared" si="94"/>
        <v>28000</v>
      </c>
      <c r="E790" s="698">
        <f t="shared" si="93"/>
        <v>26178</v>
      </c>
      <c r="F790" s="699">
        <f t="shared" si="91"/>
        <v>93.49285714285715</v>
      </c>
      <c r="G790" s="720"/>
      <c r="H790" s="698"/>
      <c r="I790" s="948"/>
      <c r="J790" s="703"/>
      <c r="K790" s="698"/>
      <c r="L790" s="704"/>
      <c r="M790" s="720">
        <f>27500+3000-1000-1500</f>
        <v>28000</v>
      </c>
      <c r="N790" s="698">
        <v>26178</v>
      </c>
      <c r="O790" s="744">
        <f t="shared" si="95"/>
        <v>93.49285714285715</v>
      </c>
      <c r="P790" s="698"/>
      <c r="Q790" s="698"/>
      <c r="R790" s="770"/>
      <c r="S790" s="817"/>
      <c r="T790" s="817"/>
    </row>
    <row r="791" spans="1:20" s="818" customFormat="1" ht="27" customHeight="1">
      <c r="A791" s="764">
        <v>4420</v>
      </c>
      <c r="B791" s="768" t="s">
        <v>560</v>
      </c>
      <c r="C791" s="720">
        <v>500</v>
      </c>
      <c r="D791" s="698">
        <f t="shared" si="94"/>
        <v>4026</v>
      </c>
      <c r="E791" s="698">
        <f t="shared" si="93"/>
        <v>3999</v>
      </c>
      <c r="F791" s="699">
        <f t="shared" si="91"/>
        <v>99.32935916542473</v>
      </c>
      <c r="G791" s="720"/>
      <c r="H791" s="698"/>
      <c r="I791" s="948"/>
      <c r="J791" s="703"/>
      <c r="K791" s="698"/>
      <c r="L791" s="704"/>
      <c r="M791" s="720">
        <f>500+3090-1064+1500</f>
        <v>4026</v>
      </c>
      <c r="N791" s="698">
        <v>3999</v>
      </c>
      <c r="O791" s="744">
        <f t="shared" si="95"/>
        <v>99.32935916542473</v>
      </c>
      <c r="P791" s="698"/>
      <c r="Q791" s="698"/>
      <c r="R791" s="770"/>
      <c r="S791" s="817"/>
      <c r="T791" s="817"/>
    </row>
    <row r="792" spans="1:20" s="818" customFormat="1" ht="12.75" hidden="1">
      <c r="A792" s="764">
        <v>4430</v>
      </c>
      <c r="B792" s="768" t="s">
        <v>221</v>
      </c>
      <c r="C792" s="720"/>
      <c r="D792" s="698">
        <f>G792+J792+P792+M792</f>
        <v>0</v>
      </c>
      <c r="E792" s="698">
        <f>SUM(H792+K792+N792+Q792)</f>
        <v>0</v>
      </c>
      <c r="F792" s="699"/>
      <c r="G792" s="720"/>
      <c r="H792" s="698"/>
      <c r="I792" s="948"/>
      <c r="J792" s="703"/>
      <c r="K792" s="698"/>
      <c r="L792" s="704"/>
      <c r="M792" s="720"/>
      <c r="N792" s="698"/>
      <c r="O792" s="744"/>
      <c r="P792" s="698"/>
      <c r="Q792" s="698"/>
      <c r="R792" s="770"/>
      <c r="S792" s="817"/>
      <c r="T792" s="817"/>
    </row>
    <row r="793" spans="1:20" s="818" customFormat="1" ht="12.75">
      <c r="A793" s="764">
        <v>4440</v>
      </c>
      <c r="B793" s="768" t="s">
        <v>223</v>
      </c>
      <c r="C793" s="720">
        <v>515700</v>
      </c>
      <c r="D793" s="698">
        <f t="shared" si="94"/>
        <v>523986</v>
      </c>
      <c r="E793" s="698">
        <f t="shared" si="93"/>
        <v>523986</v>
      </c>
      <c r="F793" s="699">
        <f t="shared" si="91"/>
        <v>100</v>
      </c>
      <c r="G793" s="720"/>
      <c r="H793" s="698"/>
      <c r="I793" s="948"/>
      <c r="J793" s="703"/>
      <c r="K793" s="698"/>
      <c r="L793" s="704"/>
      <c r="M793" s="720">
        <f>515700+14148-5258-604</f>
        <v>523986</v>
      </c>
      <c r="N793" s="698">
        <v>523986</v>
      </c>
      <c r="O793" s="744">
        <f t="shared" si="95"/>
        <v>100</v>
      </c>
      <c r="P793" s="698"/>
      <c r="Q793" s="698"/>
      <c r="R793" s="770"/>
      <c r="S793" s="817"/>
      <c r="T793" s="817"/>
    </row>
    <row r="794" spans="1:20" s="818" customFormat="1" ht="41.25" customHeight="1">
      <c r="A794" s="764">
        <v>4700</v>
      </c>
      <c r="B794" s="828" t="s">
        <v>550</v>
      </c>
      <c r="C794" s="720">
        <v>14500</v>
      </c>
      <c r="D794" s="698">
        <f t="shared" si="94"/>
        <v>14780</v>
      </c>
      <c r="E794" s="698">
        <f>SUM(H794+K794+N794+Q794)</f>
        <v>14445</v>
      </c>
      <c r="F794" s="699">
        <f t="shared" si="91"/>
        <v>97.73342354533153</v>
      </c>
      <c r="G794" s="720"/>
      <c r="H794" s="698"/>
      <c r="I794" s="948"/>
      <c r="J794" s="703"/>
      <c r="K794" s="698"/>
      <c r="L794" s="704"/>
      <c r="M794" s="720">
        <f>14500-500+780</f>
        <v>14780</v>
      </c>
      <c r="N794" s="698">
        <v>14445</v>
      </c>
      <c r="O794" s="744">
        <f t="shared" si="95"/>
        <v>97.73342354533153</v>
      </c>
      <c r="P794" s="698"/>
      <c r="Q794" s="698"/>
      <c r="R794" s="770"/>
      <c r="S794" s="817"/>
      <c r="T794" s="817"/>
    </row>
    <row r="795" spans="1:20" s="818" customFormat="1" ht="48.75" customHeight="1">
      <c r="A795" s="764">
        <v>4740</v>
      </c>
      <c r="B795" s="828" t="s">
        <v>235</v>
      </c>
      <c r="C795" s="720">
        <v>17700</v>
      </c>
      <c r="D795" s="698">
        <f t="shared" si="94"/>
        <v>13200</v>
      </c>
      <c r="E795" s="698">
        <f>SUM(H795+K795+N795+Q795)</f>
        <v>13186</v>
      </c>
      <c r="F795" s="699">
        <f t="shared" si="91"/>
        <v>99.89393939393939</v>
      </c>
      <c r="G795" s="720"/>
      <c r="H795" s="698"/>
      <c r="I795" s="948"/>
      <c r="J795" s="703"/>
      <c r="K795" s="698"/>
      <c r="L795" s="704"/>
      <c r="M795" s="720">
        <f>17700-500-3000-1000</f>
        <v>13200</v>
      </c>
      <c r="N795" s="698">
        <v>13186</v>
      </c>
      <c r="O795" s="744">
        <f t="shared" si="95"/>
        <v>99.89393939393939</v>
      </c>
      <c r="P795" s="698"/>
      <c r="Q795" s="698"/>
      <c r="R795" s="770"/>
      <c r="S795" s="817"/>
      <c r="T795" s="817"/>
    </row>
    <row r="796" spans="1:20" s="818" customFormat="1" ht="36">
      <c r="A796" s="764">
        <v>4750</v>
      </c>
      <c r="B796" s="828" t="s">
        <v>551</v>
      </c>
      <c r="C796" s="720">
        <v>21800</v>
      </c>
      <c r="D796" s="698">
        <f t="shared" si="94"/>
        <v>32000</v>
      </c>
      <c r="E796" s="698">
        <f t="shared" si="93"/>
        <v>31988</v>
      </c>
      <c r="F796" s="699">
        <f t="shared" si="91"/>
        <v>99.9625</v>
      </c>
      <c r="G796" s="720"/>
      <c r="H796" s="698"/>
      <c r="I796" s="948"/>
      <c r="J796" s="703"/>
      <c r="K796" s="698"/>
      <c r="L796" s="704"/>
      <c r="M796" s="720">
        <f>21800+5000+2000+2500+700</f>
        <v>32000</v>
      </c>
      <c r="N796" s="698">
        <v>31988</v>
      </c>
      <c r="O796" s="744">
        <f t="shared" si="95"/>
        <v>99.9625</v>
      </c>
      <c r="P796" s="698"/>
      <c r="Q796" s="698"/>
      <c r="R796" s="770"/>
      <c r="S796" s="817"/>
      <c r="T796" s="817"/>
    </row>
    <row r="797" spans="1:20" s="818" customFormat="1" ht="28.5" customHeight="1">
      <c r="A797" s="764">
        <v>6050</v>
      </c>
      <c r="B797" s="828" t="s">
        <v>246</v>
      </c>
      <c r="C797" s="720">
        <f>2540000+85800</f>
        <v>2625800</v>
      </c>
      <c r="D797" s="698">
        <f t="shared" si="94"/>
        <v>1697300</v>
      </c>
      <c r="E797" s="698">
        <f t="shared" si="93"/>
        <v>1696763</v>
      </c>
      <c r="F797" s="699">
        <f t="shared" si="91"/>
        <v>99.96836151534791</v>
      </c>
      <c r="G797" s="720"/>
      <c r="H797" s="698"/>
      <c r="I797" s="948"/>
      <c r="J797" s="703"/>
      <c r="K797" s="698"/>
      <c r="L797" s="704"/>
      <c r="M797" s="720">
        <f>2540000+85800-2540000+2245000+12600-110000+33500-500000-30000+15000-60000+15000+12000-7600-14000</f>
        <v>1697300</v>
      </c>
      <c r="N797" s="698">
        <v>1696763</v>
      </c>
      <c r="O797" s="744">
        <f t="shared" si="95"/>
        <v>99.96836151534791</v>
      </c>
      <c r="P797" s="698"/>
      <c r="Q797" s="698"/>
      <c r="R797" s="770"/>
      <c r="S797" s="817"/>
      <c r="T797" s="817"/>
    </row>
    <row r="798" spans="1:20" s="818" customFormat="1" ht="38.25" customHeight="1">
      <c r="A798" s="789">
        <v>6060</v>
      </c>
      <c r="B798" s="790" t="s">
        <v>593</v>
      </c>
      <c r="C798" s="791">
        <v>23400</v>
      </c>
      <c r="D798" s="792">
        <f t="shared" si="94"/>
        <v>14000</v>
      </c>
      <c r="E798" s="792">
        <f t="shared" si="93"/>
        <v>13958</v>
      </c>
      <c r="F798" s="760">
        <f t="shared" si="91"/>
        <v>99.7</v>
      </c>
      <c r="G798" s="791"/>
      <c r="H798" s="792"/>
      <c r="I798" s="954"/>
      <c r="J798" s="793"/>
      <c r="K798" s="792"/>
      <c r="L798" s="794"/>
      <c r="M798" s="791">
        <f>23400-4400-5000</f>
        <v>14000</v>
      </c>
      <c r="N798" s="792">
        <v>13958</v>
      </c>
      <c r="O798" s="744">
        <f t="shared" si="95"/>
        <v>99.7</v>
      </c>
      <c r="P798" s="792"/>
      <c r="Q798" s="792"/>
      <c r="R798" s="797"/>
      <c r="S798" s="817"/>
      <c r="T798" s="817"/>
    </row>
    <row r="799" spans="1:20" s="862" customFormat="1" ht="16.5" customHeight="1">
      <c r="A799" s="757">
        <v>80123</v>
      </c>
      <c r="B799" s="852" t="s">
        <v>725</v>
      </c>
      <c r="C799" s="725">
        <f>SUM(C800:C820)</f>
        <v>2020500</v>
      </c>
      <c r="D799" s="712">
        <f>G799+J799+P799+M799</f>
        <v>2137862</v>
      </c>
      <c r="E799" s="712">
        <f>H799+K799+Q799+N799</f>
        <v>2136279</v>
      </c>
      <c r="F799" s="713">
        <f t="shared" si="91"/>
        <v>99.92595406064564</v>
      </c>
      <c r="G799" s="725"/>
      <c r="H799" s="712"/>
      <c r="I799" s="955"/>
      <c r="J799" s="717"/>
      <c r="K799" s="712"/>
      <c r="L799" s="718"/>
      <c r="M799" s="725">
        <f>SUM(M800:M820)</f>
        <v>2137862</v>
      </c>
      <c r="N799" s="712">
        <f>SUM(N800:N820)</f>
        <v>2136279</v>
      </c>
      <c r="O799" s="741">
        <f t="shared" si="95"/>
        <v>99.92595406064564</v>
      </c>
      <c r="P799" s="712"/>
      <c r="Q799" s="712"/>
      <c r="R799" s="802"/>
      <c r="S799" s="861"/>
      <c r="T799" s="861"/>
    </row>
    <row r="800" spans="1:20" s="818" customFormat="1" ht="36">
      <c r="A800" s="784">
        <v>3020</v>
      </c>
      <c r="B800" s="768" t="s">
        <v>709</v>
      </c>
      <c r="C800" s="723">
        <v>8000</v>
      </c>
      <c r="D800" s="732">
        <f aca="true" t="shared" si="96" ref="D800:D851">G800+J800+P800+M800</f>
        <v>8400</v>
      </c>
      <c r="E800" s="732">
        <f aca="true" t="shared" si="97" ref="E800:E820">SUM(H800+K800+N800+Q800)</f>
        <v>8400</v>
      </c>
      <c r="F800" s="721">
        <f t="shared" si="91"/>
        <v>100</v>
      </c>
      <c r="G800" s="723"/>
      <c r="H800" s="732"/>
      <c r="I800" s="961"/>
      <c r="J800" s="735"/>
      <c r="K800" s="732"/>
      <c r="L800" s="736"/>
      <c r="M800" s="723">
        <f>8000+400</f>
        <v>8400</v>
      </c>
      <c r="N800" s="732">
        <v>8400</v>
      </c>
      <c r="O800" s="721">
        <f>N800/M800*100</f>
        <v>100</v>
      </c>
      <c r="P800" s="723"/>
      <c r="Q800" s="732"/>
      <c r="R800" s="788"/>
      <c r="S800" s="817"/>
      <c r="T800" s="817"/>
    </row>
    <row r="801" spans="1:20" s="818" customFormat="1" ht="27.75" customHeight="1">
      <c r="A801" s="764">
        <v>4010</v>
      </c>
      <c r="B801" s="768" t="s">
        <v>201</v>
      </c>
      <c r="C801" s="720">
        <v>1384000</v>
      </c>
      <c r="D801" s="698">
        <f t="shared" si="96"/>
        <v>1497400</v>
      </c>
      <c r="E801" s="698">
        <f t="shared" si="97"/>
        <v>1497310</v>
      </c>
      <c r="F801" s="699">
        <f t="shared" si="91"/>
        <v>99.99398958194203</v>
      </c>
      <c r="G801" s="720"/>
      <c r="H801" s="698"/>
      <c r="I801" s="948"/>
      <c r="J801" s="703"/>
      <c r="K801" s="698"/>
      <c r="L801" s="704"/>
      <c r="M801" s="720">
        <f>1384000+1890+36000+82700-7190</f>
        <v>1497400</v>
      </c>
      <c r="N801" s="698">
        <v>1497310</v>
      </c>
      <c r="O801" s="699">
        <f aca="true" t="shared" si="98" ref="O801:O820">N801/M801*100</f>
        <v>99.99398958194203</v>
      </c>
      <c r="P801" s="698"/>
      <c r="Q801" s="698"/>
      <c r="R801" s="770"/>
      <c r="S801" s="817"/>
      <c r="T801" s="817"/>
    </row>
    <row r="802" spans="1:20" s="818" customFormat="1" ht="24">
      <c r="A802" s="764">
        <v>4040</v>
      </c>
      <c r="B802" s="768" t="s">
        <v>205</v>
      </c>
      <c r="C802" s="720">
        <v>109800</v>
      </c>
      <c r="D802" s="698">
        <f t="shared" si="96"/>
        <v>106535</v>
      </c>
      <c r="E802" s="698">
        <f t="shared" si="97"/>
        <v>106529</v>
      </c>
      <c r="F802" s="699">
        <f t="shared" si="91"/>
        <v>99.99436804805933</v>
      </c>
      <c r="G802" s="720"/>
      <c r="H802" s="698"/>
      <c r="I802" s="948"/>
      <c r="J802" s="703"/>
      <c r="K802" s="698"/>
      <c r="L802" s="704"/>
      <c r="M802" s="720">
        <f>109800-3265</f>
        <v>106535</v>
      </c>
      <c r="N802" s="698">
        <f>106527+2</f>
        <v>106529</v>
      </c>
      <c r="O802" s="699">
        <f t="shared" si="98"/>
        <v>99.99436804805933</v>
      </c>
      <c r="P802" s="698"/>
      <c r="Q802" s="698"/>
      <c r="R802" s="770"/>
      <c r="S802" s="817"/>
      <c r="T802" s="817"/>
    </row>
    <row r="803" spans="1:20" s="818" customFormat="1" ht="25.5" customHeight="1">
      <c r="A803" s="764">
        <v>4110</v>
      </c>
      <c r="B803" s="768" t="s">
        <v>207</v>
      </c>
      <c r="C803" s="720">
        <v>227100</v>
      </c>
      <c r="D803" s="698">
        <f t="shared" si="96"/>
        <v>225550</v>
      </c>
      <c r="E803" s="698">
        <f t="shared" si="97"/>
        <v>224177</v>
      </c>
      <c r="F803" s="699">
        <f t="shared" si="91"/>
        <v>99.391265794724</v>
      </c>
      <c r="G803" s="720"/>
      <c r="H803" s="698"/>
      <c r="I803" s="948"/>
      <c r="J803" s="703"/>
      <c r="K803" s="698"/>
      <c r="L803" s="704"/>
      <c r="M803" s="720">
        <f>227100+260-1810</f>
        <v>225550</v>
      </c>
      <c r="N803" s="698">
        <v>224177</v>
      </c>
      <c r="O803" s="699">
        <f t="shared" si="98"/>
        <v>99.391265794724</v>
      </c>
      <c r="P803" s="698"/>
      <c r="Q803" s="698"/>
      <c r="R803" s="770"/>
      <c r="S803" s="817"/>
      <c r="T803" s="817"/>
    </row>
    <row r="804" spans="1:20" s="818" customFormat="1" ht="12.75">
      <c r="A804" s="764">
        <v>4120</v>
      </c>
      <c r="B804" s="768" t="s">
        <v>584</v>
      </c>
      <c r="C804" s="720">
        <v>36500</v>
      </c>
      <c r="D804" s="698">
        <f t="shared" si="96"/>
        <v>36050</v>
      </c>
      <c r="E804" s="698">
        <f t="shared" si="97"/>
        <v>36042</v>
      </c>
      <c r="F804" s="699">
        <f t="shared" si="91"/>
        <v>99.97780859916783</v>
      </c>
      <c r="G804" s="720"/>
      <c r="H804" s="698"/>
      <c r="I804" s="948"/>
      <c r="J804" s="703"/>
      <c r="K804" s="698"/>
      <c r="L804" s="704"/>
      <c r="M804" s="720">
        <f>36500+50-500</f>
        <v>36050</v>
      </c>
      <c r="N804" s="698">
        <v>36042</v>
      </c>
      <c r="O804" s="699">
        <f t="shared" si="98"/>
        <v>99.97780859916783</v>
      </c>
      <c r="P804" s="698"/>
      <c r="Q804" s="698"/>
      <c r="R804" s="770"/>
      <c r="S804" s="817"/>
      <c r="T804" s="817"/>
    </row>
    <row r="805" spans="1:20" s="818" customFormat="1" ht="12.75">
      <c r="A805" s="764">
        <v>4140</v>
      </c>
      <c r="B805" s="768" t="s">
        <v>283</v>
      </c>
      <c r="C805" s="720">
        <v>6000</v>
      </c>
      <c r="D805" s="698">
        <f t="shared" si="96"/>
        <v>4420</v>
      </c>
      <c r="E805" s="698">
        <f t="shared" si="97"/>
        <v>4420</v>
      </c>
      <c r="F805" s="699">
        <f t="shared" si="91"/>
        <v>100</v>
      </c>
      <c r="G805" s="720"/>
      <c r="H805" s="698"/>
      <c r="I805" s="948"/>
      <c r="J805" s="703"/>
      <c r="K805" s="698"/>
      <c r="L805" s="704"/>
      <c r="M805" s="720">
        <f>6000-1580</f>
        <v>4420</v>
      </c>
      <c r="N805" s="698">
        <v>4420</v>
      </c>
      <c r="O805" s="699">
        <f t="shared" si="98"/>
        <v>100</v>
      </c>
      <c r="P805" s="698"/>
      <c r="Q805" s="698"/>
      <c r="R805" s="770"/>
      <c r="S805" s="817"/>
      <c r="T805" s="817"/>
    </row>
    <row r="806" spans="1:20" s="818" customFormat="1" ht="24">
      <c r="A806" s="764">
        <v>4210</v>
      </c>
      <c r="B806" s="768" t="s">
        <v>211</v>
      </c>
      <c r="C806" s="720">
        <v>29000</v>
      </c>
      <c r="D806" s="698">
        <f t="shared" si="96"/>
        <v>29000</v>
      </c>
      <c r="E806" s="698">
        <f t="shared" si="97"/>
        <v>29000</v>
      </c>
      <c r="F806" s="699">
        <f t="shared" si="91"/>
        <v>100</v>
      </c>
      <c r="G806" s="720"/>
      <c r="H806" s="698"/>
      <c r="I806" s="948"/>
      <c r="J806" s="703"/>
      <c r="K806" s="698"/>
      <c r="L806" s="704"/>
      <c r="M806" s="720">
        <v>29000</v>
      </c>
      <c r="N806" s="698">
        <v>29000</v>
      </c>
      <c r="O806" s="699">
        <f t="shared" si="98"/>
        <v>100</v>
      </c>
      <c r="P806" s="698"/>
      <c r="Q806" s="698"/>
      <c r="R806" s="770"/>
      <c r="S806" s="817"/>
      <c r="T806" s="817"/>
    </row>
    <row r="807" spans="1:20" s="818" customFormat="1" ht="26.25" customHeight="1">
      <c r="A807" s="764">
        <v>4240</v>
      </c>
      <c r="B807" s="768" t="s">
        <v>666</v>
      </c>
      <c r="C807" s="720">
        <v>10000</v>
      </c>
      <c r="D807" s="698">
        <f t="shared" si="96"/>
        <v>10000</v>
      </c>
      <c r="E807" s="698">
        <f t="shared" si="97"/>
        <v>9995</v>
      </c>
      <c r="F807" s="699">
        <f t="shared" si="91"/>
        <v>99.95</v>
      </c>
      <c r="G807" s="720"/>
      <c r="H807" s="698"/>
      <c r="I807" s="948"/>
      <c r="J807" s="703"/>
      <c r="K807" s="698"/>
      <c r="L807" s="704"/>
      <c r="M807" s="720">
        <v>10000</v>
      </c>
      <c r="N807" s="698">
        <v>9995</v>
      </c>
      <c r="O807" s="699">
        <f t="shared" si="98"/>
        <v>99.95</v>
      </c>
      <c r="P807" s="698"/>
      <c r="Q807" s="698"/>
      <c r="R807" s="770"/>
      <c r="S807" s="817"/>
      <c r="T807" s="817"/>
    </row>
    <row r="808" spans="1:20" s="818" customFormat="1" ht="12.75">
      <c r="A808" s="764">
        <v>4260</v>
      </c>
      <c r="B808" s="768" t="s">
        <v>215</v>
      </c>
      <c r="C808" s="720">
        <v>63000</v>
      </c>
      <c r="D808" s="698">
        <f t="shared" si="96"/>
        <v>70000</v>
      </c>
      <c r="E808" s="698">
        <f t="shared" si="97"/>
        <v>70000</v>
      </c>
      <c r="F808" s="699">
        <f t="shared" si="91"/>
        <v>100</v>
      </c>
      <c r="G808" s="720"/>
      <c r="H808" s="698"/>
      <c r="I808" s="948"/>
      <c r="J808" s="703"/>
      <c r="K808" s="698"/>
      <c r="L808" s="704"/>
      <c r="M808" s="720">
        <f>63000+3000+4000</f>
        <v>70000</v>
      </c>
      <c r="N808" s="698">
        <v>70000</v>
      </c>
      <c r="O808" s="699">
        <f t="shared" si="98"/>
        <v>100</v>
      </c>
      <c r="P808" s="698"/>
      <c r="Q808" s="698"/>
      <c r="R808" s="770"/>
      <c r="S808" s="817"/>
      <c r="T808" s="817"/>
    </row>
    <row r="809" spans="1:20" s="818" customFormat="1" ht="15.75" customHeight="1">
      <c r="A809" s="764">
        <v>4270</v>
      </c>
      <c r="B809" s="768" t="s">
        <v>217</v>
      </c>
      <c r="C809" s="720">
        <v>4500</v>
      </c>
      <c r="D809" s="698">
        <f t="shared" si="96"/>
        <v>4500</v>
      </c>
      <c r="E809" s="698">
        <f t="shared" si="97"/>
        <v>4473</v>
      </c>
      <c r="F809" s="699">
        <f t="shared" si="91"/>
        <v>99.4</v>
      </c>
      <c r="G809" s="720"/>
      <c r="H809" s="698"/>
      <c r="I809" s="948"/>
      <c r="J809" s="703"/>
      <c r="K809" s="698"/>
      <c r="L809" s="704"/>
      <c r="M809" s="720">
        <v>4500</v>
      </c>
      <c r="N809" s="698">
        <v>4473</v>
      </c>
      <c r="O809" s="699">
        <f t="shared" si="98"/>
        <v>99.4</v>
      </c>
      <c r="P809" s="698"/>
      <c r="Q809" s="698"/>
      <c r="R809" s="770"/>
      <c r="S809" s="817"/>
      <c r="T809" s="817"/>
    </row>
    <row r="810" spans="1:20" s="818" customFormat="1" ht="16.5" customHeight="1">
      <c r="A810" s="764">
        <v>4280</v>
      </c>
      <c r="B810" s="768" t="s">
        <v>542</v>
      </c>
      <c r="C810" s="720">
        <v>1800</v>
      </c>
      <c r="D810" s="698">
        <f t="shared" si="96"/>
        <v>1800</v>
      </c>
      <c r="E810" s="698">
        <f t="shared" si="97"/>
        <v>1800</v>
      </c>
      <c r="F810" s="699">
        <f t="shared" si="91"/>
        <v>100</v>
      </c>
      <c r="G810" s="720"/>
      <c r="H810" s="698"/>
      <c r="I810" s="948"/>
      <c r="J810" s="703"/>
      <c r="K810" s="698"/>
      <c r="L810" s="704"/>
      <c r="M810" s="720">
        <v>1800</v>
      </c>
      <c r="N810" s="698">
        <v>1800</v>
      </c>
      <c r="O810" s="699">
        <f t="shared" si="98"/>
        <v>100</v>
      </c>
      <c r="P810" s="698"/>
      <c r="Q810" s="698"/>
      <c r="R810" s="770"/>
      <c r="S810" s="817"/>
      <c r="T810" s="817"/>
    </row>
    <row r="811" spans="1:20" s="818" customFormat="1" ht="18" customHeight="1">
      <c r="A811" s="764">
        <v>4300</v>
      </c>
      <c r="B811" s="768" t="s">
        <v>219</v>
      </c>
      <c r="C811" s="720">
        <v>23800</v>
      </c>
      <c r="D811" s="698">
        <f t="shared" si="96"/>
        <v>23800</v>
      </c>
      <c r="E811" s="698">
        <f t="shared" si="97"/>
        <v>23800</v>
      </c>
      <c r="F811" s="699">
        <f t="shared" si="91"/>
        <v>100</v>
      </c>
      <c r="G811" s="720"/>
      <c r="H811" s="698"/>
      <c r="I811" s="948"/>
      <c r="J811" s="703"/>
      <c r="K811" s="698"/>
      <c r="L811" s="704"/>
      <c r="M811" s="720">
        <v>23800</v>
      </c>
      <c r="N811" s="698">
        <v>23800</v>
      </c>
      <c r="O811" s="699">
        <f t="shared" si="98"/>
        <v>100</v>
      </c>
      <c r="P811" s="698"/>
      <c r="Q811" s="698"/>
      <c r="R811" s="770"/>
      <c r="S811" s="817"/>
      <c r="T811" s="817"/>
    </row>
    <row r="812" spans="1:20" s="818" customFormat="1" ht="24">
      <c r="A812" s="764">
        <v>4350</v>
      </c>
      <c r="B812" s="768" t="s">
        <v>544</v>
      </c>
      <c r="C812" s="720">
        <v>1700</v>
      </c>
      <c r="D812" s="698">
        <f t="shared" si="96"/>
        <v>1700</v>
      </c>
      <c r="E812" s="698">
        <f t="shared" si="97"/>
        <v>1687</v>
      </c>
      <c r="F812" s="699">
        <f aca="true" t="shared" si="99" ref="F812:F851">E812/D812*100</f>
        <v>99.23529411764706</v>
      </c>
      <c r="G812" s="703"/>
      <c r="H812" s="703"/>
      <c r="I812" s="948"/>
      <c r="J812" s="703"/>
      <c r="K812" s="698"/>
      <c r="L812" s="704"/>
      <c r="M812" s="720">
        <v>1700</v>
      </c>
      <c r="N812" s="698">
        <v>1687</v>
      </c>
      <c r="O812" s="699">
        <f t="shared" si="98"/>
        <v>99.23529411764706</v>
      </c>
      <c r="P812" s="698"/>
      <c r="Q812" s="698"/>
      <c r="R812" s="770"/>
      <c r="S812" s="817"/>
      <c r="T812" s="817"/>
    </row>
    <row r="813" spans="1:20" s="818" customFormat="1" ht="37.5" customHeight="1">
      <c r="A813" s="764">
        <v>4360</v>
      </c>
      <c r="B813" s="828" t="s">
        <v>682</v>
      </c>
      <c r="C813" s="720">
        <v>600</v>
      </c>
      <c r="D813" s="698">
        <f>G813+J813+P813+M813</f>
        <v>820</v>
      </c>
      <c r="E813" s="698">
        <f>SUM(H813+K813+N813+Q813)</f>
        <v>759</v>
      </c>
      <c r="F813" s="699">
        <f t="shared" si="99"/>
        <v>92.5609756097561</v>
      </c>
      <c r="G813" s="703"/>
      <c r="H813" s="703"/>
      <c r="I813" s="948"/>
      <c r="J813" s="703"/>
      <c r="K813" s="698"/>
      <c r="L813" s="704"/>
      <c r="M813" s="720">
        <f>600+220</f>
        <v>820</v>
      </c>
      <c r="N813" s="698">
        <v>759</v>
      </c>
      <c r="O813" s="699">
        <f t="shared" si="98"/>
        <v>92.5609756097561</v>
      </c>
      <c r="P813" s="698"/>
      <c r="Q813" s="698"/>
      <c r="R813" s="770"/>
      <c r="S813" s="817"/>
      <c r="T813" s="817"/>
    </row>
    <row r="814" spans="1:20" s="818" customFormat="1" ht="38.25" customHeight="1">
      <c r="A814" s="764">
        <v>4370</v>
      </c>
      <c r="B814" s="828" t="s">
        <v>635</v>
      </c>
      <c r="C814" s="720">
        <v>3700</v>
      </c>
      <c r="D814" s="698">
        <f>G814+J814+P814+M814</f>
        <v>3480</v>
      </c>
      <c r="E814" s="698">
        <f>SUM(H814+K814+N814+Q814)</f>
        <v>3480</v>
      </c>
      <c r="F814" s="699">
        <f t="shared" si="99"/>
        <v>100</v>
      </c>
      <c r="G814" s="703"/>
      <c r="H814" s="703"/>
      <c r="I814" s="948"/>
      <c r="J814" s="703"/>
      <c r="K814" s="698"/>
      <c r="L814" s="704"/>
      <c r="M814" s="720">
        <f>3700-220</f>
        <v>3480</v>
      </c>
      <c r="N814" s="698">
        <f>3460+20</f>
        <v>3480</v>
      </c>
      <c r="O814" s="699">
        <f t="shared" si="98"/>
        <v>100</v>
      </c>
      <c r="P814" s="698"/>
      <c r="Q814" s="698"/>
      <c r="R814" s="770"/>
      <c r="S814" s="817"/>
      <c r="T814" s="817"/>
    </row>
    <row r="815" spans="1:20" s="818" customFormat="1" ht="40.5" customHeight="1">
      <c r="A815" s="764">
        <v>4390</v>
      </c>
      <c r="B815" s="768" t="s">
        <v>243</v>
      </c>
      <c r="C815" s="720">
        <v>3700</v>
      </c>
      <c r="D815" s="698">
        <f>G815+J815+P815+M815</f>
        <v>3300</v>
      </c>
      <c r="E815" s="698">
        <f>SUM(H815+K815+N815+Q815)</f>
        <v>3300</v>
      </c>
      <c r="F815" s="699">
        <f t="shared" si="99"/>
        <v>100</v>
      </c>
      <c r="G815" s="703"/>
      <c r="H815" s="703"/>
      <c r="I815" s="948"/>
      <c r="J815" s="703"/>
      <c r="K815" s="698"/>
      <c r="L815" s="704"/>
      <c r="M815" s="720">
        <f>3700-400</f>
        <v>3300</v>
      </c>
      <c r="N815" s="698">
        <v>3300</v>
      </c>
      <c r="O815" s="699">
        <f t="shared" si="98"/>
        <v>100</v>
      </c>
      <c r="P815" s="698"/>
      <c r="Q815" s="698"/>
      <c r="R815" s="770"/>
      <c r="S815" s="817"/>
      <c r="T815" s="817"/>
    </row>
    <row r="816" spans="1:20" s="818" customFormat="1" ht="14.25" customHeight="1">
      <c r="A816" s="764">
        <v>4410</v>
      </c>
      <c r="B816" s="768" t="s">
        <v>193</v>
      </c>
      <c r="C816" s="720">
        <v>2000</v>
      </c>
      <c r="D816" s="698">
        <f t="shared" si="96"/>
        <v>1000</v>
      </c>
      <c r="E816" s="698">
        <f t="shared" si="97"/>
        <v>1000</v>
      </c>
      <c r="F816" s="699">
        <f t="shared" si="99"/>
        <v>100</v>
      </c>
      <c r="G816" s="698"/>
      <c r="H816" s="703"/>
      <c r="I816" s="948"/>
      <c r="J816" s="703"/>
      <c r="K816" s="698"/>
      <c r="L816" s="704"/>
      <c r="M816" s="720">
        <f>2000-1000</f>
        <v>1000</v>
      </c>
      <c r="N816" s="698">
        <v>1000</v>
      </c>
      <c r="O816" s="699">
        <f t="shared" si="98"/>
        <v>100</v>
      </c>
      <c r="P816" s="698"/>
      <c r="Q816" s="698"/>
      <c r="R816" s="770"/>
      <c r="S816" s="817"/>
      <c r="T816" s="817"/>
    </row>
    <row r="817" spans="1:20" s="818" customFormat="1" ht="12.75">
      <c r="A817" s="764">
        <v>4440</v>
      </c>
      <c r="B817" s="768" t="s">
        <v>223</v>
      </c>
      <c r="C817" s="720">
        <v>92800</v>
      </c>
      <c r="D817" s="698">
        <f t="shared" si="96"/>
        <v>97607</v>
      </c>
      <c r="E817" s="698">
        <f>SUM(H817+K817+N817+Q817)</f>
        <v>97607</v>
      </c>
      <c r="F817" s="699">
        <f t="shared" si="99"/>
        <v>100</v>
      </c>
      <c r="G817" s="698"/>
      <c r="H817" s="703"/>
      <c r="I817" s="948"/>
      <c r="J817" s="703"/>
      <c r="K817" s="698"/>
      <c r="L817" s="704"/>
      <c r="M817" s="720">
        <f>92800+2822-697+2682</f>
        <v>97607</v>
      </c>
      <c r="N817" s="698">
        <v>97607</v>
      </c>
      <c r="O817" s="699">
        <f t="shared" si="98"/>
        <v>100</v>
      </c>
      <c r="P817" s="698"/>
      <c r="Q817" s="698"/>
      <c r="R817" s="770"/>
      <c r="S817" s="817"/>
      <c r="T817" s="817"/>
    </row>
    <row r="818" spans="1:20" s="818" customFormat="1" ht="39" customHeight="1">
      <c r="A818" s="764">
        <v>4700</v>
      </c>
      <c r="B818" s="828" t="s">
        <v>550</v>
      </c>
      <c r="C818" s="720">
        <v>3100</v>
      </c>
      <c r="D818" s="698">
        <f t="shared" si="96"/>
        <v>3100</v>
      </c>
      <c r="E818" s="698">
        <f>SUM(H818+K818+N818+Q818)</f>
        <v>3100</v>
      </c>
      <c r="F818" s="699">
        <f t="shared" si="99"/>
        <v>100</v>
      </c>
      <c r="G818" s="698"/>
      <c r="H818" s="703"/>
      <c r="I818" s="948"/>
      <c r="J818" s="703"/>
      <c r="K818" s="698"/>
      <c r="L818" s="704"/>
      <c r="M818" s="720">
        <v>3100</v>
      </c>
      <c r="N818" s="698">
        <v>3100</v>
      </c>
      <c r="O818" s="699">
        <f t="shared" si="98"/>
        <v>100</v>
      </c>
      <c r="P818" s="698"/>
      <c r="Q818" s="698"/>
      <c r="R818" s="770"/>
      <c r="S818" s="817"/>
      <c r="T818" s="817"/>
    </row>
    <row r="819" spans="1:20" s="818" customFormat="1" ht="48" customHeight="1">
      <c r="A819" s="764">
        <v>4740</v>
      </c>
      <c r="B819" s="828" t="s">
        <v>235</v>
      </c>
      <c r="C819" s="720">
        <v>4100</v>
      </c>
      <c r="D819" s="698">
        <f t="shared" si="96"/>
        <v>4100</v>
      </c>
      <c r="E819" s="698">
        <f t="shared" si="97"/>
        <v>4100</v>
      </c>
      <c r="F819" s="699">
        <f t="shared" si="99"/>
        <v>100</v>
      </c>
      <c r="G819" s="698"/>
      <c r="H819" s="703"/>
      <c r="I819" s="948"/>
      <c r="J819" s="703"/>
      <c r="K819" s="698"/>
      <c r="L819" s="704"/>
      <c r="M819" s="720">
        <v>4100</v>
      </c>
      <c r="N819" s="698">
        <v>4100</v>
      </c>
      <c r="O819" s="699">
        <f t="shared" si="98"/>
        <v>100</v>
      </c>
      <c r="P819" s="698"/>
      <c r="Q819" s="698"/>
      <c r="R819" s="770"/>
      <c r="S819" s="817"/>
      <c r="T819" s="817"/>
    </row>
    <row r="820" spans="1:20" s="818" customFormat="1" ht="36">
      <c r="A820" s="764">
        <v>4750</v>
      </c>
      <c r="B820" s="828" t="s">
        <v>551</v>
      </c>
      <c r="C820" s="791">
        <v>5300</v>
      </c>
      <c r="D820" s="698">
        <f t="shared" si="96"/>
        <v>5300</v>
      </c>
      <c r="E820" s="698">
        <f t="shared" si="97"/>
        <v>5300</v>
      </c>
      <c r="F820" s="699">
        <f t="shared" si="99"/>
        <v>100</v>
      </c>
      <c r="G820" s="792"/>
      <c r="H820" s="793"/>
      <c r="I820" s="954"/>
      <c r="J820" s="793"/>
      <c r="K820" s="792"/>
      <c r="L820" s="794"/>
      <c r="M820" s="791">
        <v>5300</v>
      </c>
      <c r="N820" s="792">
        <v>5300</v>
      </c>
      <c r="O820" s="699">
        <f t="shared" si="98"/>
        <v>100</v>
      </c>
      <c r="P820" s="792"/>
      <c r="Q820" s="792"/>
      <c r="R820" s="797"/>
      <c r="S820" s="817"/>
      <c r="T820" s="817"/>
    </row>
    <row r="821" spans="1:20" s="818" customFormat="1" ht="17.25" customHeight="1">
      <c r="A821" s="757">
        <v>80130</v>
      </c>
      <c r="B821" s="852" t="s">
        <v>726</v>
      </c>
      <c r="C821" s="725">
        <f>SUM(C822:C851)</f>
        <v>20194900</v>
      </c>
      <c r="D821" s="712">
        <f t="shared" si="96"/>
        <v>22194600</v>
      </c>
      <c r="E821" s="712">
        <f>H821+K821+Q821+N821</f>
        <v>22154144</v>
      </c>
      <c r="F821" s="713">
        <f t="shared" si="99"/>
        <v>99.81772142773467</v>
      </c>
      <c r="G821" s="874"/>
      <c r="H821" s="875"/>
      <c r="I821" s="955"/>
      <c r="J821" s="875"/>
      <c r="K821" s="874"/>
      <c r="L821" s="876"/>
      <c r="M821" s="725">
        <f>SUM(M822:M851)</f>
        <v>22194600</v>
      </c>
      <c r="N821" s="712">
        <f>SUM(N822:N851)</f>
        <v>22154144</v>
      </c>
      <c r="O821" s="741">
        <f t="shared" si="95"/>
        <v>99.81772142773467</v>
      </c>
      <c r="P821" s="712"/>
      <c r="Q821" s="712"/>
      <c r="R821" s="846"/>
      <c r="S821" s="817"/>
      <c r="T821" s="817"/>
    </row>
    <row r="822" spans="1:20" s="818" customFormat="1" ht="38.25" customHeight="1">
      <c r="A822" s="784">
        <v>2540</v>
      </c>
      <c r="B822" s="785" t="s">
        <v>708</v>
      </c>
      <c r="C822" s="723">
        <v>3300000</v>
      </c>
      <c r="D822" s="732">
        <f t="shared" si="96"/>
        <v>4816544</v>
      </c>
      <c r="E822" s="732">
        <f>SUM(H822+K822+N822+Q822)</f>
        <v>4816544</v>
      </c>
      <c r="F822" s="721">
        <f t="shared" si="99"/>
        <v>100</v>
      </c>
      <c r="G822" s="732"/>
      <c r="H822" s="735"/>
      <c r="I822" s="961"/>
      <c r="J822" s="735"/>
      <c r="K822" s="732"/>
      <c r="L822" s="736"/>
      <c r="M822" s="723">
        <f>3300000+894502-68283+690325</f>
        <v>4816544</v>
      </c>
      <c r="N822" s="732">
        <v>4816544</v>
      </c>
      <c r="O822" s="786">
        <f t="shared" si="95"/>
        <v>100</v>
      </c>
      <c r="P822" s="732"/>
      <c r="Q822" s="732"/>
      <c r="R822" s="788"/>
      <c r="S822" s="817"/>
      <c r="T822" s="817"/>
    </row>
    <row r="823" spans="1:20" s="818" customFormat="1" ht="73.5" customHeight="1">
      <c r="A823" s="764">
        <v>2590</v>
      </c>
      <c r="B823" s="768" t="s">
        <v>727</v>
      </c>
      <c r="C823" s="720">
        <v>525000</v>
      </c>
      <c r="D823" s="698">
        <f>G823+J823+P823+M823</f>
        <v>525000</v>
      </c>
      <c r="E823" s="698">
        <f>SUM(H823+K823+N823+Q823)</f>
        <v>522681</v>
      </c>
      <c r="F823" s="699">
        <f>E823/D823*100</f>
        <v>99.55828571428572</v>
      </c>
      <c r="G823" s="698"/>
      <c r="H823" s="703"/>
      <c r="I823" s="948"/>
      <c r="J823" s="703"/>
      <c r="K823" s="698"/>
      <c r="L823" s="704"/>
      <c r="M823" s="720">
        <v>525000</v>
      </c>
      <c r="N823" s="698">
        <v>522681</v>
      </c>
      <c r="O823" s="744">
        <f t="shared" si="95"/>
        <v>99.55828571428572</v>
      </c>
      <c r="P823" s="698"/>
      <c r="Q823" s="698"/>
      <c r="R823" s="770"/>
      <c r="S823" s="817"/>
      <c r="T823" s="817"/>
    </row>
    <row r="824" spans="1:20" s="818" customFormat="1" ht="36">
      <c r="A824" s="764">
        <v>3020</v>
      </c>
      <c r="B824" s="768" t="s">
        <v>709</v>
      </c>
      <c r="C824" s="720">
        <v>77000</v>
      </c>
      <c r="D824" s="698">
        <f t="shared" si="96"/>
        <v>102250</v>
      </c>
      <c r="E824" s="698">
        <f aca="true" t="shared" si="100" ref="E824:E851">SUM(H824+K824+N824+Q824)</f>
        <v>102004</v>
      </c>
      <c r="F824" s="699">
        <f t="shared" si="99"/>
        <v>99.75941320293398</v>
      </c>
      <c r="G824" s="698"/>
      <c r="H824" s="703"/>
      <c r="I824" s="948"/>
      <c r="J824" s="703"/>
      <c r="K824" s="698"/>
      <c r="L824" s="704"/>
      <c r="M824" s="720">
        <f>77000+5300+19950</f>
        <v>102250</v>
      </c>
      <c r="N824" s="698">
        <v>102004</v>
      </c>
      <c r="O824" s="744">
        <f t="shared" si="95"/>
        <v>99.75941320293398</v>
      </c>
      <c r="P824" s="698"/>
      <c r="Q824" s="698"/>
      <c r="R824" s="770"/>
      <c r="S824" s="817"/>
      <c r="T824" s="817"/>
    </row>
    <row r="825" spans="1:20" s="818" customFormat="1" ht="12.75">
      <c r="A825" s="764">
        <v>3050</v>
      </c>
      <c r="B825" s="768" t="s">
        <v>728</v>
      </c>
      <c r="C825" s="720">
        <v>20100</v>
      </c>
      <c r="D825" s="698">
        <f t="shared" si="96"/>
        <v>20100</v>
      </c>
      <c r="E825" s="698">
        <f t="shared" si="100"/>
        <v>18824</v>
      </c>
      <c r="F825" s="699">
        <f t="shared" si="99"/>
        <v>93.65174129353234</v>
      </c>
      <c r="G825" s="698"/>
      <c r="H825" s="703"/>
      <c r="I825" s="948"/>
      <c r="J825" s="703"/>
      <c r="K825" s="698"/>
      <c r="L825" s="704"/>
      <c r="M825" s="720">
        <v>20100</v>
      </c>
      <c r="N825" s="698">
        <v>18824</v>
      </c>
      <c r="O825" s="744">
        <f t="shared" si="95"/>
        <v>93.65174129353234</v>
      </c>
      <c r="P825" s="698"/>
      <c r="Q825" s="698"/>
      <c r="R825" s="770"/>
      <c r="S825" s="817"/>
      <c r="T825" s="817"/>
    </row>
    <row r="826" spans="1:20" s="818" customFormat="1" ht="24" hidden="1">
      <c r="A826" s="764">
        <v>3110</v>
      </c>
      <c r="B826" s="768" t="s">
        <v>713</v>
      </c>
      <c r="C826" s="720"/>
      <c r="D826" s="698">
        <f>G826+J826+P826+M826</f>
        <v>0</v>
      </c>
      <c r="E826" s="698">
        <f>SUM(H826+K826+N826+Q826)</f>
        <v>0</v>
      </c>
      <c r="F826" s="699" t="e">
        <f>E826/D826*100</f>
        <v>#DIV/0!</v>
      </c>
      <c r="G826" s="698"/>
      <c r="H826" s="703"/>
      <c r="I826" s="948"/>
      <c r="J826" s="703"/>
      <c r="K826" s="698"/>
      <c r="L826" s="704"/>
      <c r="M826" s="720"/>
      <c r="N826" s="698"/>
      <c r="O826" s="744" t="e">
        <f t="shared" si="95"/>
        <v>#DIV/0!</v>
      </c>
      <c r="P826" s="698"/>
      <c r="Q826" s="698"/>
      <c r="R826" s="770"/>
      <c r="S826" s="817"/>
      <c r="T826" s="817"/>
    </row>
    <row r="827" spans="1:20" s="818" customFormat="1" ht="26.25" customHeight="1">
      <c r="A827" s="764">
        <v>4010</v>
      </c>
      <c r="B827" s="768" t="s">
        <v>201</v>
      </c>
      <c r="C827" s="720">
        <v>10652400</v>
      </c>
      <c r="D827" s="698">
        <f t="shared" si="96"/>
        <v>11003200</v>
      </c>
      <c r="E827" s="698">
        <f t="shared" si="100"/>
        <v>11003200</v>
      </c>
      <c r="F827" s="699">
        <f t="shared" si="99"/>
        <v>100</v>
      </c>
      <c r="G827" s="698"/>
      <c r="H827" s="703"/>
      <c r="I827" s="948"/>
      <c r="J827" s="703"/>
      <c r="K827" s="698"/>
      <c r="L827" s="704"/>
      <c r="M827" s="720">
        <f>10652400+8840+42000+337760-49800+12000</f>
        <v>11003200</v>
      </c>
      <c r="N827" s="698">
        <v>11003200</v>
      </c>
      <c r="O827" s="744">
        <f t="shared" si="95"/>
        <v>100</v>
      </c>
      <c r="P827" s="698"/>
      <c r="Q827" s="698"/>
      <c r="R827" s="770"/>
      <c r="S827" s="817"/>
      <c r="T827" s="817"/>
    </row>
    <row r="828" spans="1:20" s="818" customFormat="1" ht="24">
      <c r="A828" s="764">
        <v>4040</v>
      </c>
      <c r="B828" s="768" t="s">
        <v>205</v>
      </c>
      <c r="C828" s="720">
        <v>889900</v>
      </c>
      <c r="D828" s="698">
        <f t="shared" si="96"/>
        <v>822543</v>
      </c>
      <c r="E828" s="698">
        <f t="shared" si="100"/>
        <v>822522</v>
      </c>
      <c r="F828" s="699">
        <f t="shared" si="99"/>
        <v>99.99744694198358</v>
      </c>
      <c r="G828" s="698"/>
      <c r="H828" s="703"/>
      <c r="I828" s="948"/>
      <c r="J828" s="703"/>
      <c r="K828" s="698"/>
      <c r="L828" s="704"/>
      <c r="M828" s="720">
        <f>889900-67357</f>
        <v>822543</v>
      </c>
      <c r="N828" s="698">
        <v>822522</v>
      </c>
      <c r="O828" s="744">
        <f t="shared" si="95"/>
        <v>99.99744694198358</v>
      </c>
      <c r="P828" s="698"/>
      <c r="Q828" s="698"/>
      <c r="R828" s="770"/>
      <c r="S828" s="817"/>
      <c r="T828" s="817"/>
    </row>
    <row r="829" spans="1:20" s="818" customFormat="1" ht="25.5" customHeight="1">
      <c r="A829" s="764">
        <v>4110</v>
      </c>
      <c r="B829" s="768" t="s">
        <v>207</v>
      </c>
      <c r="C829" s="720">
        <v>1764800</v>
      </c>
      <c r="D829" s="698">
        <f t="shared" si="96"/>
        <v>1694800</v>
      </c>
      <c r="E829" s="698">
        <f t="shared" si="100"/>
        <v>1694800</v>
      </c>
      <c r="F829" s="699">
        <f t="shared" si="99"/>
        <v>100</v>
      </c>
      <c r="G829" s="698"/>
      <c r="H829" s="703"/>
      <c r="I829" s="948"/>
      <c r="J829" s="703"/>
      <c r="K829" s="698"/>
      <c r="L829" s="704"/>
      <c r="M829" s="720">
        <f>1764800+1340-59340-12000</f>
        <v>1694800</v>
      </c>
      <c r="N829" s="698">
        <v>1694800</v>
      </c>
      <c r="O829" s="744">
        <f t="shared" si="95"/>
        <v>100</v>
      </c>
      <c r="P829" s="698"/>
      <c r="Q829" s="698"/>
      <c r="R829" s="770"/>
      <c r="S829" s="817"/>
      <c r="T829" s="817"/>
    </row>
    <row r="830" spans="1:20" s="818" customFormat="1" ht="12.75">
      <c r="A830" s="764">
        <v>4120</v>
      </c>
      <c r="B830" s="768" t="s">
        <v>584</v>
      </c>
      <c r="C830" s="720">
        <v>281700</v>
      </c>
      <c r="D830" s="698">
        <f t="shared" si="96"/>
        <v>261900</v>
      </c>
      <c r="E830" s="698">
        <f t="shared" si="100"/>
        <v>261900</v>
      </c>
      <c r="F830" s="699">
        <f t="shared" si="99"/>
        <v>100</v>
      </c>
      <c r="G830" s="698"/>
      <c r="H830" s="703"/>
      <c r="I830" s="948"/>
      <c r="J830" s="703"/>
      <c r="K830" s="698"/>
      <c r="L830" s="704"/>
      <c r="M830" s="720">
        <f>281700+220-20020</f>
        <v>261900</v>
      </c>
      <c r="N830" s="698">
        <v>261900</v>
      </c>
      <c r="O830" s="744">
        <f t="shared" si="95"/>
        <v>100</v>
      </c>
      <c r="P830" s="698"/>
      <c r="Q830" s="698"/>
      <c r="R830" s="770"/>
      <c r="S830" s="817"/>
      <c r="T830" s="817"/>
    </row>
    <row r="831" spans="1:20" s="818" customFormat="1" ht="27" customHeight="1">
      <c r="A831" s="764">
        <v>4130</v>
      </c>
      <c r="B831" s="768" t="s">
        <v>714</v>
      </c>
      <c r="C831" s="720"/>
      <c r="D831" s="698">
        <f t="shared" si="96"/>
        <v>500</v>
      </c>
      <c r="E831" s="698">
        <f t="shared" si="100"/>
        <v>302</v>
      </c>
      <c r="F831" s="699">
        <f t="shared" si="99"/>
        <v>60.4</v>
      </c>
      <c r="G831" s="698"/>
      <c r="H831" s="703"/>
      <c r="I831" s="948"/>
      <c r="J831" s="703"/>
      <c r="K831" s="698"/>
      <c r="L831" s="704"/>
      <c r="M831" s="720">
        <v>500</v>
      </c>
      <c r="N831" s="698">
        <v>302</v>
      </c>
      <c r="O831" s="744">
        <f t="shared" si="95"/>
        <v>60.4</v>
      </c>
      <c r="P831" s="698"/>
      <c r="Q831" s="698"/>
      <c r="R831" s="770"/>
      <c r="S831" s="817"/>
      <c r="T831" s="817"/>
    </row>
    <row r="832" spans="1:20" s="818" customFormat="1" ht="12.75">
      <c r="A832" s="764">
        <v>4140</v>
      </c>
      <c r="B832" s="768" t="s">
        <v>729</v>
      </c>
      <c r="C832" s="720">
        <v>58600</v>
      </c>
      <c r="D832" s="698">
        <f t="shared" si="96"/>
        <v>47530</v>
      </c>
      <c r="E832" s="698">
        <f t="shared" si="100"/>
        <v>44865</v>
      </c>
      <c r="F832" s="699">
        <f t="shared" si="99"/>
        <v>94.39301493793394</v>
      </c>
      <c r="G832" s="698"/>
      <c r="H832" s="703"/>
      <c r="I832" s="948"/>
      <c r="J832" s="703"/>
      <c r="K832" s="698"/>
      <c r="L832" s="704"/>
      <c r="M832" s="720">
        <f>58600-12080+1010</f>
        <v>47530</v>
      </c>
      <c r="N832" s="698">
        <v>44865</v>
      </c>
      <c r="O832" s="744">
        <f t="shared" si="95"/>
        <v>94.39301493793394</v>
      </c>
      <c r="P832" s="698"/>
      <c r="Q832" s="698"/>
      <c r="R832" s="770"/>
      <c r="S832" s="817"/>
      <c r="T832" s="817"/>
    </row>
    <row r="833" spans="1:20" s="818" customFormat="1" ht="24">
      <c r="A833" s="764">
        <v>4210</v>
      </c>
      <c r="B833" s="768" t="s">
        <v>211</v>
      </c>
      <c r="C833" s="720">
        <v>333000</v>
      </c>
      <c r="D833" s="698">
        <f t="shared" si="96"/>
        <v>366933</v>
      </c>
      <c r="E833" s="698">
        <f t="shared" si="100"/>
        <v>365932</v>
      </c>
      <c r="F833" s="699">
        <f t="shared" si="99"/>
        <v>99.72719815334135</v>
      </c>
      <c r="G833" s="698"/>
      <c r="H833" s="703"/>
      <c r="I833" s="948"/>
      <c r="J833" s="703"/>
      <c r="K833" s="698"/>
      <c r="L833" s="704"/>
      <c r="M833" s="720">
        <f>333000+31000+2933</f>
        <v>366933</v>
      </c>
      <c r="N833" s="698">
        <v>365932</v>
      </c>
      <c r="O833" s="744">
        <f t="shared" si="95"/>
        <v>99.72719815334135</v>
      </c>
      <c r="P833" s="698"/>
      <c r="Q833" s="698"/>
      <c r="R833" s="770"/>
      <c r="S833" s="817"/>
      <c r="T833" s="817"/>
    </row>
    <row r="834" spans="1:20" s="818" customFormat="1" ht="38.25" customHeight="1">
      <c r="A834" s="764">
        <v>4240</v>
      </c>
      <c r="B834" s="768" t="s">
        <v>572</v>
      </c>
      <c r="C834" s="720">
        <v>128000</v>
      </c>
      <c r="D834" s="698">
        <f t="shared" si="96"/>
        <v>129974</v>
      </c>
      <c r="E834" s="698">
        <f t="shared" si="100"/>
        <v>116900</v>
      </c>
      <c r="F834" s="699">
        <f t="shared" si="99"/>
        <v>89.94106513610414</v>
      </c>
      <c r="G834" s="698"/>
      <c r="H834" s="703"/>
      <c r="I834" s="948"/>
      <c r="J834" s="703"/>
      <c r="K834" s="698"/>
      <c r="L834" s="704"/>
      <c r="M834" s="720">
        <f>128000-3026+5000</f>
        <v>129974</v>
      </c>
      <c r="N834" s="698">
        <v>116900</v>
      </c>
      <c r="O834" s="744">
        <f t="shared" si="95"/>
        <v>89.94106513610414</v>
      </c>
      <c r="P834" s="698"/>
      <c r="Q834" s="698"/>
      <c r="R834" s="770"/>
      <c r="S834" s="817"/>
      <c r="T834" s="817"/>
    </row>
    <row r="835" spans="1:20" s="818" customFormat="1" ht="12.75">
      <c r="A835" s="764">
        <v>4260</v>
      </c>
      <c r="B835" s="768" t="s">
        <v>215</v>
      </c>
      <c r="C835" s="720">
        <v>895000</v>
      </c>
      <c r="D835" s="698">
        <f t="shared" si="96"/>
        <v>1058900</v>
      </c>
      <c r="E835" s="698">
        <f t="shared" si="100"/>
        <v>1053980</v>
      </c>
      <c r="F835" s="699">
        <f t="shared" si="99"/>
        <v>99.53536689016904</v>
      </c>
      <c r="G835" s="698"/>
      <c r="H835" s="703"/>
      <c r="I835" s="948"/>
      <c r="J835" s="703"/>
      <c r="K835" s="698"/>
      <c r="L835" s="704"/>
      <c r="M835" s="720">
        <f>895000+2000+34767+118726+8407</f>
        <v>1058900</v>
      </c>
      <c r="N835" s="698">
        <v>1053980</v>
      </c>
      <c r="O835" s="744">
        <f t="shared" si="95"/>
        <v>99.53536689016904</v>
      </c>
      <c r="P835" s="698"/>
      <c r="Q835" s="698"/>
      <c r="R835" s="770"/>
      <c r="S835" s="817"/>
      <c r="T835" s="817"/>
    </row>
    <row r="836" spans="1:20" s="818" customFormat="1" ht="13.5" customHeight="1">
      <c r="A836" s="764">
        <v>4270</v>
      </c>
      <c r="B836" s="768" t="s">
        <v>217</v>
      </c>
      <c r="C836" s="720">
        <v>46000</v>
      </c>
      <c r="D836" s="698">
        <f t="shared" si="96"/>
        <v>49700</v>
      </c>
      <c r="E836" s="698">
        <f t="shared" si="100"/>
        <v>49397</v>
      </c>
      <c r="F836" s="699">
        <f t="shared" si="99"/>
        <v>99.39034205231388</v>
      </c>
      <c r="G836" s="698"/>
      <c r="H836" s="703"/>
      <c r="I836" s="948"/>
      <c r="J836" s="703"/>
      <c r="K836" s="698"/>
      <c r="L836" s="704"/>
      <c r="M836" s="720">
        <f>46000+2600+1100</f>
        <v>49700</v>
      </c>
      <c r="N836" s="698">
        <v>49397</v>
      </c>
      <c r="O836" s="744">
        <f t="shared" si="95"/>
        <v>99.39034205231388</v>
      </c>
      <c r="P836" s="698"/>
      <c r="Q836" s="698"/>
      <c r="R836" s="770"/>
      <c r="S836" s="817"/>
      <c r="T836" s="817"/>
    </row>
    <row r="837" spans="1:20" s="818" customFormat="1" ht="16.5" customHeight="1">
      <c r="A837" s="764">
        <v>4280</v>
      </c>
      <c r="B837" s="768" t="s">
        <v>542</v>
      </c>
      <c r="C837" s="720">
        <v>14300</v>
      </c>
      <c r="D837" s="698">
        <f t="shared" si="96"/>
        <v>15659</v>
      </c>
      <c r="E837" s="698">
        <f t="shared" si="100"/>
        <v>14433</v>
      </c>
      <c r="F837" s="699">
        <f t="shared" si="99"/>
        <v>92.17063669455266</v>
      </c>
      <c r="G837" s="698"/>
      <c r="H837" s="703"/>
      <c r="I837" s="948"/>
      <c r="J837" s="703"/>
      <c r="K837" s="698"/>
      <c r="L837" s="704"/>
      <c r="M837" s="720">
        <f>14300-500+1859</f>
        <v>15659</v>
      </c>
      <c r="N837" s="698">
        <v>14433</v>
      </c>
      <c r="O837" s="744">
        <f t="shared" si="95"/>
        <v>92.17063669455266</v>
      </c>
      <c r="P837" s="698"/>
      <c r="Q837" s="698"/>
      <c r="R837" s="770"/>
      <c r="S837" s="817"/>
      <c r="T837" s="817"/>
    </row>
    <row r="838" spans="1:20" s="818" customFormat="1" ht="17.25" customHeight="1">
      <c r="A838" s="764">
        <v>4300</v>
      </c>
      <c r="B838" s="768" t="s">
        <v>219</v>
      </c>
      <c r="C838" s="720">
        <v>186000</v>
      </c>
      <c r="D838" s="698">
        <f t="shared" si="96"/>
        <v>191900</v>
      </c>
      <c r="E838" s="698">
        <f t="shared" si="100"/>
        <v>187704</v>
      </c>
      <c r="F838" s="699">
        <f t="shared" si="99"/>
        <v>97.81344450234496</v>
      </c>
      <c r="G838" s="698"/>
      <c r="H838" s="703"/>
      <c r="I838" s="948"/>
      <c r="J838" s="703"/>
      <c r="K838" s="698"/>
      <c r="L838" s="704"/>
      <c r="M838" s="720">
        <f>186000+500+5400</f>
        <v>191900</v>
      </c>
      <c r="N838" s="698">
        <f>187703+1</f>
        <v>187704</v>
      </c>
      <c r="O838" s="744">
        <f aca="true" t="shared" si="101" ref="O838:O851">N838/M838*100</f>
        <v>97.81344450234496</v>
      </c>
      <c r="P838" s="698"/>
      <c r="Q838" s="698"/>
      <c r="R838" s="770"/>
      <c r="S838" s="817"/>
      <c r="T838" s="817"/>
    </row>
    <row r="839" spans="1:20" s="818" customFormat="1" ht="24">
      <c r="A839" s="764">
        <v>4350</v>
      </c>
      <c r="B839" s="768" t="s">
        <v>544</v>
      </c>
      <c r="C839" s="720">
        <v>8500</v>
      </c>
      <c r="D839" s="698">
        <f t="shared" si="96"/>
        <v>8800</v>
      </c>
      <c r="E839" s="698">
        <f t="shared" si="100"/>
        <v>7978</v>
      </c>
      <c r="F839" s="699">
        <f t="shared" si="99"/>
        <v>90.6590909090909</v>
      </c>
      <c r="G839" s="698"/>
      <c r="H839" s="703"/>
      <c r="I839" s="948"/>
      <c r="J839" s="703"/>
      <c r="K839" s="698"/>
      <c r="L839" s="704"/>
      <c r="M839" s="720">
        <f>8500+2400-600-1500</f>
        <v>8800</v>
      </c>
      <c r="N839" s="698">
        <v>7978</v>
      </c>
      <c r="O839" s="744">
        <f t="shared" si="101"/>
        <v>90.6590909090909</v>
      </c>
      <c r="P839" s="698"/>
      <c r="Q839" s="698"/>
      <c r="R839" s="770"/>
      <c r="S839" s="817"/>
      <c r="T839" s="817"/>
    </row>
    <row r="840" spans="1:20" s="818" customFormat="1" ht="36.75" customHeight="1">
      <c r="A840" s="764">
        <v>4360</v>
      </c>
      <c r="B840" s="828" t="s">
        <v>682</v>
      </c>
      <c r="C840" s="720">
        <v>4000</v>
      </c>
      <c r="D840" s="698">
        <f>G840+J840+P840+M840</f>
        <v>5000</v>
      </c>
      <c r="E840" s="698">
        <f>SUM(H840+K840+N840+Q840)</f>
        <v>5000</v>
      </c>
      <c r="F840" s="699">
        <f>E840/D840*100</f>
        <v>100</v>
      </c>
      <c r="G840" s="698"/>
      <c r="H840" s="703"/>
      <c r="I840" s="948"/>
      <c r="J840" s="703"/>
      <c r="K840" s="698"/>
      <c r="L840" s="704"/>
      <c r="M840" s="720">
        <f>4000+1000</f>
        <v>5000</v>
      </c>
      <c r="N840" s="698">
        <v>5000</v>
      </c>
      <c r="O840" s="744">
        <f t="shared" si="101"/>
        <v>100</v>
      </c>
      <c r="P840" s="698"/>
      <c r="Q840" s="698"/>
      <c r="R840" s="770"/>
      <c r="S840" s="817"/>
      <c r="T840" s="817"/>
    </row>
    <row r="841" spans="1:20" s="818" customFormat="1" ht="39" customHeight="1">
      <c r="A841" s="764">
        <v>4370</v>
      </c>
      <c r="B841" s="828" t="s">
        <v>635</v>
      </c>
      <c r="C841" s="720">
        <v>42600</v>
      </c>
      <c r="D841" s="698">
        <f>G841+J841+P841+M841</f>
        <v>39400</v>
      </c>
      <c r="E841" s="698">
        <f>SUM(H841+K841+N841+Q841)</f>
        <v>34889</v>
      </c>
      <c r="F841" s="699">
        <f>E841/D841*100</f>
        <v>88.5507614213198</v>
      </c>
      <c r="G841" s="698"/>
      <c r="H841" s="703"/>
      <c r="I841" s="948"/>
      <c r="J841" s="703"/>
      <c r="K841" s="698"/>
      <c r="L841" s="704"/>
      <c r="M841" s="720">
        <f>42600+1000-4200</f>
        <v>39400</v>
      </c>
      <c r="N841" s="698">
        <f>34888+1</f>
        <v>34889</v>
      </c>
      <c r="O841" s="744">
        <f t="shared" si="101"/>
        <v>88.5507614213198</v>
      </c>
      <c r="P841" s="698"/>
      <c r="Q841" s="698"/>
      <c r="R841" s="770"/>
      <c r="S841" s="817"/>
      <c r="T841" s="817"/>
    </row>
    <row r="842" spans="1:20" s="818" customFormat="1" ht="24.75" customHeight="1">
      <c r="A842" s="764">
        <v>4380</v>
      </c>
      <c r="B842" s="768" t="s">
        <v>711</v>
      </c>
      <c r="C842" s="720">
        <v>2000</v>
      </c>
      <c r="D842" s="698">
        <f>G842+J842+P842+M842</f>
        <v>2000</v>
      </c>
      <c r="E842" s="698">
        <f>SUM(H842+K842+N842+Q842)</f>
        <v>2000</v>
      </c>
      <c r="F842" s="699">
        <f>E842/D842*100</f>
        <v>100</v>
      </c>
      <c r="G842" s="698"/>
      <c r="H842" s="703"/>
      <c r="I842" s="948"/>
      <c r="J842" s="703"/>
      <c r="K842" s="698"/>
      <c r="L842" s="704"/>
      <c r="M842" s="720">
        <v>2000</v>
      </c>
      <c r="N842" s="698">
        <v>2000</v>
      </c>
      <c r="O842" s="744">
        <f t="shared" si="101"/>
        <v>100</v>
      </c>
      <c r="P842" s="698"/>
      <c r="Q842" s="698"/>
      <c r="R842" s="770"/>
      <c r="S842" s="817"/>
      <c r="T842" s="817"/>
    </row>
    <row r="843" spans="1:20" s="818" customFormat="1" ht="36" customHeight="1">
      <c r="A843" s="764">
        <v>4390</v>
      </c>
      <c r="B843" s="768" t="s">
        <v>243</v>
      </c>
      <c r="C843" s="720">
        <v>43900</v>
      </c>
      <c r="D843" s="698">
        <f>G843+J843+P843+M843</f>
        <v>31400</v>
      </c>
      <c r="E843" s="698">
        <f>SUM(H843+K843+N843+Q843)</f>
        <v>31389</v>
      </c>
      <c r="F843" s="699">
        <f>E843/D843*100</f>
        <v>99.96496815286623</v>
      </c>
      <c r="G843" s="698"/>
      <c r="H843" s="703"/>
      <c r="I843" s="948"/>
      <c r="J843" s="703"/>
      <c r="K843" s="698"/>
      <c r="L843" s="704"/>
      <c r="M843" s="720">
        <f>43900-12000-500</f>
        <v>31400</v>
      </c>
      <c r="N843" s="698">
        <v>31389</v>
      </c>
      <c r="O843" s="744">
        <f t="shared" si="101"/>
        <v>99.96496815286623</v>
      </c>
      <c r="P843" s="698"/>
      <c r="Q843" s="698"/>
      <c r="R843" s="770"/>
      <c r="S843" s="817"/>
      <c r="T843" s="817"/>
    </row>
    <row r="844" spans="1:20" s="818" customFormat="1" ht="12" customHeight="1">
      <c r="A844" s="764">
        <v>4410</v>
      </c>
      <c r="B844" s="768" t="s">
        <v>193</v>
      </c>
      <c r="C844" s="720">
        <v>26300</v>
      </c>
      <c r="D844" s="698">
        <f t="shared" si="96"/>
        <v>22648</v>
      </c>
      <c r="E844" s="698">
        <f t="shared" si="100"/>
        <v>20374</v>
      </c>
      <c r="F844" s="699">
        <f t="shared" si="99"/>
        <v>89.95937831155068</v>
      </c>
      <c r="G844" s="698"/>
      <c r="H844" s="703"/>
      <c r="I844" s="948"/>
      <c r="J844" s="703"/>
      <c r="K844" s="698"/>
      <c r="L844" s="704"/>
      <c r="M844" s="720">
        <f>26300-3000-652</f>
        <v>22648</v>
      </c>
      <c r="N844" s="698">
        <v>20374</v>
      </c>
      <c r="O844" s="744">
        <f t="shared" si="101"/>
        <v>89.95937831155068</v>
      </c>
      <c r="P844" s="698"/>
      <c r="Q844" s="698"/>
      <c r="R844" s="770"/>
      <c r="S844" s="817"/>
      <c r="T844" s="817"/>
    </row>
    <row r="845" spans="1:20" s="818" customFormat="1" ht="24">
      <c r="A845" s="764">
        <v>4420</v>
      </c>
      <c r="B845" s="768" t="s">
        <v>560</v>
      </c>
      <c r="C845" s="720">
        <v>11100</v>
      </c>
      <c r="D845" s="698">
        <f t="shared" si="96"/>
        <v>15052</v>
      </c>
      <c r="E845" s="698">
        <f t="shared" si="100"/>
        <v>14861</v>
      </c>
      <c r="F845" s="699">
        <f t="shared" si="99"/>
        <v>98.73106563911772</v>
      </c>
      <c r="G845" s="698"/>
      <c r="H845" s="703"/>
      <c r="I845" s="948"/>
      <c r="J845" s="703"/>
      <c r="K845" s="698"/>
      <c r="L845" s="704"/>
      <c r="M845" s="720">
        <f>11100+2233+1719</f>
        <v>15052</v>
      </c>
      <c r="N845" s="698">
        <v>14861</v>
      </c>
      <c r="O845" s="744">
        <f t="shared" si="101"/>
        <v>98.73106563911772</v>
      </c>
      <c r="P845" s="698"/>
      <c r="Q845" s="698"/>
      <c r="R845" s="770"/>
      <c r="S845" s="817"/>
      <c r="T845" s="817"/>
    </row>
    <row r="846" spans="1:20" s="818" customFormat="1" ht="12.75">
      <c r="A846" s="764">
        <v>4440</v>
      </c>
      <c r="B846" s="768" t="s">
        <v>223</v>
      </c>
      <c r="C846" s="720">
        <v>643900</v>
      </c>
      <c r="D846" s="698">
        <f t="shared" si="96"/>
        <v>685120</v>
      </c>
      <c r="E846" s="698">
        <f t="shared" si="100"/>
        <v>685120</v>
      </c>
      <c r="F846" s="699">
        <f t="shared" si="99"/>
        <v>100</v>
      </c>
      <c r="G846" s="698"/>
      <c r="H846" s="703"/>
      <c r="I846" s="948"/>
      <c r="J846" s="703"/>
      <c r="K846" s="698"/>
      <c r="L846" s="704"/>
      <c r="M846" s="720">
        <f>643900+19442+6615+19283-4120</f>
        <v>685120</v>
      </c>
      <c r="N846" s="698">
        <v>685120</v>
      </c>
      <c r="O846" s="744">
        <f t="shared" si="101"/>
        <v>100</v>
      </c>
      <c r="P846" s="698"/>
      <c r="Q846" s="698"/>
      <c r="R846" s="770"/>
      <c r="S846" s="817"/>
      <c r="T846" s="817"/>
    </row>
    <row r="847" spans="1:20" s="818" customFormat="1" ht="36.75" customHeight="1">
      <c r="A847" s="764">
        <v>4700</v>
      </c>
      <c r="B847" s="828" t="s">
        <v>550</v>
      </c>
      <c r="C847" s="720">
        <v>20800</v>
      </c>
      <c r="D847" s="698">
        <f>G847+J847+P847+M847</f>
        <v>21800</v>
      </c>
      <c r="E847" s="698">
        <f>SUM(H847+K847+N847+Q847)</f>
        <v>20934</v>
      </c>
      <c r="F847" s="699">
        <f>E847/D847*100</f>
        <v>96.02752293577981</v>
      </c>
      <c r="G847" s="698"/>
      <c r="H847" s="703"/>
      <c r="I847" s="948"/>
      <c r="J847" s="703"/>
      <c r="K847" s="698"/>
      <c r="L847" s="704"/>
      <c r="M847" s="720">
        <f>20800+1000</f>
        <v>21800</v>
      </c>
      <c r="N847" s="698">
        <v>20934</v>
      </c>
      <c r="O847" s="744">
        <f t="shared" si="101"/>
        <v>96.02752293577981</v>
      </c>
      <c r="P847" s="698"/>
      <c r="Q847" s="698"/>
      <c r="R847" s="770"/>
      <c r="S847" s="817"/>
      <c r="T847" s="817"/>
    </row>
    <row r="848" spans="1:20" s="818" customFormat="1" ht="49.5" customHeight="1">
      <c r="A848" s="764">
        <v>4740</v>
      </c>
      <c r="B848" s="828" t="s">
        <v>235</v>
      </c>
      <c r="C848" s="720">
        <v>15600</v>
      </c>
      <c r="D848" s="698">
        <f>G848+J848+P848+M848</f>
        <v>13841</v>
      </c>
      <c r="E848" s="698">
        <f>SUM(H848+K848+N848+Q848)</f>
        <v>13531</v>
      </c>
      <c r="F848" s="699">
        <f>E848/D848*100</f>
        <v>97.7602774366014</v>
      </c>
      <c r="G848" s="698"/>
      <c r="H848" s="703"/>
      <c r="I848" s="948"/>
      <c r="J848" s="703"/>
      <c r="K848" s="698"/>
      <c r="L848" s="704"/>
      <c r="M848" s="720">
        <f>15600-1500-259</f>
        <v>13841</v>
      </c>
      <c r="N848" s="698">
        <v>13531</v>
      </c>
      <c r="O848" s="744">
        <f t="shared" si="101"/>
        <v>97.7602774366014</v>
      </c>
      <c r="P848" s="698"/>
      <c r="Q848" s="698"/>
      <c r="R848" s="770"/>
      <c r="S848" s="817"/>
      <c r="T848" s="817"/>
    </row>
    <row r="849" spans="1:20" s="818" customFormat="1" ht="36">
      <c r="A849" s="764">
        <v>4750</v>
      </c>
      <c r="B849" s="828" t="s">
        <v>551</v>
      </c>
      <c r="C849" s="720">
        <v>42800</v>
      </c>
      <c r="D849" s="698">
        <f>G849+J849+P849+M849</f>
        <v>48700</v>
      </c>
      <c r="E849" s="698">
        <f>SUM(H849+K849+N849+Q849)</f>
        <v>48684</v>
      </c>
      <c r="F849" s="699">
        <f>E849/D849*100</f>
        <v>99.96714579055441</v>
      </c>
      <c r="G849" s="698"/>
      <c r="H849" s="703"/>
      <c r="I849" s="948"/>
      <c r="J849" s="703"/>
      <c r="K849" s="698"/>
      <c r="L849" s="704"/>
      <c r="M849" s="720">
        <f>42800+5900</f>
        <v>48700</v>
      </c>
      <c r="N849" s="698">
        <v>48684</v>
      </c>
      <c r="O849" s="744">
        <f t="shared" si="101"/>
        <v>99.96714579055441</v>
      </c>
      <c r="P849" s="698"/>
      <c r="Q849" s="698"/>
      <c r="R849" s="770"/>
      <c r="S849" s="817"/>
      <c r="T849" s="817"/>
    </row>
    <row r="850" spans="1:20" s="818" customFormat="1" ht="26.25" customHeight="1">
      <c r="A850" s="764">
        <v>6050</v>
      </c>
      <c r="B850" s="768" t="s">
        <v>246</v>
      </c>
      <c r="C850" s="720">
        <v>123500</v>
      </c>
      <c r="D850" s="698">
        <f t="shared" si="96"/>
        <v>169165</v>
      </c>
      <c r="E850" s="698">
        <f t="shared" si="100"/>
        <v>169155</v>
      </c>
      <c r="F850" s="699">
        <f t="shared" si="99"/>
        <v>99.99408861171047</v>
      </c>
      <c r="G850" s="698"/>
      <c r="H850" s="703"/>
      <c r="I850" s="948"/>
      <c r="J850" s="703"/>
      <c r="K850" s="698"/>
      <c r="L850" s="704"/>
      <c r="M850" s="720">
        <f>123500+5500+23385+8000+8780</f>
        <v>169165</v>
      </c>
      <c r="N850" s="698">
        <v>169155</v>
      </c>
      <c r="O850" s="744">
        <f t="shared" si="101"/>
        <v>99.99408861171047</v>
      </c>
      <c r="P850" s="698"/>
      <c r="Q850" s="698"/>
      <c r="R850" s="770"/>
      <c r="S850" s="817"/>
      <c r="T850" s="817"/>
    </row>
    <row r="851" spans="1:20" s="818" customFormat="1" ht="42" customHeight="1">
      <c r="A851" s="764">
        <v>6060</v>
      </c>
      <c r="B851" s="768" t="s">
        <v>593</v>
      </c>
      <c r="C851" s="720">
        <v>38100</v>
      </c>
      <c r="D851" s="698">
        <f t="shared" si="96"/>
        <v>24241</v>
      </c>
      <c r="E851" s="698">
        <f t="shared" si="100"/>
        <v>24241</v>
      </c>
      <c r="F851" s="699">
        <f t="shared" si="99"/>
        <v>100</v>
      </c>
      <c r="G851" s="698"/>
      <c r="H851" s="703"/>
      <c r="I851" s="948"/>
      <c r="J851" s="703"/>
      <c r="K851" s="698"/>
      <c r="L851" s="704"/>
      <c r="M851" s="720">
        <f>38100-5500-8359</f>
        <v>24241</v>
      </c>
      <c r="N851" s="792">
        <v>24241</v>
      </c>
      <c r="O851" s="744">
        <f t="shared" si="101"/>
        <v>100</v>
      </c>
      <c r="P851" s="698"/>
      <c r="Q851" s="698"/>
      <c r="R851" s="770"/>
      <c r="S851" s="817"/>
      <c r="T851" s="817"/>
    </row>
    <row r="852" spans="1:20" s="862" customFormat="1" ht="30" customHeight="1" hidden="1">
      <c r="A852" s="757">
        <v>80133</v>
      </c>
      <c r="B852" s="852" t="s">
        <v>730</v>
      </c>
      <c r="C852" s="725">
        <f>SUM(C853)</f>
        <v>0</v>
      </c>
      <c r="D852" s="712"/>
      <c r="E852" s="712"/>
      <c r="F852" s="713"/>
      <c r="G852" s="712"/>
      <c r="H852" s="717"/>
      <c r="I852" s="955"/>
      <c r="J852" s="717"/>
      <c r="K852" s="712"/>
      <c r="L852" s="718"/>
      <c r="M852" s="725"/>
      <c r="N852" s="712"/>
      <c r="O852" s="741"/>
      <c r="P852" s="712"/>
      <c r="Q852" s="712"/>
      <c r="R852" s="802"/>
      <c r="S852" s="861"/>
      <c r="T852" s="861"/>
    </row>
    <row r="853" spans="1:20" s="818" customFormat="1" ht="60" hidden="1">
      <c r="A853" s="764">
        <v>2540</v>
      </c>
      <c r="B853" s="768" t="s">
        <v>731</v>
      </c>
      <c r="C853" s="720">
        <v>0</v>
      </c>
      <c r="D853" s="698"/>
      <c r="E853" s="874"/>
      <c r="F853" s="713"/>
      <c r="G853" s="698"/>
      <c r="H853" s="703"/>
      <c r="I853" s="948"/>
      <c r="J853" s="703"/>
      <c r="K853" s="698"/>
      <c r="L853" s="704"/>
      <c r="M853" s="720"/>
      <c r="N853" s="698"/>
      <c r="O853" s="744"/>
      <c r="P853" s="698"/>
      <c r="Q853" s="698"/>
      <c r="R853" s="770"/>
      <c r="S853" s="817"/>
      <c r="T853" s="817"/>
    </row>
    <row r="854" spans="1:20" s="818" customFormat="1" ht="26.25" customHeight="1">
      <c r="A854" s="757">
        <v>80134</v>
      </c>
      <c r="B854" s="852" t="s">
        <v>732</v>
      </c>
      <c r="C854" s="725">
        <f>SUM(C855:C875)</f>
        <v>1393500</v>
      </c>
      <c r="D854" s="712">
        <f>G854+J854+P854+M854</f>
        <v>1620532</v>
      </c>
      <c r="E854" s="712">
        <f>H854+K854+Q854+N854</f>
        <v>1619288</v>
      </c>
      <c r="F854" s="713">
        <f aca="true" t="shared" si="102" ref="F854:F901">E854/D854*100</f>
        <v>99.92323508576196</v>
      </c>
      <c r="G854" s="874"/>
      <c r="H854" s="875"/>
      <c r="I854" s="955"/>
      <c r="J854" s="875"/>
      <c r="K854" s="874"/>
      <c r="L854" s="876"/>
      <c r="M854" s="845">
        <f>SUM(M855:M875)</f>
        <v>1620532</v>
      </c>
      <c r="N854" s="712">
        <f>SUM(N855:N875)</f>
        <v>1619288</v>
      </c>
      <c r="O854" s="741">
        <f aca="true" t="shared" si="103" ref="O854:O901">N854/M854*100</f>
        <v>99.92323508576196</v>
      </c>
      <c r="P854" s="712"/>
      <c r="Q854" s="712"/>
      <c r="R854" s="846"/>
      <c r="S854" s="817"/>
      <c r="T854" s="817"/>
    </row>
    <row r="855" spans="1:20" s="818" customFormat="1" ht="36">
      <c r="A855" s="784">
        <v>3020</v>
      </c>
      <c r="B855" s="785" t="s">
        <v>709</v>
      </c>
      <c r="C855" s="723">
        <v>4000</v>
      </c>
      <c r="D855" s="732">
        <f aca="true" t="shared" si="104" ref="D855:E910">G855+J855+P855+M855</f>
        <v>4000</v>
      </c>
      <c r="E855" s="732">
        <f aca="true" t="shared" si="105" ref="E855:E860">SUM(H855+K855+N855+Q855)</f>
        <v>2854</v>
      </c>
      <c r="F855" s="721">
        <f t="shared" si="102"/>
        <v>71.35000000000001</v>
      </c>
      <c r="G855" s="732"/>
      <c r="H855" s="735"/>
      <c r="I855" s="961"/>
      <c r="J855" s="735"/>
      <c r="K855" s="732"/>
      <c r="L855" s="736"/>
      <c r="M855" s="723">
        <v>4000</v>
      </c>
      <c r="N855" s="732">
        <v>2854</v>
      </c>
      <c r="O855" s="786">
        <f t="shared" si="103"/>
        <v>71.35000000000001</v>
      </c>
      <c r="P855" s="732"/>
      <c r="Q855" s="732"/>
      <c r="R855" s="788"/>
      <c r="S855" s="817"/>
      <c r="T855" s="817"/>
    </row>
    <row r="856" spans="1:20" s="818" customFormat="1" ht="28.5" customHeight="1">
      <c r="A856" s="764">
        <v>4010</v>
      </c>
      <c r="B856" s="768" t="s">
        <v>201</v>
      </c>
      <c r="C856" s="720">
        <v>968700</v>
      </c>
      <c r="D856" s="698">
        <f t="shared" si="104"/>
        <v>1151900</v>
      </c>
      <c r="E856" s="698">
        <f t="shared" si="105"/>
        <v>1151900</v>
      </c>
      <c r="F856" s="699">
        <f t="shared" si="102"/>
        <v>100</v>
      </c>
      <c r="G856" s="698"/>
      <c r="H856" s="703"/>
      <c r="I856" s="948"/>
      <c r="J856" s="703"/>
      <c r="K856" s="698"/>
      <c r="L856" s="704"/>
      <c r="M856" s="720">
        <f>968700+142270+40930</f>
        <v>1151900</v>
      </c>
      <c r="N856" s="698">
        <v>1151900</v>
      </c>
      <c r="O856" s="744">
        <f t="shared" si="103"/>
        <v>100</v>
      </c>
      <c r="P856" s="698"/>
      <c r="Q856" s="698"/>
      <c r="R856" s="770"/>
      <c r="S856" s="817"/>
      <c r="T856" s="817"/>
    </row>
    <row r="857" spans="1:20" s="818" customFormat="1" ht="24.75" customHeight="1">
      <c r="A857" s="764">
        <v>4040</v>
      </c>
      <c r="B857" s="768" t="s">
        <v>205</v>
      </c>
      <c r="C857" s="720">
        <v>74600</v>
      </c>
      <c r="D857" s="698">
        <f t="shared" si="104"/>
        <v>74210</v>
      </c>
      <c r="E857" s="698">
        <f t="shared" si="105"/>
        <v>74210</v>
      </c>
      <c r="F857" s="699">
        <f t="shared" si="102"/>
        <v>100</v>
      </c>
      <c r="G857" s="698"/>
      <c r="H857" s="703"/>
      <c r="I857" s="948"/>
      <c r="J857" s="703"/>
      <c r="K857" s="698"/>
      <c r="L857" s="704"/>
      <c r="M857" s="720">
        <f>74600-390</f>
        <v>74210</v>
      </c>
      <c r="N857" s="698">
        <v>74210</v>
      </c>
      <c r="O857" s="744">
        <f t="shared" si="103"/>
        <v>100</v>
      </c>
      <c r="P857" s="698"/>
      <c r="Q857" s="698"/>
      <c r="R857" s="770"/>
      <c r="S857" s="817"/>
      <c r="T857" s="817"/>
    </row>
    <row r="858" spans="1:20" s="818" customFormat="1" ht="23.25" customHeight="1">
      <c r="A858" s="764">
        <v>4110</v>
      </c>
      <c r="B858" s="768" t="s">
        <v>207</v>
      </c>
      <c r="C858" s="720">
        <v>159600</v>
      </c>
      <c r="D858" s="698">
        <f t="shared" si="104"/>
        <v>181000</v>
      </c>
      <c r="E858" s="698">
        <f t="shared" si="105"/>
        <v>181000</v>
      </c>
      <c r="F858" s="699">
        <f t="shared" si="102"/>
        <v>100</v>
      </c>
      <c r="G858" s="698"/>
      <c r="H858" s="703"/>
      <c r="I858" s="948"/>
      <c r="J858" s="703"/>
      <c r="K858" s="698"/>
      <c r="L858" s="704"/>
      <c r="M858" s="720">
        <f>159600+18000+3400</f>
        <v>181000</v>
      </c>
      <c r="N858" s="698">
        <v>181000</v>
      </c>
      <c r="O858" s="744">
        <f t="shared" si="103"/>
        <v>100</v>
      </c>
      <c r="P858" s="698"/>
      <c r="Q858" s="698"/>
      <c r="R858" s="770"/>
      <c r="S858" s="817"/>
      <c r="T858" s="817"/>
    </row>
    <row r="859" spans="1:20" s="818" customFormat="1" ht="15" customHeight="1">
      <c r="A859" s="764">
        <v>4120</v>
      </c>
      <c r="B859" s="768" t="s">
        <v>584</v>
      </c>
      <c r="C859" s="720">
        <v>25400</v>
      </c>
      <c r="D859" s="698">
        <f t="shared" si="104"/>
        <v>27700</v>
      </c>
      <c r="E859" s="698">
        <f t="shared" si="105"/>
        <v>27700</v>
      </c>
      <c r="F859" s="699">
        <f t="shared" si="102"/>
        <v>100</v>
      </c>
      <c r="G859" s="698"/>
      <c r="H859" s="703"/>
      <c r="I859" s="948"/>
      <c r="J859" s="703"/>
      <c r="K859" s="698"/>
      <c r="L859" s="704"/>
      <c r="M859" s="720">
        <f>25400+1800+500</f>
        <v>27700</v>
      </c>
      <c r="N859" s="698">
        <v>27700</v>
      </c>
      <c r="O859" s="744">
        <f t="shared" si="103"/>
        <v>100</v>
      </c>
      <c r="P859" s="698"/>
      <c r="Q859" s="698"/>
      <c r="R859" s="770"/>
      <c r="S859" s="817"/>
      <c r="T859" s="817"/>
    </row>
    <row r="860" spans="1:20" s="818" customFormat="1" ht="24.75" customHeight="1">
      <c r="A860" s="764">
        <v>4210</v>
      </c>
      <c r="B860" s="768" t="s">
        <v>211</v>
      </c>
      <c r="C860" s="720">
        <v>17000</v>
      </c>
      <c r="D860" s="698">
        <f t="shared" si="104"/>
        <v>28700</v>
      </c>
      <c r="E860" s="698">
        <f t="shared" si="105"/>
        <v>28700</v>
      </c>
      <c r="F860" s="699">
        <f t="shared" si="102"/>
        <v>100</v>
      </c>
      <c r="G860" s="698"/>
      <c r="H860" s="703"/>
      <c r="I860" s="948"/>
      <c r="J860" s="703"/>
      <c r="K860" s="698"/>
      <c r="L860" s="704"/>
      <c r="M860" s="720">
        <f>17000+1500+9600+600</f>
        <v>28700</v>
      </c>
      <c r="N860" s="698">
        <v>28700</v>
      </c>
      <c r="O860" s="744">
        <f t="shared" si="103"/>
        <v>100</v>
      </c>
      <c r="P860" s="698"/>
      <c r="Q860" s="698"/>
      <c r="R860" s="770"/>
      <c r="S860" s="817"/>
      <c r="T860" s="817"/>
    </row>
    <row r="861" spans="1:20" s="818" customFormat="1" ht="26.25" customHeight="1">
      <c r="A861" s="764">
        <v>4240</v>
      </c>
      <c r="B861" s="768" t="s">
        <v>572</v>
      </c>
      <c r="C861" s="720">
        <v>2000</v>
      </c>
      <c r="D861" s="698">
        <f t="shared" si="104"/>
        <v>3500</v>
      </c>
      <c r="E861" s="698">
        <f>H861+K861+Q861+N861</f>
        <v>3500</v>
      </c>
      <c r="F861" s="699">
        <f t="shared" si="102"/>
        <v>100</v>
      </c>
      <c r="G861" s="698"/>
      <c r="H861" s="703"/>
      <c r="I861" s="948"/>
      <c r="J861" s="703"/>
      <c r="K861" s="698"/>
      <c r="L861" s="704"/>
      <c r="M861" s="720">
        <f>2000+1500</f>
        <v>3500</v>
      </c>
      <c r="N861" s="698">
        <v>3500</v>
      </c>
      <c r="O861" s="744">
        <f t="shared" si="103"/>
        <v>100</v>
      </c>
      <c r="P861" s="698"/>
      <c r="Q861" s="698"/>
      <c r="R861" s="770"/>
      <c r="S861" s="817"/>
      <c r="T861" s="817"/>
    </row>
    <row r="862" spans="1:20" s="818" customFormat="1" ht="15.75" customHeight="1">
      <c r="A862" s="764">
        <v>4260</v>
      </c>
      <c r="B862" s="768" t="s">
        <v>215</v>
      </c>
      <c r="C862" s="720">
        <v>45000</v>
      </c>
      <c r="D862" s="698">
        <f t="shared" si="104"/>
        <v>48000</v>
      </c>
      <c r="E862" s="698">
        <f>H862+K862+Q862+N862</f>
        <v>48000</v>
      </c>
      <c r="F862" s="699">
        <f t="shared" si="102"/>
        <v>100</v>
      </c>
      <c r="G862" s="698"/>
      <c r="H862" s="703"/>
      <c r="I862" s="948"/>
      <c r="J862" s="703"/>
      <c r="K862" s="698"/>
      <c r="L862" s="704"/>
      <c r="M862" s="720">
        <f>45000+3000</f>
        <v>48000</v>
      </c>
      <c r="N862" s="698">
        <v>48000</v>
      </c>
      <c r="O862" s="744">
        <f t="shared" si="103"/>
        <v>100</v>
      </c>
      <c r="P862" s="698"/>
      <c r="Q862" s="698"/>
      <c r="R862" s="770"/>
      <c r="S862" s="817"/>
      <c r="T862" s="817"/>
    </row>
    <row r="863" spans="1:20" s="818" customFormat="1" ht="19.5" customHeight="1">
      <c r="A863" s="764">
        <v>4270</v>
      </c>
      <c r="B863" s="768" t="s">
        <v>217</v>
      </c>
      <c r="C863" s="720">
        <v>1400</v>
      </c>
      <c r="D863" s="698">
        <f t="shared" si="104"/>
        <v>1400</v>
      </c>
      <c r="E863" s="698">
        <f>H863+K863+Q863+N863</f>
        <v>1400</v>
      </c>
      <c r="F863" s="699">
        <f t="shared" si="102"/>
        <v>100</v>
      </c>
      <c r="G863" s="698"/>
      <c r="H863" s="703"/>
      <c r="I863" s="948"/>
      <c r="J863" s="703"/>
      <c r="K863" s="698"/>
      <c r="L863" s="704"/>
      <c r="M863" s="720">
        <v>1400</v>
      </c>
      <c r="N863" s="698">
        <v>1400</v>
      </c>
      <c r="O863" s="744">
        <f t="shared" si="103"/>
        <v>100</v>
      </c>
      <c r="P863" s="698"/>
      <c r="Q863" s="698"/>
      <c r="R863" s="770"/>
      <c r="S863" s="817"/>
      <c r="T863" s="817"/>
    </row>
    <row r="864" spans="1:20" s="818" customFormat="1" ht="14.25" customHeight="1">
      <c r="A864" s="764">
        <v>4280</v>
      </c>
      <c r="B864" s="768" t="s">
        <v>542</v>
      </c>
      <c r="C864" s="720">
        <v>900</v>
      </c>
      <c r="D864" s="698">
        <f t="shared" si="104"/>
        <v>700</v>
      </c>
      <c r="E864" s="698">
        <f>H864+K864+Q864+N864</f>
        <v>700</v>
      </c>
      <c r="F864" s="699">
        <f t="shared" si="102"/>
        <v>100</v>
      </c>
      <c r="G864" s="698"/>
      <c r="H864" s="703"/>
      <c r="I864" s="948"/>
      <c r="J864" s="703"/>
      <c r="K864" s="698"/>
      <c r="L864" s="704"/>
      <c r="M864" s="720">
        <f>900-200</f>
        <v>700</v>
      </c>
      <c r="N864" s="698">
        <v>700</v>
      </c>
      <c r="O864" s="744">
        <f t="shared" si="103"/>
        <v>100</v>
      </c>
      <c r="P864" s="698"/>
      <c r="Q864" s="698"/>
      <c r="R864" s="770"/>
      <c r="S864" s="817"/>
      <c r="T864" s="817"/>
    </row>
    <row r="865" spans="1:20" s="818" customFormat="1" ht="16.5" customHeight="1">
      <c r="A865" s="764">
        <v>4300</v>
      </c>
      <c r="B865" s="768" t="s">
        <v>219</v>
      </c>
      <c r="C865" s="720">
        <v>34000</v>
      </c>
      <c r="D865" s="698">
        <f t="shared" si="104"/>
        <v>34000</v>
      </c>
      <c r="E865" s="698">
        <f aca="true" t="shared" si="106" ref="E865:E875">SUM(H865+K865+N865+Q865)</f>
        <v>34000</v>
      </c>
      <c r="F865" s="699">
        <f t="shared" si="102"/>
        <v>100</v>
      </c>
      <c r="G865" s="698"/>
      <c r="H865" s="703"/>
      <c r="I865" s="948"/>
      <c r="J865" s="703"/>
      <c r="K865" s="698"/>
      <c r="L865" s="704"/>
      <c r="M865" s="720">
        <v>34000</v>
      </c>
      <c r="N865" s="698">
        <v>34000</v>
      </c>
      <c r="O865" s="744">
        <f t="shared" si="103"/>
        <v>100</v>
      </c>
      <c r="P865" s="698"/>
      <c r="Q865" s="698"/>
      <c r="R865" s="770"/>
      <c r="S865" s="817"/>
      <c r="T865" s="817"/>
    </row>
    <row r="866" spans="1:20" s="818" customFormat="1" ht="24">
      <c r="A866" s="764">
        <v>4350</v>
      </c>
      <c r="B866" s="768" t="s">
        <v>544</v>
      </c>
      <c r="C866" s="720">
        <v>600</v>
      </c>
      <c r="D866" s="698">
        <f t="shared" si="104"/>
        <v>700</v>
      </c>
      <c r="E866" s="698">
        <f t="shared" si="106"/>
        <v>694</v>
      </c>
      <c r="F866" s="699">
        <f t="shared" si="102"/>
        <v>99.14285714285714</v>
      </c>
      <c r="G866" s="698"/>
      <c r="H866" s="703"/>
      <c r="I866" s="948"/>
      <c r="J866" s="703"/>
      <c r="K866" s="698"/>
      <c r="L866" s="704"/>
      <c r="M866" s="720">
        <f>600+100</f>
        <v>700</v>
      </c>
      <c r="N866" s="698">
        <v>694</v>
      </c>
      <c r="O866" s="744">
        <f t="shared" si="103"/>
        <v>99.14285714285714</v>
      </c>
      <c r="P866" s="698"/>
      <c r="Q866" s="698"/>
      <c r="R866" s="770"/>
      <c r="S866" s="817"/>
      <c r="T866" s="817"/>
    </row>
    <row r="867" spans="1:20" s="818" customFormat="1" ht="39" customHeight="1">
      <c r="A867" s="764">
        <v>4360</v>
      </c>
      <c r="B867" s="828" t="s">
        <v>682</v>
      </c>
      <c r="C867" s="720">
        <v>200</v>
      </c>
      <c r="D867" s="698">
        <f t="shared" si="104"/>
        <v>200</v>
      </c>
      <c r="E867" s="698">
        <f t="shared" si="106"/>
        <v>200</v>
      </c>
      <c r="F867" s="699">
        <f t="shared" si="102"/>
        <v>100</v>
      </c>
      <c r="G867" s="698"/>
      <c r="H867" s="703"/>
      <c r="I867" s="948"/>
      <c r="J867" s="703"/>
      <c r="K867" s="698"/>
      <c r="L867" s="704"/>
      <c r="M867" s="720">
        <v>200</v>
      </c>
      <c r="N867" s="698">
        <v>200</v>
      </c>
      <c r="O867" s="744">
        <f t="shared" si="103"/>
        <v>100</v>
      </c>
      <c r="P867" s="698"/>
      <c r="Q867" s="698"/>
      <c r="R867" s="770"/>
      <c r="S867" s="817"/>
      <c r="T867" s="817"/>
    </row>
    <row r="868" spans="1:20" s="818" customFormat="1" ht="37.5" customHeight="1">
      <c r="A868" s="764">
        <v>4370</v>
      </c>
      <c r="B868" s="828" t="s">
        <v>635</v>
      </c>
      <c r="C868" s="720">
        <v>1300</v>
      </c>
      <c r="D868" s="698">
        <f t="shared" si="104"/>
        <v>1300</v>
      </c>
      <c r="E868" s="698">
        <f t="shared" si="106"/>
        <v>1300</v>
      </c>
      <c r="F868" s="699">
        <f t="shared" si="102"/>
        <v>100</v>
      </c>
      <c r="G868" s="698"/>
      <c r="H868" s="703"/>
      <c r="I868" s="948"/>
      <c r="J868" s="703"/>
      <c r="K868" s="698"/>
      <c r="L868" s="704"/>
      <c r="M868" s="720">
        <v>1300</v>
      </c>
      <c r="N868" s="698">
        <v>1300</v>
      </c>
      <c r="O868" s="744">
        <f t="shared" si="103"/>
        <v>100</v>
      </c>
      <c r="P868" s="698"/>
      <c r="Q868" s="698"/>
      <c r="R868" s="770"/>
      <c r="S868" s="817"/>
      <c r="T868" s="817"/>
    </row>
    <row r="869" spans="1:20" s="818" customFormat="1" ht="38.25" customHeight="1">
      <c r="A869" s="764">
        <v>4390</v>
      </c>
      <c r="B869" s="768" t="s">
        <v>243</v>
      </c>
      <c r="C869" s="720">
        <v>1400</v>
      </c>
      <c r="D869" s="698">
        <f t="shared" si="104"/>
        <v>1400</v>
      </c>
      <c r="E869" s="698">
        <f t="shared" si="106"/>
        <v>1333</v>
      </c>
      <c r="F869" s="699">
        <f t="shared" si="102"/>
        <v>95.21428571428572</v>
      </c>
      <c r="G869" s="698"/>
      <c r="H869" s="703"/>
      <c r="I869" s="948"/>
      <c r="J869" s="703"/>
      <c r="K869" s="698"/>
      <c r="L869" s="704"/>
      <c r="M869" s="720">
        <v>1400</v>
      </c>
      <c r="N869" s="698">
        <v>1333</v>
      </c>
      <c r="O869" s="744">
        <f t="shared" si="103"/>
        <v>95.21428571428572</v>
      </c>
      <c r="P869" s="698"/>
      <c r="Q869" s="698"/>
      <c r="R869" s="770"/>
      <c r="S869" s="817"/>
      <c r="T869" s="817"/>
    </row>
    <row r="870" spans="1:20" s="818" customFormat="1" ht="16.5" customHeight="1">
      <c r="A870" s="764">
        <v>4410</v>
      </c>
      <c r="B870" s="768" t="s">
        <v>193</v>
      </c>
      <c r="C870" s="720">
        <v>800</v>
      </c>
      <c r="D870" s="698">
        <f t="shared" si="104"/>
        <v>30</v>
      </c>
      <c r="E870" s="698">
        <f t="shared" si="106"/>
        <v>30</v>
      </c>
      <c r="F870" s="699">
        <f t="shared" si="102"/>
        <v>100</v>
      </c>
      <c r="G870" s="698"/>
      <c r="H870" s="703"/>
      <c r="I870" s="948"/>
      <c r="J870" s="703"/>
      <c r="K870" s="698"/>
      <c r="L870" s="704"/>
      <c r="M870" s="720">
        <f>800-100-670</f>
        <v>30</v>
      </c>
      <c r="N870" s="698">
        <v>30</v>
      </c>
      <c r="O870" s="744">
        <f t="shared" si="103"/>
        <v>100</v>
      </c>
      <c r="P870" s="698"/>
      <c r="Q870" s="698"/>
      <c r="R870" s="770"/>
      <c r="S870" s="817"/>
      <c r="T870" s="817"/>
    </row>
    <row r="871" spans="1:20" s="818" customFormat="1" ht="12.75">
      <c r="A871" s="764">
        <v>4440</v>
      </c>
      <c r="B871" s="768" t="s">
        <v>223</v>
      </c>
      <c r="C871" s="720">
        <v>46100</v>
      </c>
      <c r="D871" s="698">
        <f t="shared" si="104"/>
        <v>47292</v>
      </c>
      <c r="E871" s="698">
        <f t="shared" si="106"/>
        <v>47292</v>
      </c>
      <c r="F871" s="699">
        <f t="shared" si="102"/>
        <v>100</v>
      </c>
      <c r="G871" s="698"/>
      <c r="H871" s="703"/>
      <c r="I871" s="948"/>
      <c r="J871" s="703"/>
      <c r="K871" s="698"/>
      <c r="L871" s="704"/>
      <c r="M871" s="720">
        <f>46100+2681-1489</f>
        <v>47292</v>
      </c>
      <c r="N871" s="698">
        <v>47292</v>
      </c>
      <c r="O871" s="744">
        <f t="shared" si="103"/>
        <v>100</v>
      </c>
      <c r="P871" s="698"/>
      <c r="Q871" s="698"/>
      <c r="R871" s="770"/>
      <c r="S871" s="817"/>
      <c r="T871" s="817"/>
    </row>
    <row r="872" spans="1:20" s="818" customFormat="1" ht="39" customHeight="1">
      <c r="A872" s="764">
        <v>4700</v>
      </c>
      <c r="B872" s="828" t="s">
        <v>550</v>
      </c>
      <c r="C872" s="720">
        <v>1100</v>
      </c>
      <c r="D872" s="698">
        <f t="shared" si="104"/>
        <v>1100</v>
      </c>
      <c r="E872" s="698">
        <f t="shared" si="106"/>
        <v>1075</v>
      </c>
      <c r="F872" s="699">
        <f t="shared" si="102"/>
        <v>97.72727272727273</v>
      </c>
      <c r="G872" s="698"/>
      <c r="H872" s="703"/>
      <c r="I872" s="948"/>
      <c r="J872" s="703"/>
      <c r="K872" s="698"/>
      <c r="L872" s="704"/>
      <c r="M872" s="720">
        <v>1100</v>
      </c>
      <c r="N872" s="698">
        <v>1075</v>
      </c>
      <c r="O872" s="744">
        <f t="shared" si="103"/>
        <v>97.72727272727273</v>
      </c>
      <c r="P872" s="698"/>
      <c r="Q872" s="698"/>
      <c r="R872" s="770"/>
      <c r="S872" s="817"/>
      <c r="T872" s="817"/>
    </row>
    <row r="873" spans="1:20" s="818" customFormat="1" ht="49.5" customHeight="1">
      <c r="A873" s="764">
        <v>4740</v>
      </c>
      <c r="B873" s="828" t="s">
        <v>235</v>
      </c>
      <c r="C873" s="720">
        <v>900</v>
      </c>
      <c r="D873" s="698">
        <f t="shared" si="104"/>
        <v>900</v>
      </c>
      <c r="E873" s="698">
        <f t="shared" si="106"/>
        <v>900</v>
      </c>
      <c r="F873" s="699">
        <f t="shared" si="102"/>
        <v>100</v>
      </c>
      <c r="G873" s="698"/>
      <c r="H873" s="703"/>
      <c r="I873" s="948"/>
      <c r="J873" s="703"/>
      <c r="K873" s="698"/>
      <c r="L873" s="704"/>
      <c r="M873" s="720">
        <v>900</v>
      </c>
      <c r="N873" s="698">
        <v>900</v>
      </c>
      <c r="O873" s="744">
        <f t="shared" si="103"/>
        <v>100</v>
      </c>
      <c r="P873" s="698"/>
      <c r="Q873" s="698"/>
      <c r="R873" s="770"/>
      <c r="S873" s="817"/>
      <c r="T873" s="817"/>
    </row>
    <row r="874" spans="1:20" s="818" customFormat="1" ht="36">
      <c r="A874" s="764">
        <v>4750</v>
      </c>
      <c r="B874" s="828" t="s">
        <v>551</v>
      </c>
      <c r="C874" s="720">
        <v>1500</v>
      </c>
      <c r="D874" s="698">
        <f t="shared" si="104"/>
        <v>1500</v>
      </c>
      <c r="E874" s="698">
        <f>SUM(H874+K874+N874+Q874)</f>
        <v>1500</v>
      </c>
      <c r="F874" s="699">
        <f>E874/D874*100</f>
        <v>100</v>
      </c>
      <c r="G874" s="698"/>
      <c r="H874" s="703"/>
      <c r="I874" s="948"/>
      <c r="J874" s="703"/>
      <c r="K874" s="698"/>
      <c r="L874" s="704"/>
      <c r="M874" s="720">
        <v>1500</v>
      </c>
      <c r="N874" s="698">
        <v>1500</v>
      </c>
      <c r="O874" s="744">
        <f t="shared" si="103"/>
        <v>100</v>
      </c>
      <c r="P874" s="698"/>
      <c r="Q874" s="698"/>
      <c r="R874" s="770"/>
      <c r="S874" s="817"/>
      <c r="T874" s="817"/>
    </row>
    <row r="875" spans="1:20" s="818" customFormat="1" ht="41.25" customHeight="1">
      <c r="A875" s="764">
        <v>6060</v>
      </c>
      <c r="B875" s="768" t="s">
        <v>593</v>
      </c>
      <c r="C875" s="720">
        <v>7000</v>
      </c>
      <c r="D875" s="792">
        <f t="shared" si="104"/>
        <v>11000</v>
      </c>
      <c r="E875" s="792">
        <f t="shared" si="106"/>
        <v>11000</v>
      </c>
      <c r="F875" s="760">
        <f t="shared" si="102"/>
        <v>100</v>
      </c>
      <c r="G875" s="792"/>
      <c r="H875" s="793"/>
      <c r="I875" s="954"/>
      <c r="J875" s="793"/>
      <c r="K875" s="792"/>
      <c r="L875" s="794"/>
      <c r="M875" s="720">
        <f>7000+4000</f>
        <v>11000</v>
      </c>
      <c r="N875" s="792">
        <f>11000-1+1</f>
        <v>11000</v>
      </c>
      <c r="O875" s="744">
        <f t="shared" si="103"/>
        <v>100</v>
      </c>
      <c r="P875" s="792"/>
      <c r="Q875" s="792"/>
      <c r="R875" s="797"/>
      <c r="S875" s="817"/>
      <c r="T875" s="817"/>
    </row>
    <row r="876" spans="1:20" s="818" customFormat="1" ht="60">
      <c r="A876" s="757">
        <v>80140</v>
      </c>
      <c r="B876" s="852" t="s">
        <v>733</v>
      </c>
      <c r="C876" s="725">
        <f>SUM(C877:C901)</f>
        <v>2507000</v>
      </c>
      <c r="D876" s="712">
        <f t="shared" si="104"/>
        <v>2442072</v>
      </c>
      <c r="E876" s="712">
        <f>H876+K876+Q876+N876</f>
        <v>2441630</v>
      </c>
      <c r="F876" s="713">
        <f t="shared" si="102"/>
        <v>99.98190061554286</v>
      </c>
      <c r="G876" s="874"/>
      <c r="H876" s="875"/>
      <c r="I876" s="955"/>
      <c r="J876" s="875"/>
      <c r="K876" s="874"/>
      <c r="L876" s="876"/>
      <c r="M876" s="725">
        <f>SUM(M877:M901)</f>
        <v>2442072</v>
      </c>
      <c r="N876" s="712">
        <f>SUM(N877:N901)</f>
        <v>2441630</v>
      </c>
      <c r="O876" s="741">
        <f t="shared" si="103"/>
        <v>99.98190061554286</v>
      </c>
      <c r="P876" s="712"/>
      <c r="Q876" s="712"/>
      <c r="R876" s="846"/>
      <c r="S876" s="817"/>
      <c r="T876" s="817"/>
    </row>
    <row r="877" spans="1:20" s="818" customFormat="1" ht="36">
      <c r="A877" s="764">
        <v>3020</v>
      </c>
      <c r="B877" s="768" t="s">
        <v>709</v>
      </c>
      <c r="C877" s="720">
        <v>7500</v>
      </c>
      <c r="D877" s="698">
        <f t="shared" si="104"/>
        <v>7000</v>
      </c>
      <c r="E877" s="698">
        <f aca="true" t="shared" si="107" ref="E877:E901">SUM(H877+K877+N877+Q877)</f>
        <v>7000</v>
      </c>
      <c r="F877" s="699">
        <f t="shared" si="102"/>
        <v>100</v>
      </c>
      <c r="G877" s="698"/>
      <c r="H877" s="703"/>
      <c r="I877" s="948"/>
      <c r="J877" s="703"/>
      <c r="K877" s="698"/>
      <c r="L877" s="704"/>
      <c r="M877" s="720">
        <f>7500-500</f>
        <v>7000</v>
      </c>
      <c r="N877" s="698">
        <v>7000</v>
      </c>
      <c r="O877" s="744">
        <f t="shared" si="103"/>
        <v>100</v>
      </c>
      <c r="P877" s="698"/>
      <c r="Q877" s="698"/>
      <c r="R877" s="770"/>
      <c r="S877" s="817"/>
      <c r="T877" s="817"/>
    </row>
    <row r="878" spans="1:20" s="818" customFormat="1" ht="28.5" customHeight="1">
      <c r="A878" s="764">
        <v>4010</v>
      </c>
      <c r="B878" s="768" t="s">
        <v>201</v>
      </c>
      <c r="C878" s="720">
        <v>1614000</v>
      </c>
      <c r="D878" s="698">
        <f t="shared" si="104"/>
        <v>1582000</v>
      </c>
      <c r="E878" s="698">
        <f t="shared" si="107"/>
        <v>1582000</v>
      </c>
      <c r="F878" s="699">
        <f t="shared" si="102"/>
        <v>100</v>
      </c>
      <c r="G878" s="698"/>
      <c r="H878" s="703"/>
      <c r="I878" s="948"/>
      <c r="J878" s="703"/>
      <c r="K878" s="698"/>
      <c r="L878" s="704"/>
      <c r="M878" s="720">
        <f>1614000-32000</f>
        <v>1582000</v>
      </c>
      <c r="N878" s="698">
        <v>1582000</v>
      </c>
      <c r="O878" s="744">
        <f t="shared" si="103"/>
        <v>100</v>
      </c>
      <c r="P878" s="698"/>
      <c r="Q878" s="698"/>
      <c r="R878" s="770"/>
      <c r="S878" s="817"/>
      <c r="T878" s="817"/>
    </row>
    <row r="879" spans="1:20" s="818" customFormat="1" ht="24">
      <c r="A879" s="764">
        <v>4040</v>
      </c>
      <c r="B879" s="768" t="s">
        <v>205</v>
      </c>
      <c r="C879" s="720">
        <v>132900</v>
      </c>
      <c r="D879" s="698">
        <f t="shared" si="104"/>
        <v>125650</v>
      </c>
      <c r="E879" s="698">
        <f t="shared" si="107"/>
        <v>125646</v>
      </c>
      <c r="F879" s="699">
        <f t="shared" si="102"/>
        <v>99.99681655391961</v>
      </c>
      <c r="G879" s="698"/>
      <c r="H879" s="703"/>
      <c r="I879" s="948"/>
      <c r="J879" s="703"/>
      <c r="K879" s="698"/>
      <c r="L879" s="704"/>
      <c r="M879" s="720">
        <f>132900-7250</f>
        <v>125650</v>
      </c>
      <c r="N879" s="698">
        <v>125646</v>
      </c>
      <c r="O879" s="744">
        <f t="shared" si="103"/>
        <v>99.99681655391961</v>
      </c>
      <c r="P879" s="698"/>
      <c r="Q879" s="698"/>
      <c r="R879" s="770"/>
      <c r="S879" s="817"/>
      <c r="T879" s="817"/>
    </row>
    <row r="880" spans="1:20" s="818" customFormat="1" ht="24.75" customHeight="1">
      <c r="A880" s="764">
        <v>4110</v>
      </c>
      <c r="B880" s="768" t="s">
        <v>207</v>
      </c>
      <c r="C880" s="720">
        <v>264000</v>
      </c>
      <c r="D880" s="698">
        <f t="shared" si="104"/>
        <v>251700</v>
      </c>
      <c r="E880" s="698">
        <f t="shared" si="107"/>
        <v>251700</v>
      </c>
      <c r="F880" s="699">
        <f t="shared" si="102"/>
        <v>100</v>
      </c>
      <c r="G880" s="698"/>
      <c r="H880" s="703"/>
      <c r="I880" s="948"/>
      <c r="J880" s="703"/>
      <c r="K880" s="698"/>
      <c r="L880" s="704"/>
      <c r="M880" s="720">
        <f>264000-12300</f>
        <v>251700</v>
      </c>
      <c r="N880" s="698">
        <v>251700</v>
      </c>
      <c r="O880" s="744">
        <f t="shared" si="103"/>
        <v>100</v>
      </c>
      <c r="P880" s="698"/>
      <c r="Q880" s="698"/>
      <c r="R880" s="770"/>
      <c r="S880" s="817"/>
      <c r="T880" s="817"/>
    </row>
    <row r="881" spans="1:20" s="818" customFormat="1" ht="12.75">
      <c r="A881" s="764">
        <v>4120</v>
      </c>
      <c r="B881" s="768" t="s">
        <v>584</v>
      </c>
      <c r="C881" s="720">
        <v>42300</v>
      </c>
      <c r="D881" s="698">
        <f t="shared" si="104"/>
        <v>39300</v>
      </c>
      <c r="E881" s="698">
        <f t="shared" si="107"/>
        <v>39300</v>
      </c>
      <c r="F881" s="699">
        <f t="shared" si="102"/>
        <v>100</v>
      </c>
      <c r="G881" s="698"/>
      <c r="H881" s="703"/>
      <c r="I881" s="948"/>
      <c r="J881" s="703"/>
      <c r="K881" s="698"/>
      <c r="L881" s="704"/>
      <c r="M881" s="720">
        <f>42300-3000</f>
        <v>39300</v>
      </c>
      <c r="N881" s="698">
        <v>39300</v>
      </c>
      <c r="O881" s="744">
        <f t="shared" si="103"/>
        <v>100</v>
      </c>
      <c r="P881" s="698"/>
      <c r="Q881" s="698"/>
      <c r="R881" s="770"/>
      <c r="S881" s="817"/>
      <c r="T881" s="817"/>
    </row>
    <row r="882" spans="1:20" s="818" customFormat="1" ht="12.75">
      <c r="A882" s="764">
        <v>4140</v>
      </c>
      <c r="B882" s="768" t="s">
        <v>283</v>
      </c>
      <c r="C882" s="720">
        <v>24100</v>
      </c>
      <c r="D882" s="698">
        <f t="shared" si="104"/>
        <v>9000</v>
      </c>
      <c r="E882" s="698">
        <f>SUM(H882+K882+N882+Q882)</f>
        <v>9000</v>
      </c>
      <c r="F882" s="699">
        <f>E882/D882*100</f>
        <v>100</v>
      </c>
      <c r="G882" s="698"/>
      <c r="H882" s="703"/>
      <c r="I882" s="948"/>
      <c r="J882" s="703"/>
      <c r="K882" s="698"/>
      <c r="L882" s="704"/>
      <c r="M882" s="720">
        <f>24100-9200-5900</f>
        <v>9000</v>
      </c>
      <c r="N882" s="698">
        <v>9000</v>
      </c>
      <c r="O882" s="744">
        <f t="shared" si="103"/>
        <v>100</v>
      </c>
      <c r="P882" s="698"/>
      <c r="Q882" s="698"/>
      <c r="R882" s="770"/>
      <c r="S882" s="817"/>
      <c r="T882" s="817"/>
    </row>
    <row r="883" spans="1:20" s="818" customFormat="1" ht="24">
      <c r="A883" s="764">
        <v>4210</v>
      </c>
      <c r="B883" s="768" t="s">
        <v>211</v>
      </c>
      <c r="C883" s="720">
        <v>30000</v>
      </c>
      <c r="D883" s="698">
        <f t="shared" si="104"/>
        <v>38480</v>
      </c>
      <c r="E883" s="698">
        <f t="shared" si="107"/>
        <v>38480</v>
      </c>
      <c r="F883" s="699">
        <f t="shared" si="102"/>
        <v>100</v>
      </c>
      <c r="G883" s="698"/>
      <c r="H883" s="703"/>
      <c r="I883" s="948"/>
      <c r="J883" s="703"/>
      <c r="K883" s="698"/>
      <c r="L883" s="704"/>
      <c r="M883" s="720">
        <f>30000+5316+3164</f>
        <v>38480</v>
      </c>
      <c r="N883" s="698">
        <v>38480</v>
      </c>
      <c r="O883" s="744">
        <f t="shared" si="103"/>
        <v>100</v>
      </c>
      <c r="P883" s="698"/>
      <c r="Q883" s="698"/>
      <c r="R883" s="770"/>
      <c r="S883" s="817"/>
      <c r="T883" s="817"/>
    </row>
    <row r="884" spans="1:20" s="818" customFormat="1" ht="37.5" customHeight="1">
      <c r="A884" s="764">
        <v>4240</v>
      </c>
      <c r="B884" s="768" t="s">
        <v>572</v>
      </c>
      <c r="C884" s="720">
        <v>10000</v>
      </c>
      <c r="D884" s="698">
        <f t="shared" si="104"/>
        <v>8110</v>
      </c>
      <c r="E884" s="698">
        <f t="shared" si="107"/>
        <v>8110</v>
      </c>
      <c r="F884" s="699">
        <f t="shared" si="102"/>
        <v>100</v>
      </c>
      <c r="G884" s="698"/>
      <c r="H884" s="703"/>
      <c r="I884" s="948"/>
      <c r="J884" s="703"/>
      <c r="K884" s="698"/>
      <c r="L884" s="704"/>
      <c r="M884" s="720">
        <f>10000-1890</f>
        <v>8110</v>
      </c>
      <c r="N884" s="698">
        <v>8110</v>
      </c>
      <c r="O884" s="744">
        <f t="shared" si="103"/>
        <v>100</v>
      </c>
      <c r="P884" s="698"/>
      <c r="Q884" s="698"/>
      <c r="R884" s="770"/>
      <c r="S884" s="817"/>
      <c r="T884" s="817"/>
    </row>
    <row r="885" spans="1:20" s="818" customFormat="1" ht="12.75">
      <c r="A885" s="764">
        <v>4260</v>
      </c>
      <c r="B885" s="768" t="s">
        <v>215</v>
      </c>
      <c r="C885" s="720">
        <v>180000</v>
      </c>
      <c r="D885" s="698">
        <f t="shared" si="104"/>
        <v>180000</v>
      </c>
      <c r="E885" s="698">
        <f t="shared" si="107"/>
        <v>180000</v>
      </c>
      <c r="F885" s="699">
        <f t="shared" si="102"/>
        <v>100</v>
      </c>
      <c r="G885" s="698"/>
      <c r="H885" s="703"/>
      <c r="I885" s="948"/>
      <c r="J885" s="703"/>
      <c r="K885" s="698"/>
      <c r="L885" s="704"/>
      <c r="M885" s="720">
        <v>180000</v>
      </c>
      <c r="N885" s="698">
        <v>180000</v>
      </c>
      <c r="O885" s="744">
        <f t="shared" si="103"/>
        <v>100</v>
      </c>
      <c r="P885" s="698"/>
      <c r="Q885" s="698"/>
      <c r="R885" s="770"/>
      <c r="S885" s="817"/>
      <c r="T885" s="817"/>
    </row>
    <row r="886" spans="1:20" s="818" customFormat="1" ht="14.25" customHeight="1">
      <c r="A886" s="764">
        <v>4270</v>
      </c>
      <c r="B886" s="768" t="s">
        <v>217</v>
      </c>
      <c r="C886" s="720">
        <v>10000</v>
      </c>
      <c r="D886" s="698">
        <f t="shared" si="104"/>
        <v>12000</v>
      </c>
      <c r="E886" s="698">
        <f t="shared" si="107"/>
        <v>12000</v>
      </c>
      <c r="F886" s="699">
        <f t="shared" si="102"/>
        <v>100</v>
      </c>
      <c r="G886" s="698"/>
      <c r="H886" s="703"/>
      <c r="I886" s="948"/>
      <c r="J886" s="703"/>
      <c r="K886" s="698"/>
      <c r="L886" s="704"/>
      <c r="M886" s="720">
        <f>10000+2000</f>
        <v>12000</v>
      </c>
      <c r="N886" s="698">
        <v>12000</v>
      </c>
      <c r="O886" s="744">
        <f t="shared" si="103"/>
        <v>100</v>
      </c>
      <c r="P886" s="698"/>
      <c r="Q886" s="698"/>
      <c r="R886" s="770"/>
      <c r="S886" s="817"/>
      <c r="T886" s="817"/>
    </row>
    <row r="887" spans="1:20" s="818" customFormat="1" ht="17.25" customHeight="1">
      <c r="A887" s="764">
        <v>4280</v>
      </c>
      <c r="B887" s="768" t="s">
        <v>542</v>
      </c>
      <c r="C887" s="720">
        <v>1300</v>
      </c>
      <c r="D887" s="698">
        <f t="shared" si="104"/>
        <v>3085</v>
      </c>
      <c r="E887" s="698">
        <f t="shared" si="107"/>
        <v>3085</v>
      </c>
      <c r="F887" s="699">
        <f t="shared" si="102"/>
        <v>100</v>
      </c>
      <c r="G887" s="698"/>
      <c r="H887" s="703"/>
      <c r="I887" s="948"/>
      <c r="J887" s="703"/>
      <c r="K887" s="698"/>
      <c r="L887" s="704"/>
      <c r="M887" s="720">
        <f>1300+2200-415</f>
        <v>3085</v>
      </c>
      <c r="N887" s="698">
        <v>3085</v>
      </c>
      <c r="O887" s="744">
        <f t="shared" si="103"/>
        <v>100</v>
      </c>
      <c r="P887" s="698"/>
      <c r="Q887" s="698"/>
      <c r="R887" s="770"/>
      <c r="S887" s="817"/>
      <c r="T887" s="817"/>
    </row>
    <row r="888" spans="1:20" s="818" customFormat="1" ht="13.5" customHeight="1">
      <c r="A888" s="764">
        <v>4300</v>
      </c>
      <c r="B888" s="768" t="s">
        <v>219</v>
      </c>
      <c r="C888" s="720">
        <v>18000</v>
      </c>
      <c r="D888" s="698">
        <f t="shared" si="104"/>
        <v>25500</v>
      </c>
      <c r="E888" s="698">
        <f t="shared" si="107"/>
        <v>25500</v>
      </c>
      <c r="F888" s="699">
        <f t="shared" si="102"/>
        <v>100</v>
      </c>
      <c r="G888" s="698"/>
      <c r="H888" s="703"/>
      <c r="I888" s="948"/>
      <c r="J888" s="703"/>
      <c r="K888" s="698"/>
      <c r="L888" s="704"/>
      <c r="M888" s="720">
        <f>18000+5000+2500</f>
        <v>25500</v>
      </c>
      <c r="N888" s="698">
        <v>25500</v>
      </c>
      <c r="O888" s="744">
        <f t="shared" si="103"/>
        <v>100</v>
      </c>
      <c r="P888" s="698"/>
      <c r="Q888" s="698"/>
      <c r="R888" s="770"/>
      <c r="S888" s="817"/>
      <c r="T888" s="817"/>
    </row>
    <row r="889" spans="1:20" s="818" customFormat="1" ht="24">
      <c r="A889" s="764">
        <v>4350</v>
      </c>
      <c r="B889" s="768" t="s">
        <v>544</v>
      </c>
      <c r="C889" s="720">
        <v>3900</v>
      </c>
      <c r="D889" s="698">
        <f t="shared" si="104"/>
        <v>3792</v>
      </c>
      <c r="E889" s="698">
        <f t="shared" si="107"/>
        <v>3792</v>
      </c>
      <c r="F889" s="699">
        <f t="shared" si="102"/>
        <v>100</v>
      </c>
      <c r="G889" s="698"/>
      <c r="H889" s="703"/>
      <c r="I889" s="948"/>
      <c r="J889" s="703"/>
      <c r="K889" s="698"/>
      <c r="L889" s="704"/>
      <c r="M889" s="720">
        <f>3900-108</f>
        <v>3792</v>
      </c>
      <c r="N889" s="698">
        <v>3792</v>
      </c>
      <c r="O889" s="744">
        <f t="shared" si="103"/>
        <v>100</v>
      </c>
      <c r="P889" s="698"/>
      <c r="Q889" s="698"/>
      <c r="R889" s="770"/>
      <c r="S889" s="817"/>
      <c r="T889" s="817"/>
    </row>
    <row r="890" spans="1:20" s="818" customFormat="1" ht="37.5" customHeight="1">
      <c r="A890" s="764">
        <v>4360</v>
      </c>
      <c r="B890" s="828" t="s">
        <v>682</v>
      </c>
      <c r="C890" s="720">
        <v>1300</v>
      </c>
      <c r="D890" s="698">
        <f t="shared" si="104"/>
        <v>1200</v>
      </c>
      <c r="E890" s="698">
        <f>SUM(H890+K890+N890+Q890)</f>
        <v>1193</v>
      </c>
      <c r="F890" s="699">
        <f>E890/D890*100</f>
        <v>99.41666666666666</v>
      </c>
      <c r="G890" s="698"/>
      <c r="H890" s="703"/>
      <c r="I890" s="948"/>
      <c r="J890" s="703"/>
      <c r="K890" s="698"/>
      <c r="L890" s="704"/>
      <c r="M890" s="720">
        <f>1300+20-120</f>
        <v>1200</v>
      </c>
      <c r="N890" s="698">
        <v>1193</v>
      </c>
      <c r="O890" s="744">
        <f t="shared" si="103"/>
        <v>99.41666666666666</v>
      </c>
      <c r="P890" s="698"/>
      <c r="Q890" s="698"/>
      <c r="R890" s="770"/>
      <c r="S890" s="817"/>
      <c r="T890" s="817"/>
    </row>
    <row r="891" spans="1:20" s="818" customFormat="1" ht="39" customHeight="1">
      <c r="A891" s="764">
        <v>4370</v>
      </c>
      <c r="B891" s="828" t="s">
        <v>635</v>
      </c>
      <c r="C891" s="720">
        <v>10900</v>
      </c>
      <c r="D891" s="698">
        <f t="shared" si="104"/>
        <v>9100</v>
      </c>
      <c r="E891" s="698">
        <f>SUM(H891+K891+N891+Q891)</f>
        <v>8670</v>
      </c>
      <c r="F891" s="699">
        <f>E891/D891*100</f>
        <v>95.27472527472527</v>
      </c>
      <c r="G891" s="698"/>
      <c r="H891" s="703"/>
      <c r="I891" s="948"/>
      <c r="J891" s="703"/>
      <c r="K891" s="698"/>
      <c r="L891" s="704"/>
      <c r="M891" s="720">
        <f>10900-1200-600</f>
        <v>9100</v>
      </c>
      <c r="N891" s="698">
        <v>8670</v>
      </c>
      <c r="O891" s="744">
        <f t="shared" si="103"/>
        <v>95.27472527472527</v>
      </c>
      <c r="P891" s="698"/>
      <c r="Q891" s="698"/>
      <c r="R891" s="770"/>
      <c r="S891" s="817"/>
      <c r="T891" s="817"/>
    </row>
    <row r="892" spans="1:20" s="818" customFormat="1" ht="38.25" customHeight="1">
      <c r="A892" s="764">
        <v>4390</v>
      </c>
      <c r="B892" s="768" t="s">
        <v>243</v>
      </c>
      <c r="C892" s="720">
        <v>4000</v>
      </c>
      <c r="D892" s="698">
        <f t="shared" si="104"/>
        <v>976</v>
      </c>
      <c r="E892" s="698">
        <f>SUM(H892+K892+N892+Q892)</f>
        <v>976</v>
      </c>
      <c r="F892" s="699">
        <f>E892/D892*100</f>
        <v>100</v>
      </c>
      <c r="G892" s="698"/>
      <c r="H892" s="703"/>
      <c r="I892" s="948"/>
      <c r="J892" s="703"/>
      <c r="K892" s="698"/>
      <c r="L892" s="704"/>
      <c r="M892" s="720">
        <f>4000-3024</f>
        <v>976</v>
      </c>
      <c r="N892" s="698">
        <v>976</v>
      </c>
      <c r="O892" s="744">
        <f t="shared" si="103"/>
        <v>100</v>
      </c>
      <c r="P892" s="698"/>
      <c r="Q892" s="698"/>
      <c r="R892" s="770"/>
      <c r="S892" s="817"/>
      <c r="T892" s="817"/>
    </row>
    <row r="893" spans="1:20" s="818" customFormat="1" ht="14.25" customHeight="1">
      <c r="A893" s="764">
        <v>4410</v>
      </c>
      <c r="B893" s="768" t="s">
        <v>193</v>
      </c>
      <c r="C893" s="720">
        <v>1500</v>
      </c>
      <c r="D893" s="698">
        <f t="shared" si="104"/>
        <v>800</v>
      </c>
      <c r="E893" s="698">
        <f t="shared" si="107"/>
        <v>799</v>
      </c>
      <c r="F893" s="699">
        <f t="shared" si="102"/>
        <v>99.875</v>
      </c>
      <c r="G893" s="698"/>
      <c r="H893" s="703"/>
      <c r="I893" s="948"/>
      <c r="J893" s="703"/>
      <c r="K893" s="698"/>
      <c r="L893" s="704"/>
      <c r="M893" s="720">
        <f>1500-700</f>
        <v>800</v>
      </c>
      <c r="N893" s="698">
        <v>799</v>
      </c>
      <c r="O893" s="744">
        <f t="shared" si="103"/>
        <v>99.875</v>
      </c>
      <c r="P893" s="698"/>
      <c r="Q893" s="698"/>
      <c r="R893" s="770"/>
      <c r="S893" s="817"/>
      <c r="T893" s="817"/>
    </row>
    <row r="894" spans="1:20" s="818" customFormat="1" ht="24">
      <c r="A894" s="764">
        <v>4420</v>
      </c>
      <c r="B894" s="768" t="s">
        <v>560</v>
      </c>
      <c r="C894" s="720"/>
      <c r="D894" s="698">
        <f t="shared" si="104"/>
        <v>621</v>
      </c>
      <c r="E894" s="698">
        <f>SUM(H894+K894+N894+Q894)</f>
        <v>621</v>
      </c>
      <c r="F894" s="699">
        <f>E894/D894*100</f>
        <v>100</v>
      </c>
      <c r="G894" s="698"/>
      <c r="H894" s="703"/>
      <c r="I894" s="948"/>
      <c r="J894" s="703"/>
      <c r="K894" s="698"/>
      <c r="L894" s="704"/>
      <c r="M894" s="720">
        <f>500-254+375</f>
        <v>621</v>
      </c>
      <c r="N894" s="698">
        <v>621</v>
      </c>
      <c r="O894" s="744">
        <f t="shared" si="103"/>
        <v>100</v>
      </c>
      <c r="P894" s="698"/>
      <c r="Q894" s="698"/>
      <c r="R894" s="770"/>
      <c r="S894" s="817"/>
      <c r="T894" s="817"/>
    </row>
    <row r="895" spans="1:20" s="818" customFormat="1" ht="12.75">
      <c r="A895" s="764">
        <v>4430</v>
      </c>
      <c r="B895" s="768" t="s">
        <v>221</v>
      </c>
      <c r="C895" s="720">
        <v>300</v>
      </c>
      <c r="D895" s="698">
        <f t="shared" si="104"/>
        <v>50</v>
      </c>
      <c r="E895" s="698">
        <f t="shared" si="107"/>
        <v>50</v>
      </c>
      <c r="F895" s="699">
        <f t="shared" si="102"/>
        <v>100</v>
      </c>
      <c r="G895" s="698"/>
      <c r="H895" s="703"/>
      <c r="I895" s="948"/>
      <c r="J895" s="703"/>
      <c r="K895" s="698"/>
      <c r="L895" s="704"/>
      <c r="M895" s="720">
        <f>300-250</f>
        <v>50</v>
      </c>
      <c r="N895" s="698">
        <v>50</v>
      </c>
      <c r="O895" s="744">
        <f t="shared" si="103"/>
        <v>100</v>
      </c>
      <c r="P895" s="698"/>
      <c r="Q895" s="698"/>
      <c r="R895" s="770"/>
      <c r="S895" s="817"/>
      <c r="T895" s="817"/>
    </row>
    <row r="896" spans="1:20" s="818" customFormat="1" ht="12.75">
      <c r="A896" s="764">
        <v>4440</v>
      </c>
      <c r="B896" s="768" t="s">
        <v>223</v>
      </c>
      <c r="C896" s="720">
        <v>92700</v>
      </c>
      <c r="D896" s="698">
        <f t="shared" si="104"/>
        <v>93812</v>
      </c>
      <c r="E896" s="698">
        <f t="shared" si="107"/>
        <v>93812</v>
      </c>
      <c r="F896" s="699">
        <f t="shared" si="102"/>
        <v>100</v>
      </c>
      <c r="G896" s="698"/>
      <c r="H896" s="703"/>
      <c r="I896" s="948"/>
      <c r="J896" s="703"/>
      <c r="K896" s="698"/>
      <c r="L896" s="704"/>
      <c r="M896" s="720">
        <f>92700+5890-4778</f>
        <v>93812</v>
      </c>
      <c r="N896" s="698">
        <v>93812</v>
      </c>
      <c r="O896" s="744">
        <f t="shared" si="103"/>
        <v>100</v>
      </c>
      <c r="P896" s="698"/>
      <c r="Q896" s="698"/>
      <c r="R896" s="770"/>
      <c r="S896" s="817"/>
      <c r="T896" s="817"/>
    </row>
    <row r="897" spans="1:20" s="818" customFormat="1" ht="39.75" customHeight="1">
      <c r="A897" s="764">
        <v>4700</v>
      </c>
      <c r="B897" s="828" t="s">
        <v>550</v>
      </c>
      <c r="C897" s="720">
        <v>4000</v>
      </c>
      <c r="D897" s="698">
        <f t="shared" si="104"/>
        <v>4096</v>
      </c>
      <c r="E897" s="698">
        <f t="shared" si="107"/>
        <v>4096</v>
      </c>
      <c r="F897" s="699">
        <f t="shared" si="102"/>
        <v>100</v>
      </c>
      <c r="G897" s="698"/>
      <c r="H897" s="703"/>
      <c r="I897" s="948"/>
      <c r="J897" s="703"/>
      <c r="K897" s="698"/>
      <c r="L897" s="704"/>
      <c r="M897" s="720">
        <f>4000+96</f>
        <v>4096</v>
      </c>
      <c r="N897" s="698">
        <v>4096</v>
      </c>
      <c r="O897" s="744">
        <f t="shared" si="103"/>
        <v>100</v>
      </c>
      <c r="P897" s="698"/>
      <c r="Q897" s="698"/>
      <c r="R897" s="770"/>
      <c r="S897" s="817"/>
      <c r="T897" s="817"/>
    </row>
    <row r="898" spans="1:20" s="818" customFormat="1" ht="46.5" customHeight="1">
      <c r="A898" s="764">
        <v>4740</v>
      </c>
      <c r="B898" s="828" t="s">
        <v>235</v>
      </c>
      <c r="C898" s="720">
        <v>2700</v>
      </c>
      <c r="D898" s="698">
        <f t="shared" si="104"/>
        <v>3300</v>
      </c>
      <c r="E898" s="698">
        <f t="shared" si="107"/>
        <v>3300</v>
      </c>
      <c r="F898" s="699">
        <f t="shared" si="102"/>
        <v>100</v>
      </c>
      <c r="G898" s="698"/>
      <c r="H898" s="703"/>
      <c r="I898" s="948"/>
      <c r="J898" s="703"/>
      <c r="K898" s="698"/>
      <c r="L898" s="704"/>
      <c r="M898" s="720">
        <f>2700+600</f>
        <v>3300</v>
      </c>
      <c r="N898" s="698">
        <v>3300</v>
      </c>
      <c r="O898" s="744">
        <f t="shared" si="103"/>
        <v>100</v>
      </c>
      <c r="P898" s="698"/>
      <c r="Q898" s="698"/>
      <c r="R898" s="770"/>
      <c r="S898" s="817"/>
      <c r="T898" s="817"/>
    </row>
    <row r="899" spans="1:20" s="818" customFormat="1" ht="36">
      <c r="A899" s="764">
        <v>4750</v>
      </c>
      <c r="B899" s="828" t="s">
        <v>551</v>
      </c>
      <c r="C899" s="720">
        <v>10000</v>
      </c>
      <c r="D899" s="698">
        <f t="shared" si="104"/>
        <v>10500</v>
      </c>
      <c r="E899" s="698">
        <f t="shared" si="107"/>
        <v>10500</v>
      </c>
      <c r="F899" s="699">
        <f t="shared" si="102"/>
        <v>100</v>
      </c>
      <c r="G899" s="698"/>
      <c r="H899" s="703"/>
      <c r="I899" s="948"/>
      <c r="J899" s="703"/>
      <c r="K899" s="698"/>
      <c r="L899" s="704"/>
      <c r="M899" s="720">
        <f>10000-500+1000</f>
        <v>10500</v>
      </c>
      <c r="N899" s="698">
        <v>10500</v>
      </c>
      <c r="O899" s="744">
        <f t="shared" si="103"/>
        <v>100</v>
      </c>
      <c r="P899" s="698"/>
      <c r="Q899" s="698"/>
      <c r="R899" s="770"/>
      <c r="S899" s="817"/>
      <c r="T899" s="817"/>
    </row>
    <row r="900" spans="1:20" s="818" customFormat="1" ht="28.5" customHeight="1">
      <c r="A900" s="764">
        <v>6050</v>
      </c>
      <c r="B900" s="768" t="s">
        <v>246</v>
      </c>
      <c r="C900" s="720">
        <v>41600</v>
      </c>
      <c r="D900" s="698">
        <f t="shared" si="104"/>
        <v>32000</v>
      </c>
      <c r="E900" s="698">
        <f t="shared" si="107"/>
        <v>32000</v>
      </c>
      <c r="F900" s="699">
        <f t="shared" si="102"/>
        <v>100</v>
      </c>
      <c r="G900" s="698"/>
      <c r="H900" s="703"/>
      <c r="I900" s="948"/>
      <c r="J900" s="703"/>
      <c r="K900" s="698"/>
      <c r="L900" s="704"/>
      <c r="M900" s="720">
        <f>41600-9600</f>
        <v>32000</v>
      </c>
      <c r="N900" s="698">
        <v>32000</v>
      </c>
      <c r="O900" s="744">
        <f t="shared" si="103"/>
        <v>100</v>
      </c>
      <c r="P900" s="698"/>
      <c r="Q900" s="698"/>
      <c r="R900" s="770"/>
      <c r="S900" s="817"/>
      <c r="T900" s="817"/>
    </row>
    <row r="901" spans="1:20" s="818" customFormat="1" ht="48" hidden="1">
      <c r="A901" s="764">
        <v>6060</v>
      </c>
      <c r="B901" s="768" t="s">
        <v>593</v>
      </c>
      <c r="C901" s="720"/>
      <c r="D901" s="698">
        <f t="shared" si="104"/>
        <v>0</v>
      </c>
      <c r="E901" s="698">
        <f t="shared" si="107"/>
        <v>0</v>
      </c>
      <c r="F901" s="699" t="e">
        <f t="shared" si="102"/>
        <v>#DIV/0!</v>
      </c>
      <c r="G901" s="698"/>
      <c r="H901" s="703"/>
      <c r="I901" s="948"/>
      <c r="J901" s="703"/>
      <c r="K901" s="698"/>
      <c r="L901" s="704"/>
      <c r="M901" s="720"/>
      <c r="N901" s="698"/>
      <c r="O901" s="744" t="e">
        <f t="shared" si="103"/>
        <v>#DIV/0!</v>
      </c>
      <c r="P901" s="698"/>
      <c r="Q901" s="698"/>
      <c r="R901" s="770"/>
      <c r="S901" s="817"/>
      <c r="T901" s="817"/>
    </row>
    <row r="902" spans="1:20" s="862" customFormat="1" ht="15" customHeight="1" hidden="1">
      <c r="A902" s="757">
        <v>80145</v>
      </c>
      <c r="B902" s="852" t="s">
        <v>734</v>
      </c>
      <c r="C902" s="725">
        <f>SUM(C904)</f>
        <v>0</v>
      </c>
      <c r="D902" s="712">
        <f t="shared" si="104"/>
        <v>0</v>
      </c>
      <c r="E902" s="712">
        <f>H902+K902+Q902+N902</f>
        <v>0</v>
      </c>
      <c r="F902" s="713" t="e">
        <f>E902/D902*100</f>
        <v>#DIV/0!</v>
      </c>
      <c r="G902" s="845">
        <f>SUM(G903:G904)</f>
        <v>0</v>
      </c>
      <c r="H902" s="712">
        <f>SUM(H903:H904)</f>
        <v>0</v>
      </c>
      <c r="I902" s="741" t="e">
        <f>H902/G902*100</f>
        <v>#DIV/0!</v>
      </c>
      <c r="J902" s="717"/>
      <c r="K902" s="712"/>
      <c r="L902" s="718"/>
      <c r="M902" s="725">
        <f>SUM(M903:M904)</f>
        <v>0</v>
      </c>
      <c r="N902" s="712">
        <f>SUM(N903:N904)</f>
        <v>0</v>
      </c>
      <c r="O902" s="719" t="e">
        <f>N902/M902*100</f>
        <v>#DIV/0!</v>
      </c>
      <c r="P902" s="712"/>
      <c r="Q902" s="712"/>
      <c r="R902" s="802"/>
      <c r="S902" s="861"/>
      <c r="T902" s="861"/>
    </row>
    <row r="903" spans="1:20" s="818" customFormat="1" ht="24" hidden="1">
      <c r="A903" s="784">
        <v>4170</v>
      </c>
      <c r="B903" s="785" t="s">
        <v>242</v>
      </c>
      <c r="C903" s="723"/>
      <c r="D903" s="732">
        <f t="shared" si="104"/>
        <v>0</v>
      </c>
      <c r="E903" s="732">
        <f>SUM(H903+K903+N903+Q903)</f>
        <v>0</v>
      </c>
      <c r="F903" s="721" t="e">
        <f>E903/D903*100</f>
        <v>#DIV/0!</v>
      </c>
      <c r="G903" s="723"/>
      <c r="H903" s="735"/>
      <c r="I903" s="786" t="e">
        <f>H903/G903*100</f>
        <v>#DIV/0!</v>
      </c>
      <c r="J903" s="735"/>
      <c r="K903" s="732"/>
      <c r="L903" s="736"/>
      <c r="M903" s="723"/>
      <c r="N903" s="732"/>
      <c r="O903" s="707" t="e">
        <f>N903/M903*100</f>
        <v>#DIV/0!</v>
      </c>
      <c r="P903" s="732"/>
      <c r="Q903" s="732"/>
      <c r="R903" s="788"/>
      <c r="S903" s="817"/>
      <c r="T903" s="817"/>
    </row>
    <row r="904" spans="1:20" s="818" customFormat="1" ht="14.25" customHeight="1" hidden="1">
      <c r="A904" s="789">
        <v>4300</v>
      </c>
      <c r="B904" s="804" t="s">
        <v>219</v>
      </c>
      <c r="C904" s="791"/>
      <c r="D904" s="792">
        <f t="shared" si="104"/>
        <v>0</v>
      </c>
      <c r="E904" s="792">
        <f>SUM(H904+K904+N904+Q904)</f>
        <v>0</v>
      </c>
      <c r="F904" s="760"/>
      <c r="G904" s="792">
        <f>7000-7000</f>
        <v>0</v>
      </c>
      <c r="H904" s="793"/>
      <c r="I904" s="761"/>
      <c r="J904" s="793"/>
      <c r="K904" s="792"/>
      <c r="L904" s="794"/>
      <c r="M904" s="791">
        <f>5000-5000</f>
        <v>0</v>
      </c>
      <c r="N904" s="792"/>
      <c r="O904" s="796"/>
      <c r="P904" s="792"/>
      <c r="Q904" s="792"/>
      <c r="R904" s="797"/>
      <c r="S904" s="817"/>
      <c r="T904" s="817"/>
    </row>
    <row r="905" spans="1:20" s="862" customFormat="1" ht="30" customHeight="1">
      <c r="A905" s="757">
        <v>80146</v>
      </c>
      <c r="B905" s="852" t="s">
        <v>735</v>
      </c>
      <c r="C905" s="725">
        <f>SUM(C906:C921)</f>
        <v>588200</v>
      </c>
      <c r="D905" s="712">
        <f t="shared" si="104"/>
        <v>594239</v>
      </c>
      <c r="E905" s="712">
        <f>H905+K905+Q905+N905</f>
        <v>557020</v>
      </c>
      <c r="F905" s="713">
        <f aca="true" t="shared" si="108" ref="F905:F967">E905/D905*100</f>
        <v>93.73669516810577</v>
      </c>
      <c r="G905" s="725">
        <f>SUM(G906:G921)</f>
        <v>303644</v>
      </c>
      <c r="H905" s="880">
        <f>SUM(H906:H921)</f>
        <v>285338</v>
      </c>
      <c r="I905" s="741">
        <f aca="true" t="shared" si="109" ref="I905:I932">H905/G905*100</f>
        <v>93.97122946608528</v>
      </c>
      <c r="J905" s="717"/>
      <c r="K905" s="712"/>
      <c r="L905" s="718"/>
      <c r="M905" s="725">
        <f>SUM(M906:M921)</f>
        <v>290595</v>
      </c>
      <c r="N905" s="712">
        <f>SUM(N906:N921)</f>
        <v>271682</v>
      </c>
      <c r="O905" s="719">
        <f>N905/M905*100</f>
        <v>93.49162924344878</v>
      </c>
      <c r="P905" s="712"/>
      <c r="Q905" s="712"/>
      <c r="R905" s="802"/>
      <c r="S905" s="861"/>
      <c r="T905" s="861"/>
    </row>
    <row r="906" spans="1:20" s="818" customFormat="1" ht="36" hidden="1">
      <c r="A906" s="784">
        <v>2510</v>
      </c>
      <c r="B906" s="785" t="s">
        <v>736</v>
      </c>
      <c r="C906" s="723"/>
      <c r="D906" s="732">
        <f t="shared" si="104"/>
        <v>0</v>
      </c>
      <c r="E906" s="732">
        <f>H906+K906+Q906+N906</f>
        <v>0</v>
      </c>
      <c r="F906" s="721"/>
      <c r="G906" s="723"/>
      <c r="H906" s="735"/>
      <c r="I906" s="744"/>
      <c r="J906" s="735"/>
      <c r="K906" s="732"/>
      <c r="L906" s="736"/>
      <c r="M906" s="723"/>
      <c r="N906" s="732"/>
      <c r="O906" s="707"/>
      <c r="P906" s="732"/>
      <c r="Q906" s="732"/>
      <c r="R906" s="788"/>
      <c r="S906" s="817"/>
      <c r="T906" s="817"/>
    </row>
    <row r="907" spans="1:20" s="818" customFormat="1" ht="25.5" customHeight="1">
      <c r="A907" s="764">
        <v>4010</v>
      </c>
      <c r="B907" s="768" t="s">
        <v>201</v>
      </c>
      <c r="C907" s="720">
        <v>134500</v>
      </c>
      <c r="D907" s="698">
        <f t="shared" si="104"/>
        <v>139700</v>
      </c>
      <c r="E907" s="698">
        <f>H907+K907+Q907+N907</f>
        <v>139700</v>
      </c>
      <c r="F907" s="699">
        <f t="shared" si="108"/>
        <v>100</v>
      </c>
      <c r="G907" s="720">
        <f>52800+1400</f>
        <v>54200</v>
      </c>
      <c r="H907" s="703">
        <v>54200</v>
      </c>
      <c r="I907" s="744">
        <f t="shared" si="109"/>
        <v>100</v>
      </c>
      <c r="J907" s="703"/>
      <c r="K907" s="698"/>
      <c r="L907" s="704"/>
      <c r="M907" s="720">
        <f>81700+3800</f>
        <v>85500</v>
      </c>
      <c r="N907" s="698">
        <v>85500</v>
      </c>
      <c r="O907" s="744">
        <f aca="true" t="shared" si="110" ref="O907:O917">N907/M907*100</f>
        <v>100</v>
      </c>
      <c r="P907" s="698"/>
      <c r="Q907" s="698"/>
      <c r="R907" s="770"/>
      <c r="S907" s="817"/>
      <c r="T907" s="817"/>
    </row>
    <row r="908" spans="1:20" s="818" customFormat="1" ht="24">
      <c r="A908" s="764">
        <v>4040</v>
      </c>
      <c r="B908" s="768" t="s">
        <v>205</v>
      </c>
      <c r="C908" s="720">
        <v>11200</v>
      </c>
      <c r="D908" s="698">
        <f t="shared" si="104"/>
        <v>11391</v>
      </c>
      <c r="E908" s="698">
        <f>SUM(H908+K908+N908+Q908)</f>
        <v>11376</v>
      </c>
      <c r="F908" s="699">
        <f t="shared" si="108"/>
        <v>99.8683170924414</v>
      </c>
      <c r="G908" s="698">
        <f>4600+30</f>
        <v>4630</v>
      </c>
      <c r="H908" s="703">
        <v>4619</v>
      </c>
      <c r="I908" s="744">
        <f t="shared" si="109"/>
        <v>99.76241900647949</v>
      </c>
      <c r="J908" s="703"/>
      <c r="K908" s="698"/>
      <c r="L908" s="704"/>
      <c r="M908" s="720">
        <f>6600+161</f>
        <v>6761</v>
      </c>
      <c r="N908" s="698">
        <f>6757+1-1</f>
        <v>6757</v>
      </c>
      <c r="O908" s="744">
        <f t="shared" si="110"/>
        <v>99.94083715426711</v>
      </c>
      <c r="P908" s="698"/>
      <c r="Q908" s="698"/>
      <c r="R908" s="770"/>
      <c r="S908" s="817"/>
      <c r="T908" s="817"/>
    </row>
    <row r="909" spans="1:20" s="818" customFormat="1" ht="27.75" customHeight="1">
      <c r="A909" s="764">
        <v>4110</v>
      </c>
      <c r="B909" s="768" t="s">
        <v>207</v>
      </c>
      <c r="C909" s="720">
        <v>22800</v>
      </c>
      <c r="D909" s="698">
        <f t="shared" si="104"/>
        <v>22800</v>
      </c>
      <c r="E909" s="698">
        <f>H909+K909+Q909+N909</f>
        <v>22800</v>
      </c>
      <c r="F909" s="699">
        <f t="shared" si="108"/>
        <v>100</v>
      </c>
      <c r="G909" s="720">
        <f>9500-200</f>
        <v>9300</v>
      </c>
      <c r="H909" s="703">
        <v>9300</v>
      </c>
      <c r="I909" s="744">
        <f t="shared" si="109"/>
        <v>100</v>
      </c>
      <c r="J909" s="703"/>
      <c r="K909" s="698"/>
      <c r="L909" s="704"/>
      <c r="M909" s="720">
        <f>13300+200</f>
        <v>13500</v>
      </c>
      <c r="N909" s="698">
        <v>13500</v>
      </c>
      <c r="O909" s="744">
        <f t="shared" si="110"/>
        <v>100</v>
      </c>
      <c r="P909" s="698"/>
      <c r="Q909" s="698"/>
      <c r="R909" s="770"/>
      <c r="S909" s="817"/>
      <c r="T909" s="817"/>
    </row>
    <row r="910" spans="1:20" s="818" customFormat="1" ht="12.75">
      <c r="A910" s="764">
        <v>4120</v>
      </c>
      <c r="B910" s="768" t="s">
        <v>584</v>
      </c>
      <c r="C910" s="720">
        <v>3700</v>
      </c>
      <c r="D910" s="698">
        <f t="shared" si="104"/>
        <v>3760</v>
      </c>
      <c r="E910" s="698">
        <f t="shared" si="104"/>
        <v>3741</v>
      </c>
      <c r="F910" s="699">
        <f t="shared" si="108"/>
        <v>99.49468085106383</v>
      </c>
      <c r="G910" s="720">
        <f>1500+60</f>
        <v>1560</v>
      </c>
      <c r="H910" s="703">
        <v>1560</v>
      </c>
      <c r="I910" s="744">
        <f t="shared" si="109"/>
        <v>100</v>
      </c>
      <c r="J910" s="703"/>
      <c r="K910" s="698"/>
      <c r="L910" s="704"/>
      <c r="M910" s="720">
        <v>2200</v>
      </c>
      <c r="N910" s="698">
        <v>2181</v>
      </c>
      <c r="O910" s="744">
        <f t="shared" si="110"/>
        <v>99.13636363636364</v>
      </c>
      <c r="P910" s="698"/>
      <c r="Q910" s="698"/>
      <c r="R910" s="770"/>
      <c r="S910" s="817"/>
      <c r="T910" s="817"/>
    </row>
    <row r="911" spans="1:20" s="818" customFormat="1" ht="12.75">
      <c r="A911" s="764">
        <v>4140</v>
      </c>
      <c r="B911" s="768" t="s">
        <v>283</v>
      </c>
      <c r="C911" s="720"/>
      <c r="D911" s="698">
        <f aca="true" t="shared" si="111" ref="D911:E927">G911+J911+P911+M911</f>
        <v>39</v>
      </c>
      <c r="E911" s="698">
        <f t="shared" si="111"/>
        <v>39</v>
      </c>
      <c r="F911" s="699">
        <f t="shared" si="108"/>
        <v>100</v>
      </c>
      <c r="G911" s="720"/>
      <c r="H911" s="703"/>
      <c r="I911" s="744"/>
      <c r="J911" s="703"/>
      <c r="K911" s="698"/>
      <c r="L911" s="704"/>
      <c r="M911" s="720">
        <v>39</v>
      </c>
      <c r="N911" s="698">
        <v>39</v>
      </c>
      <c r="O911" s="744">
        <f t="shared" si="110"/>
        <v>100</v>
      </c>
      <c r="P911" s="698"/>
      <c r="Q911" s="698"/>
      <c r="R911" s="770"/>
      <c r="S911" s="817"/>
      <c r="T911" s="817"/>
    </row>
    <row r="912" spans="1:20" s="818" customFormat="1" ht="24">
      <c r="A912" s="764">
        <v>4170</v>
      </c>
      <c r="B912" s="768" t="s">
        <v>242</v>
      </c>
      <c r="C912" s="720"/>
      <c r="D912" s="698">
        <f t="shared" si="111"/>
        <v>500</v>
      </c>
      <c r="E912" s="698">
        <f t="shared" si="111"/>
        <v>500</v>
      </c>
      <c r="F912" s="699">
        <f t="shared" si="108"/>
        <v>100</v>
      </c>
      <c r="G912" s="720"/>
      <c r="H912" s="703"/>
      <c r="I912" s="744"/>
      <c r="J912" s="703"/>
      <c r="K912" s="698"/>
      <c r="L912" s="704"/>
      <c r="M912" s="720">
        <v>500</v>
      </c>
      <c r="N912" s="698">
        <v>500</v>
      </c>
      <c r="O912" s="744">
        <f t="shared" si="110"/>
        <v>100</v>
      </c>
      <c r="P912" s="698"/>
      <c r="Q912" s="698"/>
      <c r="R912" s="770"/>
      <c r="S912" s="817"/>
      <c r="T912" s="817"/>
    </row>
    <row r="913" spans="1:20" s="818" customFormat="1" ht="24">
      <c r="A913" s="764">
        <v>4210</v>
      </c>
      <c r="B913" s="768" t="s">
        <v>211</v>
      </c>
      <c r="C913" s="720"/>
      <c r="D913" s="698">
        <f t="shared" si="111"/>
        <v>20621</v>
      </c>
      <c r="E913" s="698">
        <f t="shared" si="111"/>
        <v>20563</v>
      </c>
      <c r="F913" s="699">
        <f t="shared" si="108"/>
        <v>99.71873333010038</v>
      </c>
      <c r="G913" s="720">
        <f>9550-500+700</f>
        <v>9750</v>
      </c>
      <c r="H913" s="703">
        <v>9740</v>
      </c>
      <c r="I913" s="744">
        <f t="shared" si="109"/>
        <v>99.8974358974359</v>
      </c>
      <c r="J913" s="703"/>
      <c r="K913" s="698"/>
      <c r="L913" s="704"/>
      <c r="M913" s="720">
        <f>8800+2071</f>
        <v>10871</v>
      </c>
      <c r="N913" s="698">
        <v>10823</v>
      </c>
      <c r="O913" s="744">
        <f t="shared" si="110"/>
        <v>99.55845828350658</v>
      </c>
      <c r="P913" s="698"/>
      <c r="Q913" s="698"/>
      <c r="R913" s="770"/>
      <c r="S913" s="817"/>
      <c r="T913" s="817"/>
    </row>
    <row r="914" spans="1:20" s="818" customFormat="1" ht="27" customHeight="1">
      <c r="A914" s="764">
        <v>4240</v>
      </c>
      <c r="B914" s="768" t="s">
        <v>572</v>
      </c>
      <c r="C914" s="720"/>
      <c r="D914" s="698">
        <f>G914+J914+P914+M914</f>
        <v>5600</v>
      </c>
      <c r="E914" s="698">
        <f>H914+K914+Q914+N914</f>
        <v>5520</v>
      </c>
      <c r="F914" s="699">
        <f>E914/D914*100</f>
        <v>98.57142857142858</v>
      </c>
      <c r="G914" s="720">
        <f>200+2000</f>
        <v>2200</v>
      </c>
      <c r="H914" s="703">
        <f>2199+1</f>
        <v>2200</v>
      </c>
      <c r="I914" s="744">
        <f t="shared" si="109"/>
        <v>100</v>
      </c>
      <c r="J914" s="703"/>
      <c r="K914" s="698"/>
      <c r="L914" s="704"/>
      <c r="M914" s="720">
        <v>3400</v>
      </c>
      <c r="N914" s="698">
        <v>3320</v>
      </c>
      <c r="O914" s="744">
        <f t="shared" si="110"/>
        <v>97.6470588235294</v>
      </c>
      <c r="P914" s="698"/>
      <c r="Q914" s="698"/>
      <c r="R914" s="770"/>
      <c r="S914" s="817"/>
      <c r="T914" s="817"/>
    </row>
    <row r="915" spans="1:20" s="818" customFormat="1" ht="27" customHeight="1">
      <c r="A915" s="764">
        <v>4300</v>
      </c>
      <c r="B915" s="768" t="s">
        <v>445</v>
      </c>
      <c r="C915" s="720">
        <v>407200</v>
      </c>
      <c r="D915" s="698">
        <f t="shared" si="111"/>
        <v>210123</v>
      </c>
      <c r="E915" s="698">
        <f t="shared" si="111"/>
        <v>181152</v>
      </c>
      <c r="F915" s="699">
        <f>E915/D915*100</f>
        <v>86.2123613312203</v>
      </c>
      <c r="G915" s="720">
        <f>230000-230000+123150+3960+200-8690+14342-400+1691</f>
        <v>134253</v>
      </c>
      <c r="H915" s="703">
        <v>119491</v>
      </c>
      <c r="I915" s="744">
        <f>H915/G915*100</f>
        <v>89.00434254728013</v>
      </c>
      <c r="J915" s="703"/>
      <c r="K915" s="698"/>
      <c r="L915" s="704"/>
      <c r="M915" s="720">
        <f>177200-177200+85650-675-2300+2300-7150-10420+10870-3490+1085</f>
        <v>75870</v>
      </c>
      <c r="N915" s="698">
        <v>61661</v>
      </c>
      <c r="O915" s="744">
        <f t="shared" si="110"/>
        <v>81.2719124818769</v>
      </c>
      <c r="P915" s="698"/>
      <c r="Q915" s="698"/>
      <c r="R915" s="766"/>
      <c r="S915" s="817"/>
      <c r="T915" s="817"/>
    </row>
    <row r="916" spans="1:20" s="818" customFormat="1" ht="24">
      <c r="A916" s="764">
        <v>4410</v>
      </c>
      <c r="B916" s="768" t="s">
        <v>193</v>
      </c>
      <c r="C916" s="720"/>
      <c r="D916" s="698">
        <f t="shared" si="111"/>
        <v>55116</v>
      </c>
      <c r="E916" s="698">
        <f t="shared" si="111"/>
        <v>51662</v>
      </c>
      <c r="F916" s="699">
        <f t="shared" si="108"/>
        <v>93.73321721460192</v>
      </c>
      <c r="G916" s="720">
        <f>24850+200+300-726+1912</f>
        <v>26536</v>
      </c>
      <c r="H916" s="703">
        <v>25175</v>
      </c>
      <c r="I916" s="744">
        <f t="shared" si="109"/>
        <v>94.87111848055471</v>
      </c>
      <c r="J916" s="703"/>
      <c r="K916" s="698"/>
      <c r="L916" s="704"/>
      <c r="M916" s="720">
        <f>24400+2300+4000-300-1820</f>
        <v>28580</v>
      </c>
      <c r="N916" s="698">
        <v>26487</v>
      </c>
      <c r="O916" s="744">
        <f t="shared" si="110"/>
        <v>92.67669699090273</v>
      </c>
      <c r="P916" s="698"/>
      <c r="Q916" s="698"/>
      <c r="R916" s="766"/>
      <c r="S916" s="817"/>
      <c r="T916" s="817"/>
    </row>
    <row r="917" spans="1:20" s="818" customFormat="1" ht="24">
      <c r="A917" s="764">
        <v>4420</v>
      </c>
      <c r="B917" s="768" t="s">
        <v>560</v>
      </c>
      <c r="C917" s="720"/>
      <c r="D917" s="698">
        <f t="shared" si="111"/>
        <v>815</v>
      </c>
      <c r="E917" s="698">
        <f>H917+K917+Q917+N917</f>
        <v>808</v>
      </c>
      <c r="F917" s="699">
        <f>E917/D917*100</f>
        <v>99.14110429447854</v>
      </c>
      <c r="G917" s="720">
        <v>140</v>
      </c>
      <c r="H917" s="703">
        <v>135</v>
      </c>
      <c r="I917" s="744">
        <f t="shared" si="109"/>
        <v>96.42857142857143</v>
      </c>
      <c r="J917" s="703"/>
      <c r="K917" s="698"/>
      <c r="L917" s="704"/>
      <c r="M917" s="720">
        <v>675</v>
      </c>
      <c r="N917" s="698">
        <v>673</v>
      </c>
      <c r="O917" s="744">
        <f t="shared" si="110"/>
        <v>99.70370370370371</v>
      </c>
      <c r="P917" s="698"/>
      <c r="Q917" s="698"/>
      <c r="R917" s="770"/>
      <c r="S917" s="817"/>
      <c r="T917" s="817"/>
    </row>
    <row r="918" spans="1:20" s="818" customFormat="1" ht="12.75">
      <c r="A918" s="764">
        <v>4440</v>
      </c>
      <c r="B918" s="768" t="s">
        <v>223</v>
      </c>
      <c r="C918" s="720">
        <v>8800</v>
      </c>
      <c r="D918" s="698">
        <f t="shared" si="111"/>
        <v>9349</v>
      </c>
      <c r="E918" s="698">
        <f>H918+K918+Q918+N918</f>
        <v>9349</v>
      </c>
      <c r="F918" s="699">
        <f>E918/D918*100</f>
        <v>100</v>
      </c>
      <c r="G918" s="720">
        <f>3400+652-98</f>
        <v>3954</v>
      </c>
      <c r="H918" s="703">
        <v>3954</v>
      </c>
      <c r="I918" s="744">
        <f t="shared" si="109"/>
        <v>100</v>
      </c>
      <c r="J918" s="703"/>
      <c r="K918" s="698"/>
      <c r="L918" s="704"/>
      <c r="M918" s="720">
        <f>5400-5</f>
        <v>5395</v>
      </c>
      <c r="N918" s="698">
        <v>5395</v>
      </c>
      <c r="O918" s="744">
        <f>N918/M918*100</f>
        <v>100</v>
      </c>
      <c r="P918" s="698"/>
      <c r="Q918" s="698"/>
      <c r="R918" s="770"/>
      <c r="S918" s="817"/>
      <c r="T918" s="817"/>
    </row>
    <row r="919" spans="1:20" s="818" customFormat="1" ht="38.25" customHeight="1">
      <c r="A919" s="764">
        <v>4700</v>
      </c>
      <c r="B919" s="828" t="s">
        <v>550</v>
      </c>
      <c r="C919" s="720"/>
      <c r="D919" s="698">
        <f t="shared" si="111"/>
        <v>112275</v>
      </c>
      <c r="E919" s="698">
        <f>H919+K919+Q919+N919</f>
        <v>107665</v>
      </c>
      <c r="F919" s="699">
        <f>E919/D919*100</f>
        <v>95.89401024270764</v>
      </c>
      <c r="G919" s="720">
        <f>71300-4300-4926-5903</f>
        <v>56171</v>
      </c>
      <c r="H919" s="703">
        <f>54013+1</f>
        <v>54014</v>
      </c>
      <c r="I919" s="744">
        <f t="shared" si="109"/>
        <v>96.15994018265653</v>
      </c>
      <c r="J919" s="703"/>
      <c r="K919" s="698"/>
      <c r="L919" s="704"/>
      <c r="M919" s="720">
        <f>57150-2300+3150-150-1746</f>
        <v>56104</v>
      </c>
      <c r="N919" s="698">
        <v>53651</v>
      </c>
      <c r="O919" s="744">
        <f>N919/M919*100</f>
        <v>95.62776272636532</v>
      </c>
      <c r="P919" s="698"/>
      <c r="Q919" s="698"/>
      <c r="R919" s="770"/>
      <c r="S919" s="817"/>
      <c r="T919" s="817"/>
    </row>
    <row r="920" spans="1:20" s="818" customFormat="1" ht="51" customHeight="1">
      <c r="A920" s="764">
        <v>4740</v>
      </c>
      <c r="B920" s="828" t="s">
        <v>235</v>
      </c>
      <c r="C920" s="720"/>
      <c r="D920" s="698">
        <f>G920+J920+P920+M920</f>
        <v>1050</v>
      </c>
      <c r="E920" s="698">
        <f>H920+K920+Q920+N920</f>
        <v>1045</v>
      </c>
      <c r="F920" s="699">
        <f>E920/D920*100</f>
        <v>99.52380952380952</v>
      </c>
      <c r="G920" s="720">
        <v>450</v>
      </c>
      <c r="H920" s="703">
        <v>450</v>
      </c>
      <c r="I920" s="744">
        <f t="shared" si="109"/>
        <v>100</v>
      </c>
      <c r="J920" s="703"/>
      <c r="K920" s="698"/>
      <c r="L920" s="704"/>
      <c r="M920" s="720">
        <v>600</v>
      </c>
      <c r="N920" s="698">
        <v>595</v>
      </c>
      <c r="O920" s="744">
        <f>N920/M920*100</f>
        <v>99.16666666666667</v>
      </c>
      <c r="P920" s="698"/>
      <c r="Q920" s="698"/>
      <c r="R920" s="770"/>
      <c r="S920" s="817"/>
      <c r="T920" s="817"/>
    </row>
    <row r="921" spans="1:20" s="818" customFormat="1" ht="36">
      <c r="A921" s="764">
        <v>4750</v>
      </c>
      <c r="B921" s="828" t="s">
        <v>551</v>
      </c>
      <c r="C921" s="720"/>
      <c r="D921" s="698">
        <f t="shared" si="111"/>
        <v>1100</v>
      </c>
      <c r="E921" s="698">
        <f t="shared" si="111"/>
        <v>1100</v>
      </c>
      <c r="F921" s="699">
        <f t="shared" si="108"/>
        <v>100</v>
      </c>
      <c r="G921" s="720">
        <v>500</v>
      </c>
      <c r="H921" s="703">
        <v>500</v>
      </c>
      <c r="I921" s="744">
        <f t="shared" si="109"/>
        <v>100</v>
      </c>
      <c r="J921" s="703"/>
      <c r="K921" s="698"/>
      <c r="L921" s="704"/>
      <c r="M921" s="720">
        <v>600</v>
      </c>
      <c r="N921" s="698">
        <v>600</v>
      </c>
      <c r="O921" s="744">
        <f>N921/M921*100</f>
        <v>100</v>
      </c>
      <c r="P921" s="698"/>
      <c r="Q921" s="698"/>
      <c r="R921" s="770"/>
      <c r="S921" s="817"/>
      <c r="T921" s="817"/>
    </row>
    <row r="922" spans="1:18" ht="24.75" customHeight="1">
      <c r="A922" s="757">
        <v>80195</v>
      </c>
      <c r="B922" s="852" t="s">
        <v>233</v>
      </c>
      <c r="C922" s="725">
        <f>SUM(C924:C950)+C976</f>
        <v>9686020</v>
      </c>
      <c r="D922" s="712">
        <f>G922+J922+P922+M922</f>
        <v>12044241</v>
      </c>
      <c r="E922" s="712">
        <f>H922+K922+Q922+N922</f>
        <v>8993917</v>
      </c>
      <c r="F922" s="713">
        <f t="shared" si="108"/>
        <v>74.67400394927336</v>
      </c>
      <c r="G922" s="845">
        <f>SUM(G924:G950)+G958+G959+G1012+G973+G1028+G1005+G1019+G1025</f>
        <v>5526231</v>
      </c>
      <c r="H922" s="712">
        <f>SUM(H924:H950)+H958+H959+H1012+H973+H1028+H1005+H1019+H1025</f>
        <v>5083833</v>
      </c>
      <c r="I922" s="741">
        <f t="shared" si="109"/>
        <v>91.99458003112791</v>
      </c>
      <c r="J922" s="717">
        <f>SUM(J925:J949)</f>
        <v>2500</v>
      </c>
      <c r="K922" s="717">
        <f>SUM(K925:K949)</f>
        <v>2500</v>
      </c>
      <c r="L922" s="742">
        <f>K922/J922*100</f>
        <v>100</v>
      </c>
      <c r="M922" s="725">
        <f>SUM(M924:M950)+M959+M976+M973+M990+M998</f>
        <v>6515510</v>
      </c>
      <c r="N922" s="712">
        <f>SUM(N924:N950)+N959+N976+N973+N990+N998</f>
        <v>3907584</v>
      </c>
      <c r="O922" s="741">
        <f>N922/M922*100</f>
        <v>59.9735707565486</v>
      </c>
      <c r="P922" s="712"/>
      <c r="Q922" s="712"/>
      <c r="R922" s="846"/>
    </row>
    <row r="923" spans="1:18" ht="48" hidden="1">
      <c r="A923" s="764">
        <v>6060</v>
      </c>
      <c r="B923" s="934" t="s">
        <v>552</v>
      </c>
      <c r="C923" s="720"/>
      <c r="D923" s="698">
        <f t="shared" si="111"/>
        <v>0</v>
      </c>
      <c r="E923" s="698">
        <f>SUM(H923+K923+N923+Q923)</f>
        <v>0</v>
      </c>
      <c r="F923" s="699" t="e">
        <f t="shared" si="108"/>
        <v>#DIV/0!</v>
      </c>
      <c r="G923" s="720">
        <f>10000-10000</f>
        <v>0</v>
      </c>
      <c r="H923" s="698"/>
      <c r="I923" s="744" t="e">
        <f t="shared" si="109"/>
        <v>#DIV/0!</v>
      </c>
      <c r="J923" s="963"/>
      <c r="K923" s="777"/>
      <c r="L923" s="964"/>
      <c r="M923" s="698"/>
      <c r="N923" s="698"/>
      <c r="O923" s="766"/>
      <c r="P923" s="777"/>
      <c r="Q923" s="777"/>
      <c r="R923" s="766"/>
    </row>
    <row r="924" spans="1:18" ht="48" hidden="1">
      <c r="A924" s="764">
        <v>3020</v>
      </c>
      <c r="B924" s="768" t="s">
        <v>650</v>
      </c>
      <c r="C924" s="720"/>
      <c r="D924" s="698">
        <f t="shared" si="111"/>
        <v>0</v>
      </c>
      <c r="E924" s="698">
        <f aca="true" t="shared" si="112" ref="E924:E950">SUM(H924+K924+N924+Q924)</f>
        <v>0</v>
      </c>
      <c r="F924" s="699" t="e">
        <f t="shared" si="108"/>
        <v>#DIV/0!</v>
      </c>
      <c r="G924" s="698"/>
      <c r="H924" s="703"/>
      <c r="I924" s="744" t="e">
        <f t="shared" si="109"/>
        <v>#DIV/0!</v>
      </c>
      <c r="J924" s="703"/>
      <c r="K924" s="698"/>
      <c r="L924" s="745"/>
      <c r="M924" s="720"/>
      <c r="N924" s="698"/>
      <c r="O924" s="702" t="e">
        <f aca="true" t="shared" si="113" ref="O924:O944">N924/M924*100</f>
        <v>#DIV/0!</v>
      </c>
      <c r="P924" s="698"/>
      <c r="Q924" s="698"/>
      <c r="R924" s="770"/>
    </row>
    <row r="925" spans="1:18" ht="28.5" customHeight="1">
      <c r="A925" s="764">
        <v>4010</v>
      </c>
      <c r="B925" s="768" t="s">
        <v>201</v>
      </c>
      <c r="C925" s="720">
        <f>42300+84000+571000+893000</f>
        <v>1590300</v>
      </c>
      <c r="D925" s="698">
        <f t="shared" si="111"/>
        <v>736271</v>
      </c>
      <c r="E925" s="698">
        <f t="shared" si="112"/>
        <v>734240</v>
      </c>
      <c r="F925" s="699">
        <f t="shared" si="108"/>
        <v>99.72415048263478</v>
      </c>
      <c r="G925" s="698">
        <f>16800+84000+350000+445000-17000+11000-222800-52500+52500+39371-222200-39371</f>
        <v>444800</v>
      </c>
      <c r="H925" s="703">
        <v>442801</v>
      </c>
      <c r="I925" s="744">
        <f t="shared" si="109"/>
        <v>99.5505845323741</v>
      </c>
      <c r="J925" s="703"/>
      <c r="K925" s="698"/>
      <c r="L925" s="745"/>
      <c r="M925" s="720">
        <f>25500+221000+448000+6000-149127-22547-2165-12726+12100-400-13465-260070+39371</f>
        <v>291471</v>
      </c>
      <c r="N925" s="698">
        <v>291439</v>
      </c>
      <c r="O925" s="744">
        <f t="shared" si="113"/>
        <v>99.98902120622634</v>
      </c>
      <c r="P925" s="698"/>
      <c r="Q925" s="698"/>
      <c r="R925" s="770"/>
    </row>
    <row r="926" spans="1:18" ht="24" customHeight="1">
      <c r="A926" s="764">
        <v>4110</v>
      </c>
      <c r="B926" s="768" t="s">
        <v>207</v>
      </c>
      <c r="C926" s="720">
        <f>6700+14000+91400+1500+2600</f>
        <v>116200</v>
      </c>
      <c r="D926" s="698">
        <f t="shared" si="111"/>
        <v>122736</v>
      </c>
      <c r="E926" s="698">
        <f t="shared" si="112"/>
        <v>117634</v>
      </c>
      <c r="F926" s="699">
        <f t="shared" si="108"/>
        <v>95.84311041585191</v>
      </c>
      <c r="G926" s="698">
        <f>2800+14000+57800+2600-2600+1680+811-6250+6250+6089-304-6089</f>
        <v>76787</v>
      </c>
      <c r="H926" s="703">
        <v>72195</v>
      </c>
      <c r="I926" s="744">
        <f t="shared" si="109"/>
        <v>94.01982106346126</v>
      </c>
      <c r="J926" s="703"/>
      <c r="K926" s="698"/>
      <c r="L926" s="745"/>
      <c r="M926" s="720">
        <f>3900+33600+1500+920-60+6089</f>
        <v>45949</v>
      </c>
      <c r="N926" s="698">
        <v>45439</v>
      </c>
      <c r="O926" s="702">
        <f t="shared" si="113"/>
        <v>98.8900737774489</v>
      </c>
      <c r="P926" s="698"/>
      <c r="Q926" s="698"/>
      <c r="R926" s="770"/>
    </row>
    <row r="927" spans="1:18" ht="12.75">
      <c r="A927" s="764">
        <v>4120</v>
      </c>
      <c r="B927" s="768" t="s">
        <v>584</v>
      </c>
      <c r="C927" s="720">
        <f>1000+2000+14000+300+400</f>
        <v>17700</v>
      </c>
      <c r="D927" s="698">
        <f t="shared" si="111"/>
        <v>18781</v>
      </c>
      <c r="E927" s="698">
        <f t="shared" si="112"/>
        <v>18189</v>
      </c>
      <c r="F927" s="699">
        <f t="shared" si="108"/>
        <v>96.84787817475107</v>
      </c>
      <c r="G927" s="698">
        <f>400+2000+8600+400-400+260+128-1250+1250+961-48-961</f>
        <v>11340</v>
      </c>
      <c r="H927" s="703">
        <v>11097</v>
      </c>
      <c r="I927" s="744">
        <f t="shared" si="109"/>
        <v>97.85714285714285</v>
      </c>
      <c r="J927" s="703"/>
      <c r="K927" s="698"/>
      <c r="L927" s="745"/>
      <c r="M927" s="720">
        <f>600+5400+300+140-10+1011</f>
        <v>7441</v>
      </c>
      <c r="N927" s="698">
        <v>7092</v>
      </c>
      <c r="O927" s="702">
        <f t="shared" si="113"/>
        <v>95.30977019217846</v>
      </c>
      <c r="P927" s="698"/>
      <c r="Q927" s="698"/>
      <c r="R927" s="770"/>
    </row>
    <row r="928" spans="1:18" ht="60" hidden="1">
      <c r="A928" s="764">
        <v>4110</v>
      </c>
      <c r="B928" s="768" t="s">
        <v>446</v>
      </c>
      <c r="C928" s="720"/>
      <c r="D928" s="698">
        <f aca="true" t="shared" si="114" ref="D928:D1052">G928+J928+P928+M928</f>
        <v>0</v>
      </c>
      <c r="E928" s="698">
        <f>SUM(H928+K928+N928+Q928)</f>
        <v>0</v>
      </c>
      <c r="F928" s="699" t="e">
        <f t="shared" si="108"/>
        <v>#DIV/0!</v>
      </c>
      <c r="G928" s="698"/>
      <c r="H928" s="703"/>
      <c r="I928" s="744" t="e">
        <f t="shared" si="109"/>
        <v>#DIV/0!</v>
      </c>
      <c r="J928" s="703"/>
      <c r="K928" s="698"/>
      <c r="L928" s="745"/>
      <c r="M928" s="720"/>
      <c r="N928" s="698"/>
      <c r="O928" s="702"/>
      <c r="P928" s="698"/>
      <c r="Q928" s="698"/>
      <c r="R928" s="770"/>
    </row>
    <row r="929" spans="1:18" ht="36" hidden="1">
      <c r="A929" s="764">
        <v>4120</v>
      </c>
      <c r="B929" s="768" t="s">
        <v>447</v>
      </c>
      <c r="C929" s="720"/>
      <c r="D929" s="698">
        <f t="shared" si="114"/>
        <v>0</v>
      </c>
      <c r="E929" s="698">
        <f>SUM(H929+K929+N929+Q929)</f>
        <v>0</v>
      </c>
      <c r="F929" s="699" t="e">
        <f t="shared" si="108"/>
        <v>#DIV/0!</v>
      </c>
      <c r="G929" s="698"/>
      <c r="H929" s="703"/>
      <c r="I929" s="744" t="e">
        <f t="shared" si="109"/>
        <v>#DIV/0!</v>
      </c>
      <c r="J929" s="703"/>
      <c r="K929" s="698"/>
      <c r="L929" s="745"/>
      <c r="M929" s="720"/>
      <c r="N929" s="698"/>
      <c r="O929" s="702"/>
      <c r="P929" s="698"/>
      <c r="Q929" s="698"/>
      <c r="R929" s="770"/>
    </row>
    <row r="930" spans="1:18" ht="48" hidden="1">
      <c r="A930" s="764">
        <v>4170</v>
      </c>
      <c r="B930" s="768" t="s">
        <v>448</v>
      </c>
      <c r="C930" s="720"/>
      <c r="D930" s="698">
        <f t="shared" si="114"/>
        <v>0</v>
      </c>
      <c r="E930" s="698">
        <f>SUM(H930+K930+N930+Q930)</f>
        <v>0</v>
      </c>
      <c r="F930" s="699" t="e">
        <f t="shared" si="108"/>
        <v>#DIV/0!</v>
      </c>
      <c r="G930" s="698"/>
      <c r="H930" s="703"/>
      <c r="I930" s="744" t="e">
        <f t="shared" si="109"/>
        <v>#DIV/0!</v>
      </c>
      <c r="J930" s="703"/>
      <c r="K930" s="698"/>
      <c r="L930" s="745"/>
      <c r="M930" s="720"/>
      <c r="N930" s="698"/>
      <c r="O930" s="702"/>
      <c r="P930" s="698"/>
      <c r="Q930" s="698"/>
      <c r="R930" s="770"/>
    </row>
    <row r="931" spans="1:18" ht="24">
      <c r="A931" s="764">
        <v>4170</v>
      </c>
      <c r="B931" s="768" t="s">
        <v>242</v>
      </c>
      <c r="C931" s="720">
        <f>25000+2500+1000+15000</f>
        <v>43500</v>
      </c>
      <c r="D931" s="698">
        <f t="shared" si="114"/>
        <v>53042</v>
      </c>
      <c r="E931" s="698">
        <f t="shared" si="112"/>
        <v>48098</v>
      </c>
      <c r="F931" s="699">
        <f t="shared" si="108"/>
        <v>90.6790844990762</v>
      </c>
      <c r="G931" s="698">
        <f>15000+6450+4092</f>
        <v>25542</v>
      </c>
      <c r="H931" s="703">
        <v>22666</v>
      </c>
      <c r="I931" s="744">
        <f t="shared" si="109"/>
        <v>88.74011432150967</v>
      </c>
      <c r="J931" s="703"/>
      <c r="K931" s="698"/>
      <c r="L931" s="745"/>
      <c r="M931" s="720">
        <f>25000+2500+1000-8000+7000</f>
        <v>27500</v>
      </c>
      <c r="N931" s="698">
        <v>25432</v>
      </c>
      <c r="O931" s="702">
        <f t="shared" si="113"/>
        <v>92.47999999999999</v>
      </c>
      <c r="P931" s="698"/>
      <c r="Q931" s="698"/>
      <c r="R931" s="770"/>
    </row>
    <row r="932" spans="1:18" ht="27.75" customHeight="1">
      <c r="A932" s="764">
        <v>4210</v>
      </c>
      <c r="B932" s="768" t="s">
        <v>211</v>
      </c>
      <c r="C932" s="720">
        <v>45000</v>
      </c>
      <c r="D932" s="698">
        <f t="shared" si="114"/>
        <v>47454</v>
      </c>
      <c r="E932" s="698">
        <f t="shared" si="112"/>
        <v>44078</v>
      </c>
      <c r="F932" s="699">
        <f t="shared" si="108"/>
        <v>92.8857419817086</v>
      </c>
      <c r="G932" s="698">
        <f>2900+3300+4000+144</f>
        <v>10344</v>
      </c>
      <c r="H932" s="703">
        <v>10312</v>
      </c>
      <c r="I932" s="744">
        <f t="shared" si="109"/>
        <v>99.6906419180201</v>
      </c>
      <c r="J932" s="703">
        <v>2500</v>
      </c>
      <c r="K932" s="698">
        <v>2500</v>
      </c>
      <c r="L932" s="745">
        <f>K932/J932*100</f>
        <v>100</v>
      </c>
      <c r="M932" s="720">
        <f>45000+600-15000+1350+2660</f>
        <v>34610</v>
      </c>
      <c r="N932" s="698">
        <v>31266</v>
      </c>
      <c r="O932" s="744">
        <f t="shared" si="113"/>
        <v>90.33805258595781</v>
      </c>
      <c r="P932" s="698"/>
      <c r="Q932" s="698"/>
      <c r="R932" s="770"/>
    </row>
    <row r="933" spans="1:18" ht="36" hidden="1">
      <c r="A933" s="764">
        <v>4210</v>
      </c>
      <c r="B933" s="768" t="s">
        <v>449</v>
      </c>
      <c r="C933" s="720"/>
      <c r="D933" s="698">
        <f>G933+J933+P933+M933</f>
        <v>0</v>
      </c>
      <c r="E933" s="698">
        <f>SUM(H933+K933+N933+Q933)</f>
        <v>0</v>
      </c>
      <c r="F933" s="699" t="e">
        <f t="shared" si="108"/>
        <v>#DIV/0!</v>
      </c>
      <c r="G933" s="698"/>
      <c r="H933" s="703"/>
      <c r="I933" s="744"/>
      <c r="J933" s="703"/>
      <c r="K933" s="698"/>
      <c r="L933" s="745" t="e">
        <f>K933/J933*100</f>
        <v>#DIV/0!</v>
      </c>
      <c r="M933" s="720"/>
      <c r="N933" s="698"/>
      <c r="O933" s="744"/>
      <c r="P933" s="698"/>
      <c r="Q933" s="698"/>
      <c r="R933" s="770"/>
    </row>
    <row r="934" spans="1:18" ht="27.75" customHeight="1">
      <c r="A934" s="764">
        <v>4240</v>
      </c>
      <c r="B934" s="768" t="s">
        <v>572</v>
      </c>
      <c r="C934" s="720">
        <v>290000</v>
      </c>
      <c r="D934" s="698">
        <f t="shared" si="114"/>
        <v>250000</v>
      </c>
      <c r="E934" s="698">
        <f t="shared" si="112"/>
        <v>249982</v>
      </c>
      <c r="F934" s="699">
        <f t="shared" si="108"/>
        <v>99.9928</v>
      </c>
      <c r="G934" s="698">
        <f>25000-5000-5000-15000</f>
        <v>0</v>
      </c>
      <c r="H934" s="703"/>
      <c r="I934" s="744"/>
      <c r="J934" s="703"/>
      <c r="K934" s="698"/>
      <c r="L934" s="704"/>
      <c r="M934" s="720">
        <f>265000-250000+250000-15000</f>
        <v>250000</v>
      </c>
      <c r="N934" s="698">
        <v>249982</v>
      </c>
      <c r="O934" s="744">
        <f t="shared" si="113"/>
        <v>99.9928</v>
      </c>
      <c r="P934" s="698"/>
      <c r="Q934" s="698"/>
      <c r="R934" s="770"/>
    </row>
    <row r="935" spans="1:18" ht="27" customHeight="1">
      <c r="A935" s="764">
        <v>4270</v>
      </c>
      <c r="B935" s="768" t="s">
        <v>450</v>
      </c>
      <c r="C935" s="720">
        <v>23000</v>
      </c>
      <c r="D935" s="698">
        <f t="shared" si="114"/>
        <v>30000</v>
      </c>
      <c r="E935" s="698">
        <f t="shared" si="112"/>
        <v>29999</v>
      </c>
      <c r="F935" s="699">
        <f t="shared" si="108"/>
        <v>99.99666666666667</v>
      </c>
      <c r="G935" s="698">
        <f>23000+7000-23000+19000</f>
        <v>26000</v>
      </c>
      <c r="H935" s="703">
        <v>25999</v>
      </c>
      <c r="I935" s="744">
        <f aca="true" t="shared" si="115" ref="I935:I942">H935/G935*100</f>
        <v>99.99615384615385</v>
      </c>
      <c r="J935" s="703"/>
      <c r="K935" s="698"/>
      <c r="L935" s="704"/>
      <c r="M935" s="720">
        <v>4000</v>
      </c>
      <c r="N935" s="698">
        <v>4000</v>
      </c>
      <c r="O935" s="744">
        <f t="shared" si="113"/>
        <v>100</v>
      </c>
      <c r="P935" s="698"/>
      <c r="Q935" s="698"/>
      <c r="R935" s="770"/>
    </row>
    <row r="936" spans="1:18" ht="24" hidden="1">
      <c r="A936" s="764">
        <v>4280</v>
      </c>
      <c r="B936" s="768" t="s">
        <v>542</v>
      </c>
      <c r="C936" s="720"/>
      <c r="D936" s="698">
        <f t="shared" si="114"/>
        <v>0</v>
      </c>
      <c r="E936" s="698">
        <f t="shared" si="112"/>
        <v>0</v>
      </c>
      <c r="F936" s="699" t="e">
        <f t="shared" si="108"/>
        <v>#DIV/0!</v>
      </c>
      <c r="G936" s="720"/>
      <c r="H936" s="698"/>
      <c r="I936" s="744" t="e">
        <f t="shared" si="115"/>
        <v>#DIV/0!</v>
      </c>
      <c r="J936" s="703"/>
      <c r="K936" s="698"/>
      <c r="L936" s="704"/>
      <c r="M936" s="720"/>
      <c r="N936" s="698"/>
      <c r="O936" s="744" t="e">
        <f t="shared" si="113"/>
        <v>#DIV/0!</v>
      </c>
      <c r="P936" s="698"/>
      <c r="Q936" s="698"/>
      <c r="R936" s="770"/>
    </row>
    <row r="937" spans="1:18" ht="24">
      <c r="A937" s="764">
        <v>4300</v>
      </c>
      <c r="B937" s="768" t="s">
        <v>219</v>
      </c>
      <c r="C937" s="720">
        <v>1965600</v>
      </c>
      <c r="D937" s="698">
        <f t="shared" si="114"/>
        <v>1848176</v>
      </c>
      <c r="E937" s="698">
        <f t="shared" si="112"/>
        <v>1774683</v>
      </c>
      <c r="F937" s="699">
        <f t="shared" si="108"/>
        <v>96.02348477634165</v>
      </c>
      <c r="G937" s="810">
        <f>1642000-21000+22000+3363-15855+2740-174000+906-2816+17105-18251+6300+3240-58811+79507+12555-34691+26461-5985</f>
        <v>1484768</v>
      </c>
      <c r="H937" s="698">
        <v>1426960</v>
      </c>
      <c r="I937" s="744">
        <f t="shared" si="115"/>
        <v>96.10659712493805</v>
      </c>
      <c r="J937" s="703">
        <f>280000-280000</f>
        <v>0</v>
      </c>
      <c r="K937" s="698"/>
      <c r="L937" s="704"/>
      <c r="M937" s="720">
        <f>323600-1500+500+7900+9266+3040-3640+110250-15690+1250-3000+3000-29870+33320-65153-2265-7600</f>
        <v>363408</v>
      </c>
      <c r="N937" s="698">
        <v>347723</v>
      </c>
      <c r="O937" s="744">
        <f t="shared" si="113"/>
        <v>95.68391449830493</v>
      </c>
      <c r="P937" s="698"/>
      <c r="Q937" s="698"/>
      <c r="R937" s="770"/>
    </row>
    <row r="938" spans="1:18" ht="12.75">
      <c r="A938" s="764">
        <v>4430</v>
      </c>
      <c r="B938" s="768" t="s">
        <v>221</v>
      </c>
      <c r="C938" s="720">
        <v>240000</v>
      </c>
      <c r="D938" s="698">
        <f t="shared" si="114"/>
        <v>78599</v>
      </c>
      <c r="E938" s="698">
        <f t="shared" si="112"/>
        <v>66615</v>
      </c>
      <c r="F938" s="965">
        <f t="shared" si="108"/>
        <v>84.75298667921983</v>
      </c>
      <c r="G938" s="720">
        <f>120000-58000-30001</f>
        <v>31999</v>
      </c>
      <c r="H938" s="698">
        <v>26295</v>
      </c>
      <c r="I938" s="863">
        <f t="shared" si="115"/>
        <v>82.17444295134223</v>
      </c>
      <c r="J938" s="703"/>
      <c r="K938" s="698"/>
      <c r="L938" s="704"/>
      <c r="M938" s="720">
        <f>120000-50000-23400</f>
        <v>46600</v>
      </c>
      <c r="N938" s="698">
        <v>40320</v>
      </c>
      <c r="O938" s="966">
        <f t="shared" si="113"/>
        <v>86.52360515021459</v>
      </c>
      <c r="P938" s="698"/>
      <c r="Q938" s="698"/>
      <c r="R938" s="770"/>
    </row>
    <row r="939" spans="1:18" ht="24">
      <c r="A939" s="764">
        <v>4440</v>
      </c>
      <c r="B939" s="768" t="s">
        <v>737</v>
      </c>
      <c r="C939" s="720">
        <v>548400</v>
      </c>
      <c r="D939" s="698">
        <f t="shared" si="114"/>
        <v>582113</v>
      </c>
      <c r="E939" s="698">
        <f t="shared" si="112"/>
        <v>582113</v>
      </c>
      <c r="F939" s="967">
        <f t="shared" si="108"/>
        <v>100</v>
      </c>
      <c r="G939" s="720">
        <f>179800+1451</f>
        <v>181251</v>
      </c>
      <c r="H939" s="698">
        <v>181251</v>
      </c>
      <c r="I939" s="699">
        <f t="shared" si="115"/>
        <v>100</v>
      </c>
      <c r="J939" s="703"/>
      <c r="K939" s="698"/>
      <c r="L939" s="704"/>
      <c r="M939" s="720">
        <f>368600+32262</f>
        <v>400862</v>
      </c>
      <c r="N939" s="698">
        <v>400862</v>
      </c>
      <c r="O939" s="744">
        <f t="shared" si="113"/>
        <v>100</v>
      </c>
      <c r="P939" s="698"/>
      <c r="Q939" s="698"/>
      <c r="R939" s="770"/>
    </row>
    <row r="940" spans="1:18" ht="60" hidden="1">
      <c r="A940" s="764">
        <v>4700</v>
      </c>
      <c r="B940" s="768" t="s">
        <v>550</v>
      </c>
      <c r="C940" s="720"/>
      <c r="D940" s="698">
        <f>G940+J940+P940+M940</f>
        <v>0</v>
      </c>
      <c r="E940" s="698">
        <f>SUM(H940+K940+N940+Q940)</f>
        <v>0</v>
      </c>
      <c r="F940" s="967" t="e">
        <f>E940/D940*100</f>
        <v>#DIV/0!</v>
      </c>
      <c r="G940" s="720"/>
      <c r="H940" s="698"/>
      <c r="I940" s="699" t="e">
        <f t="shared" si="115"/>
        <v>#DIV/0!</v>
      </c>
      <c r="J940" s="703"/>
      <c r="K940" s="698"/>
      <c r="L940" s="704"/>
      <c r="M940" s="720"/>
      <c r="N940" s="698"/>
      <c r="O940" s="744"/>
      <c r="P940" s="698"/>
      <c r="Q940" s="698"/>
      <c r="R940" s="770"/>
    </row>
    <row r="941" spans="1:18" ht="36">
      <c r="A941" s="764">
        <v>4750</v>
      </c>
      <c r="B941" s="828" t="s">
        <v>551</v>
      </c>
      <c r="C941" s="720"/>
      <c r="D941" s="698">
        <f t="shared" si="114"/>
        <v>30000</v>
      </c>
      <c r="E941" s="698">
        <f>SUM(H941+K941+N941+Q941)</f>
        <v>0</v>
      </c>
      <c r="F941" s="967">
        <f t="shared" si="108"/>
        <v>0</v>
      </c>
      <c r="G941" s="720">
        <v>30000</v>
      </c>
      <c r="H941" s="698"/>
      <c r="I941" s="699">
        <f t="shared" si="115"/>
        <v>0</v>
      </c>
      <c r="J941" s="703"/>
      <c r="K941" s="698"/>
      <c r="L941" s="704"/>
      <c r="M941" s="720"/>
      <c r="N941" s="698"/>
      <c r="O941" s="744"/>
      <c r="P941" s="698"/>
      <c r="Q941" s="698"/>
      <c r="R941" s="770"/>
    </row>
    <row r="942" spans="1:18" ht="24" customHeight="1">
      <c r="A942" s="764">
        <v>6050</v>
      </c>
      <c r="B942" s="768" t="s">
        <v>322</v>
      </c>
      <c r="C942" s="720">
        <f>52000+74400+2038900+1265000+1230000</f>
        <v>4660300</v>
      </c>
      <c r="D942" s="698">
        <f t="shared" si="114"/>
        <v>6919642</v>
      </c>
      <c r="E942" s="698">
        <f t="shared" si="112"/>
        <v>4487298</v>
      </c>
      <c r="F942" s="967">
        <f t="shared" si="108"/>
        <v>64.8487017102908</v>
      </c>
      <c r="G942" s="720">
        <f>870000+52000+1250000+182600-52000-870000+870000+90000-548</f>
        <v>2392052</v>
      </c>
      <c r="H942" s="698">
        <v>2356033</v>
      </c>
      <c r="I942" s="699">
        <f t="shared" si="115"/>
        <v>98.49422169752162</v>
      </c>
      <c r="J942" s="703"/>
      <c r="K942" s="698"/>
      <c r="L942" s="704"/>
      <c r="M942" s="720">
        <f>360000+74400+2038900+1265000-1265000+50000+115000+1100000-310000+610000+127400-74400+666400-360000+360000-180000-50000+5000+9890-15000</f>
        <v>4527590</v>
      </c>
      <c r="N942" s="698">
        <v>2131265</v>
      </c>
      <c r="O942" s="702">
        <f t="shared" si="113"/>
        <v>47.07283565870585</v>
      </c>
      <c r="P942" s="698"/>
      <c r="Q942" s="698"/>
      <c r="R942" s="770"/>
    </row>
    <row r="943" spans="1:18" ht="84" hidden="1">
      <c r="A943" s="764">
        <v>6050</v>
      </c>
      <c r="B943" s="768" t="s">
        <v>451</v>
      </c>
      <c r="C943" s="720"/>
      <c r="D943" s="698">
        <f t="shared" si="114"/>
        <v>0</v>
      </c>
      <c r="E943" s="698">
        <f t="shared" si="112"/>
        <v>0</v>
      </c>
      <c r="F943" s="967" t="e">
        <f t="shared" si="108"/>
        <v>#DIV/0!</v>
      </c>
      <c r="G943" s="720"/>
      <c r="H943" s="698"/>
      <c r="I943" s="746"/>
      <c r="J943" s="703"/>
      <c r="K943" s="698"/>
      <c r="L943" s="704"/>
      <c r="M943" s="720"/>
      <c r="N943" s="698"/>
      <c r="O943" s="702" t="e">
        <f t="shared" si="113"/>
        <v>#DIV/0!</v>
      </c>
      <c r="P943" s="698"/>
      <c r="Q943" s="698"/>
      <c r="R943" s="770"/>
    </row>
    <row r="944" spans="1:18" ht="60" hidden="1">
      <c r="A944" s="764">
        <v>6060</v>
      </c>
      <c r="B944" s="768" t="s">
        <v>452</v>
      </c>
      <c r="C944" s="720"/>
      <c r="D944" s="698">
        <f t="shared" si="114"/>
        <v>0</v>
      </c>
      <c r="E944" s="698">
        <f>SUM(H944+K944+N944+Q944)</f>
        <v>0</v>
      </c>
      <c r="F944" s="967" t="e">
        <f t="shared" si="108"/>
        <v>#DIV/0!</v>
      </c>
      <c r="G944" s="720"/>
      <c r="H944" s="698"/>
      <c r="I944" s="746"/>
      <c r="J944" s="703"/>
      <c r="K944" s="698"/>
      <c r="L944" s="704"/>
      <c r="M944" s="720"/>
      <c r="N944" s="698"/>
      <c r="O944" s="744" t="e">
        <f t="shared" si="113"/>
        <v>#DIV/0!</v>
      </c>
      <c r="P944" s="698"/>
      <c r="Q944" s="698"/>
      <c r="R944" s="770"/>
    </row>
    <row r="945" spans="1:18" ht="108" hidden="1">
      <c r="A945" s="764">
        <v>6220</v>
      </c>
      <c r="B945" s="768" t="s">
        <v>738</v>
      </c>
      <c r="C945" s="720"/>
      <c r="D945" s="698">
        <f t="shared" si="114"/>
        <v>0</v>
      </c>
      <c r="E945" s="698">
        <f t="shared" si="112"/>
        <v>0</v>
      </c>
      <c r="F945" s="967" t="e">
        <f t="shared" si="108"/>
        <v>#DIV/0!</v>
      </c>
      <c r="G945" s="720"/>
      <c r="H945" s="698"/>
      <c r="I945" s="699" t="e">
        <f>H945/G945*100</f>
        <v>#DIV/0!</v>
      </c>
      <c r="J945" s="703"/>
      <c r="K945" s="698"/>
      <c r="L945" s="704"/>
      <c r="M945" s="720"/>
      <c r="N945" s="698"/>
      <c r="O945" s="702"/>
      <c r="P945" s="698"/>
      <c r="Q945" s="698"/>
      <c r="R945" s="770"/>
    </row>
    <row r="946" spans="1:18" ht="60" hidden="1">
      <c r="A946" s="764">
        <v>2480</v>
      </c>
      <c r="B946" s="768" t="s">
        <v>453</v>
      </c>
      <c r="C946" s="720"/>
      <c r="D946" s="698">
        <f t="shared" si="114"/>
        <v>0</v>
      </c>
      <c r="E946" s="698">
        <f t="shared" si="112"/>
        <v>0</v>
      </c>
      <c r="F946" s="967" t="e">
        <f t="shared" si="108"/>
        <v>#DIV/0!</v>
      </c>
      <c r="G946" s="720"/>
      <c r="H946" s="698"/>
      <c r="I946" s="699"/>
      <c r="J946" s="703"/>
      <c r="K946" s="698"/>
      <c r="L946" s="745" t="e">
        <f>K946/J946*100</f>
        <v>#DIV/0!</v>
      </c>
      <c r="M946" s="720"/>
      <c r="N946" s="698"/>
      <c r="O946" s="702"/>
      <c r="P946" s="698"/>
      <c r="Q946" s="698"/>
      <c r="R946" s="770"/>
    </row>
    <row r="947" spans="1:18" ht="51.75" customHeight="1">
      <c r="A947" s="764">
        <v>2540</v>
      </c>
      <c r="B947" s="768" t="s">
        <v>454</v>
      </c>
      <c r="C947" s="720">
        <v>15000</v>
      </c>
      <c r="D947" s="698">
        <f t="shared" si="114"/>
        <v>22000</v>
      </c>
      <c r="E947" s="698">
        <f t="shared" si="112"/>
        <v>22000</v>
      </c>
      <c r="F947" s="967">
        <f t="shared" si="108"/>
        <v>100</v>
      </c>
      <c r="G947" s="720">
        <f>15000+7000</f>
        <v>22000</v>
      </c>
      <c r="H947" s="698">
        <v>22000</v>
      </c>
      <c r="I947" s="699">
        <f aca="true" t="shared" si="116" ref="I947:I972">H947/G947*100</f>
        <v>100</v>
      </c>
      <c r="J947" s="703"/>
      <c r="K947" s="698"/>
      <c r="L947" s="704"/>
      <c r="M947" s="720"/>
      <c r="N947" s="698"/>
      <c r="O947" s="702"/>
      <c r="P947" s="698"/>
      <c r="Q947" s="698"/>
      <c r="R947" s="770"/>
    </row>
    <row r="948" spans="1:18" ht="48.75" customHeight="1">
      <c r="A948" s="764">
        <v>2570</v>
      </c>
      <c r="B948" s="768" t="s">
        <v>740</v>
      </c>
      <c r="C948" s="720">
        <v>15000</v>
      </c>
      <c r="D948" s="698">
        <f t="shared" si="114"/>
        <v>16000</v>
      </c>
      <c r="E948" s="698">
        <f>SUM(H948+K948+N948+Q948)</f>
        <v>16000</v>
      </c>
      <c r="F948" s="967">
        <f t="shared" si="108"/>
        <v>100</v>
      </c>
      <c r="G948" s="720">
        <f>15000+1000</f>
        <v>16000</v>
      </c>
      <c r="H948" s="698">
        <v>16000</v>
      </c>
      <c r="I948" s="699">
        <f t="shared" si="116"/>
        <v>100</v>
      </c>
      <c r="J948" s="703"/>
      <c r="K948" s="698"/>
      <c r="L948" s="704"/>
      <c r="M948" s="720"/>
      <c r="N948" s="698"/>
      <c r="O948" s="702"/>
      <c r="P948" s="698"/>
      <c r="Q948" s="698"/>
      <c r="R948" s="770"/>
    </row>
    <row r="949" spans="1:18" ht="60.75" customHeight="1">
      <c r="A949" s="764">
        <v>2820</v>
      </c>
      <c r="B949" s="768" t="s">
        <v>455</v>
      </c>
      <c r="C949" s="720">
        <v>24000</v>
      </c>
      <c r="D949" s="698">
        <f t="shared" si="114"/>
        <v>24000</v>
      </c>
      <c r="E949" s="698">
        <f t="shared" si="112"/>
        <v>14883</v>
      </c>
      <c r="F949" s="967">
        <f t="shared" si="108"/>
        <v>62.0125</v>
      </c>
      <c r="G949" s="720">
        <v>24000</v>
      </c>
      <c r="H949" s="698">
        <v>14883</v>
      </c>
      <c r="I949" s="699">
        <f t="shared" si="116"/>
        <v>62.0125</v>
      </c>
      <c r="J949" s="703"/>
      <c r="K949" s="698"/>
      <c r="L949" s="704"/>
      <c r="M949" s="720"/>
      <c r="N949" s="698"/>
      <c r="O949" s="702"/>
      <c r="P949" s="698"/>
      <c r="Q949" s="698"/>
      <c r="R949" s="770"/>
    </row>
    <row r="950" spans="1:20" s="756" customFormat="1" ht="12.75" hidden="1">
      <c r="A950" s="968"/>
      <c r="B950" s="969" t="s">
        <v>743</v>
      </c>
      <c r="C950" s="776">
        <f>SUM(C951:C957)</f>
        <v>0</v>
      </c>
      <c r="D950" s="777">
        <f t="shared" si="114"/>
        <v>0</v>
      </c>
      <c r="E950" s="777">
        <f t="shared" si="112"/>
        <v>0</v>
      </c>
      <c r="F950" s="967" t="e">
        <f t="shared" si="108"/>
        <v>#DIV/0!</v>
      </c>
      <c r="G950" s="776">
        <f>SUM(G951:G957)</f>
        <v>0</v>
      </c>
      <c r="H950" s="777">
        <f>SUM(H951:H957)</f>
        <v>0</v>
      </c>
      <c r="I950" s="699" t="e">
        <f t="shared" si="116"/>
        <v>#DIV/0!</v>
      </c>
      <c r="J950" s="778"/>
      <c r="K950" s="777"/>
      <c r="L950" s="779"/>
      <c r="M950" s="776"/>
      <c r="N950" s="777"/>
      <c r="O950" s="782"/>
      <c r="P950" s="777"/>
      <c r="Q950" s="777"/>
      <c r="R950" s="783"/>
      <c r="S950" s="682"/>
      <c r="T950" s="682"/>
    </row>
    <row r="951" spans="1:18" ht="24" hidden="1">
      <c r="A951" s="764">
        <v>4170</v>
      </c>
      <c r="B951" s="768" t="s">
        <v>741</v>
      </c>
      <c r="C951" s="720"/>
      <c r="D951" s="698">
        <f t="shared" si="114"/>
        <v>0</v>
      </c>
      <c r="E951" s="698">
        <f>SUM(H951+K951+N951+Q951)</f>
        <v>0</v>
      </c>
      <c r="F951" s="967" t="e">
        <f t="shared" si="108"/>
        <v>#DIV/0!</v>
      </c>
      <c r="G951" s="720">
        <f>5805-5805</f>
        <v>0</v>
      </c>
      <c r="H951" s="698"/>
      <c r="I951" s="699" t="e">
        <f t="shared" si="116"/>
        <v>#DIV/0!</v>
      </c>
      <c r="J951" s="703"/>
      <c r="K951" s="698"/>
      <c r="L951" s="704"/>
      <c r="M951" s="720"/>
      <c r="N951" s="698"/>
      <c r="O951" s="702"/>
      <c r="P951" s="698"/>
      <c r="Q951" s="698"/>
      <c r="R951" s="770"/>
    </row>
    <row r="952" spans="1:18" ht="36" hidden="1">
      <c r="A952" s="764">
        <v>4110</v>
      </c>
      <c r="B952" s="768" t="s">
        <v>207</v>
      </c>
      <c r="C952" s="720"/>
      <c r="D952" s="698">
        <f t="shared" si="114"/>
        <v>0</v>
      </c>
      <c r="E952" s="698">
        <f aca="true" t="shared" si="117" ref="E952:E987">SUM(H952+K952+N952+Q952)</f>
        <v>0</v>
      </c>
      <c r="F952" s="967" t="e">
        <f t="shared" si="108"/>
        <v>#DIV/0!</v>
      </c>
      <c r="G952" s="720">
        <f>912-912</f>
        <v>0</v>
      </c>
      <c r="H952" s="698"/>
      <c r="I952" s="699" t="e">
        <f t="shared" si="116"/>
        <v>#DIV/0!</v>
      </c>
      <c r="J952" s="703"/>
      <c r="K952" s="698"/>
      <c r="L952" s="704"/>
      <c r="M952" s="720"/>
      <c r="N952" s="698"/>
      <c r="O952" s="702"/>
      <c r="P952" s="698"/>
      <c r="Q952" s="698"/>
      <c r="R952" s="770"/>
    </row>
    <row r="953" spans="1:18" ht="12.75" hidden="1">
      <c r="A953" s="764">
        <v>4120</v>
      </c>
      <c r="B953" s="768" t="s">
        <v>584</v>
      </c>
      <c r="C953" s="720"/>
      <c r="D953" s="698">
        <f t="shared" si="114"/>
        <v>0</v>
      </c>
      <c r="E953" s="698">
        <f t="shared" si="117"/>
        <v>0</v>
      </c>
      <c r="F953" s="967" t="e">
        <f t="shared" si="108"/>
        <v>#DIV/0!</v>
      </c>
      <c r="G953" s="720">
        <f>142-142</f>
        <v>0</v>
      </c>
      <c r="H953" s="698"/>
      <c r="I953" s="699" t="e">
        <f t="shared" si="116"/>
        <v>#DIV/0!</v>
      </c>
      <c r="J953" s="703"/>
      <c r="K953" s="698"/>
      <c r="L953" s="704"/>
      <c r="M953" s="720"/>
      <c r="N953" s="698"/>
      <c r="O953" s="702"/>
      <c r="P953" s="698"/>
      <c r="Q953" s="698"/>
      <c r="R953" s="770"/>
    </row>
    <row r="954" spans="1:18" ht="24" hidden="1">
      <c r="A954" s="764">
        <v>4300</v>
      </c>
      <c r="B954" s="768" t="s">
        <v>219</v>
      </c>
      <c r="C954" s="720"/>
      <c r="D954" s="698">
        <f t="shared" si="114"/>
        <v>0</v>
      </c>
      <c r="E954" s="698">
        <f t="shared" si="117"/>
        <v>0</v>
      </c>
      <c r="F954" s="967" t="e">
        <f t="shared" si="108"/>
        <v>#DIV/0!</v>
      </c>
      <c r="G954" s="720"/>
      <c r="H954" s="698"/>
      <c r="I954" s="699" t="e">
        <f t="shared" si="116"/>
        <v>#DIV/0!</v>
      </c>
      <c r="J954" s="703"/>
      <c r="K954" s="698"/>
      <c r="L954" s="704"/>
      <c r="M954" s="720"/>
      <c r="N954" s="698"/>
      <c r="O954" s="702"/>
      <c r="P954" s="698"/>
      <c r="Q954" s="698"/>
      <c r="R954" s="770"/>
    </row>
    <row r="955" spans="1:18" ht="24" hidden="1">
      <c r="A955" s="764">
        <v>4309</v>
      </c>
      <c r="B955" s="768" t="s">
        <v>219</v>
      </c>
      <c r="C955" s="720"/>
      <c r="D955" s="698">
        <f t="shared" si="114"/>
        <v>0</v>
      </c>
      <c r="E955" s="698">
        <f t="shared" si="117"/>
        <v>0</v>
      </c>
      <c r="F955" s="967" t="e">
        <f t="shared" si="108"/>
        <v>#DIV/0!</v>
      </c>
      <c r="G955" s="720"/>
      <c r="H955" s="698"/>
      <c r="I955" s="699" t="e">
        <f t="shared" si="116"/>
        <v>#DIV/0!</v>
      </c>
      <c r="J955" s="703"/>
      <c r="K955" s="698"/>
      <c r="L955" s="704"/>
      <c r="M955" s="720"/>
      <c r="N955" s="698"/>
      <c r="O955" s="702"/>
      <c r="P955" s="698"/>
      <c r="Q955" s="698"/>
      <c r="R955" s="770"/>
    </row>
    <row r="956" spans="1:18" ht="12.75" hidden="1">
      <c r="A956" s="764">
        <v>4438</v>
      </c>
      <c r="B956" s="768" t="s">
        <v>221</v>
      </c>
      <c r="C956" s="720"/>
      <c r="D956" s="698">
        <f t="shared" si="114"/>
        <v>0</v>
      </c>
      <c r="E956" s="698">
        <f t="shared" si="117"/>
        <v>0</v>
      </c>
      <c r="F956" s="967" t="e">
        <f t="shared" si="108"/>
        <v>#DIV/0!</v>
      </c>
      <c r="G956" s="720"/>
      <c r="H956" s="698"/>
      <c r="I956" s="699" t="e">
        <f t="shared" si="116"/>
        <v>#DIV/0!</v>
      </c>
      <c r="J956" s="703"/>
      <c r="K956" s="698"/>
      <c r="L956" s="704"/>
      <c r="M956" s="720"/>
      <c r="N956" s="698"/>
      <c r="O956" s="702"/>
      <c r="P956" s="698"/>
      <c r="Q956" s="698"/>
      <c r="R956" s="770"/>
    </row>
    <row r="957" spans="1:18" ht="12.75" hidden="1">
      <c r="A957" s="764">
        <v>4439</v>
      </c>
      <c r="B957" s="768" t="s">
        <v>221</v>
      </c>
      <c r="C957" s="720"/>
      <c r="D957" s="698">
        <f t="shared" si="114"/>
        <v>0</v>
      </c>
      <c r="E957" s="698">
        <f t="shared" si="117"/>
        <v>0</v>
      </c>
      <c r="F957" s="967" t="e">
        <f t="shared" si="108"/>
        <v>#DIV/0!</v>
      </c>
      <c r="G957" s="720"/>
      <c r="H957" s="698"/>
      <c r="I957" s="699" t="e">
        <f t="shared" si="116"/>
        <v>#DIV/0!</v>
      </c>
      <c r="J957" s="703"/>
      <c r="K957" s="698"/>
      <c r="L957" s="704"/>
      <c r="M957" s="720"/>
      <c r="N957" s="698"/>
      <c r="O957" s="702"/>
      <c r="P957" s="698"/>
      <c r="Q957" s="698"/>
      <c r="R957" s="770"/>
    </row>
    <row r="958" spans="1:18" ht="48" hidden="1">
      <c r="A958" s="764">
        <v>4215</v>
      </c>
      <c r="B958" s="768" t="s">
        <v>456</v>
      </c>
      <c r="C958" s="720"/>
      <c r="D958" s="698">
        <f t="shared" si="114"/>
        <v>0</v>
      </c>
      <c r="E958" s="698">
        <f t="shared" si="117"/>
        <v>0</v>
      </c>
      <c r="F958" s="967" t="e">
        <f t="shared" si="108"/>
        <v>#DIV/0!</v>
      </c>
      <c r="G958" s="720"/>
      <c r="H958" s="698"/>
      <c r="I958" s="699" t="e">
        <f t="shared" si="116"/>
        <v>#DIV/0!</v>
      </c>
      <c r="J958" s="703"/>
      <c r="K958" s="698"/>
      <c r="L958" s="704"/>
      <c r="M958" s="720"/>
      <c r="N958" s="698"/>
      <c r="O958" s="702"/>
      <c r="P958" s="698"/>
      <c r="Q958" s="698"/>
      <c r="R958" s="770"/>
    </row>
    <row r="959" spans="1:20" s="756" customFormat="1" ht="24">
      <c r="A959" s="774"/>
      <c r="B959" s="848" t="s">
        <v>323</v>
      </c>
      <c r="C959" s="776"/>
      <c r="D959" s="777">
        <f t="shared" si="114"/>
        <v>176880</v>
      </c>
      <c r="E959" s="777">
        <f t="shared" si="117"/>
        <v>122990</v>
      </c>
      <c r="F959" s="967">
        <f t="shared" si="108"/>
        <v>69.53301673450926</v>
      </c>
      <c r="G959" s="776">
        <f>SUM(G960:G972)</f>
        <v>176880</v>
      </c>
      <c r="H959" s="777">
        <f>SUM(H960:H972)</f>
        <v>122990</v>
      </c>
      <c r="I959" s="699">
        <f t="shared" si="116"/>
        <v>69.53301673450926</v>
      </c>
      <c r="J959" s="778"/>
      <c r="K959" s="777"/>
      <c r="L959" s="779"/>
      <c r="M959" s="776"/>
      <c r="N959" s="777"/>
      <c r="O959" s="744"/>
      <c r="P959" s="777"/>
      <c r="Q959" s="777"/>
      <c r="R959" s="783"/>
      <c r="S959" s="682"/>
      <c r="T959" s="682"/>
    </row>
    <row r="960" spans="1:18" ht="30" customHeight="1">
      <c r="A960" s="764">
        <v>4017</v>
      </c>
      <c r="B960" s="768" t="s">
        <v>201</v>
      </c>
      <c r="C960" s="720"/>
      <c r="D960" s="698">
        <f>G960+J960+P960+M960</f>
        <v>1100</v>
      </c>
      <c r="E960" s="698">
        <f>SUM(H960+K960+N960+Q960)</f>
        <v>1097</v>
      </c>
      <c r="F960" s="967">
        <f>E960/D960*100</f>
        <v>99.72727272727273</v>
      </c>
      <c r="G960" s="720">
        <v>1100</v>
      </c>
      <c r="H960" s="698">
        <f>1097-1+1</f>
        <v>1097</v>
      </c>
      <c r="I960" s="699">
        <f t="shared" si="116"/>
        <v>99.72727272727273</v>
      </c>
      <c r="J960" s="703"/>
      <c r="K960" s="698"/>
      <c r="L960" s="704"/>
      <c r="M960" s="720"/>
      <c r="N960" s="698"/>
      <c r="O960" s="744"/>
      <c r="P960" s="698"/>
      <c r="Q960" s="698"/>
      <c r="R960" s="770"/>
    </row>
    <row r="961" spans="1:18" ht="27.75" customHeight="1">
      <c r="A961" s="764">
        <v>4117</v>
      </c>
      <c r="B961" s="768" t="s">
        <v>207</v>
      </c>
      <c r="C961" s="720"/>
      <c r="D961" s="698">
        <f>G961+J961+P961+M961</f>
        <v>167</v>
      </c>
      <c r="E961" s="698">
        <f>SUM(H961+K961+N961+Q961)</f>
        <v>167</v>
      </c>
      <c r="F961" s="967">
        <f>E961/D961*100</f>
        <v>100</v>
      </c>
      <c r="G961" s="720">
        <v>167</v>
      </c>
      <c r="H961" s="698">
        <v>167</v>
      </c>
      <c r="I961" s="699">
        <f t="shared" si="116"/>
        <v>100</v>
      </c>
      <c r="J961" s="703"/>
      <c r="K961" s="698"/>
      <c r="L961" s="704"/>
      <c r="M961" s="720"/>
      <c r="N961" s="698"/>
      <c r="O961" s="744"/>
      <c r="P961" s="698"/>
      <c r="Q961" s="698"/>
      <c r="R961" s="770"/>
    </row>
    <row r="962" spans="1:18" ht="12.75">
      <c r="A962" s="764">
        <v>4127</v>
      </c>
      <c r="B962" s="768" t="s">
        <v>584</v>
      </c>
      <c r="C962" s="720"/>
      <c r="D962" s="698">
        <f>G962+J962+P962+M962</f>
        <v>27</v>
      </c>
      <c r="E962" s="698">
        <f>SUM(H962+K962+N962+Q962)</f>
        <v>27</v>
      </c>
      <c r="F962" s="967">
        <f>E962/D962*100</f>
        <v>100</v>
      </c>
      <c r="G962" s="720">
        <v>27</v>
      </c>
      <c r="H962" s="698">
        <v>27</v>
      </c>
      <c r="I962" s="699">
        <f t="shared" si="116"/>
        <v>100</v>
      </c>
      <c r="J962" s="703"/>
      <c r="K962" s="698"/>
      <c r="L962" s="704"/>
      <c r="M962" s="720"/>
      <c r="N962" s="698"/>
      <c r="O962" s="744"/>
      <c r="P962" s="698"/>
      <c r="Q962" s="698"/>
      <c r="R962" s="770"/>
    </row>
    <row r="963" spans="1:18" ht="24">
      <c r="A963" s="764">
        <v>4217</v>
      </c>
      <c r="B963" s="768" t="s">
        <v>211</v>
      </c>
      <c r="C963" s="720"/>
      <c r="D963" s="698">
        <f t="shared" si="114"/>
        <v>29721</v>
      </c>
      <c r="E963" s="698">
        <f t="shared" si="117"/>
        <v>20687</v>
      </c>
      <c r="F963" s="967">
        <f t="shared" si="108"/>
        <v>69.60398371521819</v>
      </c>
      <c r="G963" s="720">
        <f>29246+2207-1732</f>
        <v>29721</v>
      </c>
      <c r="H963" s="698">
        <v>20687</v>
      </c>
      <c r="I963" s="699">
        <f t="shared" si="116"/>
        <v>69.60398371521819</v>
      </c>
      <c r="J963" s="703"/>
      <c r="K963" s="698"/>
      <c r="L963" s="704"/>
      <c r="M963" s="720"/>
      <c r="N963" s="698"/>
      <c r="O963" s="744"/>
      <c r="P963" s="698"/>
      <c r="Q963" s="698"/>
      <c r="R963" s="770"/>
    </row>
    <row r="964" spans="1:18" ht="22.5" customHeight="1">
      <c r="A964" s="764">
        <v>4247</v>
      </c>
      <c r="B964" s="768" t="s">
        <v>572</v>
      </c>
      <c r="C964" s="720"/>
      <c r="D964" s="698">
        <f t="shared" si="114"/>
        <v>7000</v>
      </c>
      <c r="E964" s="698">
        <f t="shared" si="117"/>
        <v>7000</v>
      </c>
      <c r="F964" s="967">
        <f t="shared" si="108"/>
        <v>100</v>
      </c>
      <c r="G964" s="720">
        <v>7000</v>
      </c>
      <c r="H964" s="698">
        <v>7000</v>
      </c>
      <c r="I964" s="699">
        <f t="shared" si="116"/>
        <v>100</v>
      </c>
      <c r="J964" s="703"/>
      <c r="K964" s="698"/>
      <c r="L964" s="704"/>
      <c r="M964" s="720"/>
      <c r="N964" s="698"/>
      <c r="O964" s="744"/>
      <c r="P964" s="698"/>
      <c r="Q964" s="698"/>
      <c r="R964" s="770"/>
    </row>
    <row r="965" spans="1:18" ht="24" hidden="1">
      <c r="A965" s="764">
        <v>4300</v>
      </c>
      <c r="B965" s="768" t="s">
        <v>219</v>
      </c>
      <c r="C965" s="720"/>
      <c r="D965" s="698">
        <f>G965+J965+P965+M965</f>
        <v>0</v>
      </c>
      <c r="E965" s="698">
        <f>SUM(H965+K965+N965+Q965)</f>
        <v>0</v>
      </c>
      <c r="F965" s="967" t="e">
        <f t="shared" si="108"/>
        <v>#DIV/0!</v>
      </c>
      <c r="G965" s="720"/>
      <c r="H965" s="698"/>
      <c r="I965" s="699" t="e">
        <f t="shared" si="116"/>
        <v>#DIV/0!</v>
      </c>
      <c r="J965" s="703"/>
      <c r="K965" s="698"/>
      <c r="L965" s="704"/>
      <c r="M965" s="720"/>
      <c r="N965" s="698"/>
      <c r="O965" s="744"/>
      <c r="P965" s="698"/>
      <c r="Q965" s="698"/>
      <c r="R965" s="770"/>
    </row>
    <row r="966" spans="1:18" ht="18" customHeight="1">
      <c r="A966" s="764">
        <v>4307</v>
      </c>
      <c r="B966" s="768" t="s">
        <v>219</v>
      </c>
      <c r="C966" s="720"/>
      <c r="D966" s="698">
        <f t="shared" si="114"/>
        <v>47614</v>
      </c>
      <c r="E966" s="698">
        <f t="shared" si="117"/>
        <v>37540</v>
      </c>
      <c r="F966" s="967">
        <f t="shared" si="108"/>
        <v>78.84235728987272</v>
      </c>
      <c r="G966" s="720">
        <f>39524+10000-1910</f>
        <v>47614</v>
      </c>
      <c r="H966" s="698">
        <f>37541-1</f>
        <v>37540</v>
      </c>
      <c r="I966" s="699">
        <f t="shared" si="116"/>
        <v>78.84235728987272</v>
      </c>
      <c r="J966" s="703"/>
      <c r="K966" s="698"/>
      <c r="L966" s="704"/>
      <c r="M966" s="720"/>
      <c r="N966" s="698"/>
      <c r="O966" s="744"/>
      <c r="P966" s="698"/>
      <c r="Q966" s="698"/>
      <c r="R966" s="770"/>
    </row>
    <row r="967" spans="1:18" ht="24" hidden="1">
      <c r="A967" s="764">
        <v>4357</v>
      </c>
      <c r="B967" s="768" t="s">
        <v>544</v>
      </c>
      <c r="C967" s="720"/>
      <c r="D967" s="698">
        <f>G967+J967+P967+M967</f>
        <v>0</v>
      </c>
      <c r="E967" s="698">
        <f>SUM(H967+K967+N967+Q967)</f>
        <v>0</v>
      </c>
      <c r="F967" s="967" t="e">
        <f t="shared" si="108"/>
        <v>#DIV/0!</v>
      </c>
      <c r="G967" s="720"/>
      <c r="H967" s="698"/>
      <c r="I967" s="699" t="e">
        <f t="shared" si="116"/>
        <v>#DIV/0!</v>
      </c>
      <c r="J967" s="703"/>
      <c r="K967" s="698"/>
      <c r="L967" s="704"/>
      <c r="M967" s="720"/>
      <c r="N967" s="698"/>
      <c r="O967" s="744"/>
      <c r="P967" s="698"/>
      <c r="Q967" s="698"/>
      <c r="R967" s="770"/>
    </row>
    <row r="968" spans="1:18" ht="24">
      <c r="A968" s="764">
        <v>4417</v>
      </c>
      <c r="B968" s="768" t="s">
        <v>193</v>
      </c>
      <c r="C968" s="720"/>
      <c r="D968" s="698">
        <f>G968+J968+P968+M968</f>
        <v>6178</v>
      </c>
      <c r="E968" s="698">
        <f>SUM(H968+K968+N968+Q968)</f>
        <v>1109</v>
      </c>
      <c r="F968" s="967">
        <f>E968/D968*100</f>
        <v>17.95079313693752</v>
      </c>
      <c r="G968" s="720">
        <f>6500-471+149</f>
        <v>6178</v>
      </c>
      <c r="H968" s="698">
        <v>1109</v>
      </c>
      <c r="I968" s="699">
        <f t="shared" si="116"/>
        <v>17.95079313693752</v>
      </c>
      <c r="J968" s="703"/>
      <c r="K968" s="698"/>
      <c r="L968" s="704"/>
      <c r="M968" s="720"/>
      <c r="N968" s="698"/>
      <c r="O968" s="744"/>
      <c r="P968" s="698"/>
      <c r="Q968" s="698"/>
      <c r="R968" s="770"/>
    </row>
    <row r="969" spans="1:18" ht="24">
      <c r="A969" s="764">
        <v>4427</v>
      </c>
      <c r="B969" s="768" t="s">
        <v>560</v>
      </c>
      <c r="C969" s="720"/>
      <c r="D969" s="698">
        <f t="shared" si="114"/>
        <v>75310</v>
      </c>
      <c r="E969" s="698">
        <f t="shared" si="117"/>
        <v>53741</v>
      </c>
      <c r="F969" s="967">
        <f aca="true" t="shared" si="118" ref="F969:F976">E969/D969*100</f>
        <v>71.35971318549993</v>
      </c>
      <c r="G969" s="720">
        <f>83940-11753+3123</f>
        <v>75310</v>
      </c>
      <c r="H969" s="698">
        <v>53741</v>
      </c>
      <c r="I969" s="699">
        <f t="shared" si="116"/>
        <v>71.35971318549993</v>
      </c>
      <c r="J969" s="703"/>
      <c r="K969" s="698"/>
      <c r="L969" s="704"/>
      <c r="M969" s="720"/>
      <c r="N969" s="698"/>
      <c r="O969" s="702"/>
      <c r="P969" s="698"/>
      <c r="Q969" s="698"/>
      <c r="R969" s="770"/>
    </row>
    <row r="970" spans="1:18" ht="12.75">
      <c r="A970" s="764">
        <v>4437</v>
      </c>
      <c r="B970" s="768" t="s">
        <v>221</v>
      </c>
      <c r="C970" s="720"/>
      <c r="D970" s="698">
        <f t="shared" si="114"/>
        <v>6079</v>
      </c>
      <c r="E970" s="698">
        <f t="shared" si="117"/>
        <v>1172</v>
      </c>
      <c r="F970" s="967">
        <f t="shared" si="118"/>
        <v>19.27948675769041</v>
      </c>
      <c r="G970" s="720">
        <f>7370+17-1308</f>
        <v>6079</v>
      </c>
      <c r="H970" s="698">
        <v>1172</v>
      </c>
      <c r="I970" s="699">
        <f t="shared" si="116"/>
        <v>19.27948675769041</v>
      </c>
      <c r="J970" s="703"/>
      <c r="K970" s="698"/>
      <c r="L970" s="704"/>
      <c r="M970" s="720"/>
      <c r="N970" s="698"/>
      <c r="O970" s="702"/>
      <c r="P970" s="698"/>
      <c r="Q970" s="698"/>
      <c r="R970" s="770"/>
    </row>
    <row r="971" spans="1:18" ht="51" customHeight="1">
      <c r="A971" s="764">
        <v>4747</v>
      </c>
      <c r="B971" s="828" t="s">
        <v>235</v>
      </c>
      <c r="C971" s="720"/>
      <c r="D971" s="698">
        <f t="shared" si="114"/>
        <v>2500</v>
      </c>
      <c r="E971" s="698">
        <f t="shared" si="117"/>
        <v>0</v>
      </c>
      <c r="F971" s="967">
        <f t="shared" si="118"/>
        <v>0</v>
      </c>
      <c r="G971" s="720">
        <v>2500</v>
      </c>
      <c r="H971" s="698"/>
      <c r="I971" s="699">
        <f t="shared" si="116"/>
        <v>0</v>
      </c>
      <c r="J971" s="703"/>
      <c r="K971" s="698"/>
      <c r="L971" s="704"/>
      <c r="M971" s="720"/>
      <c r="N971" s="698"/>
      <c r="O971" s="702"/>
      <c r="P971" s="698"/>
      <c r="Q971" s="698"/>
      <c r="R971" s="770"/>
    </row>
    <row r="972" spans="1:18" ht="36">
      <c r="A972" s="764">
        <v>4757</v>
      </c>
      <c r="B972" s="828" t="s">
        <v>551</v>
      </c>
      <c r="C972" s="720"/>
      <c r="D972" s="698">
        <f t="shared" si="114"/>
        <v>1184</v>
      </c>
      <c r="E972" s="698">
        <f t="shared" si="117"/>
        <v>450</v>
      </c>
      <c r="F972" s="967">
        <f t="shared" si="118"/>
        <v>38.00675675675676</v>
      </c>
      <c r="G972" s="720">
        <f>800+384</f>
        <v>1184</v>
      </c>
      <c r="H972" s="698">
        <v>450</v>
      </c>
      <c r="I972" s="699">
        <f t="shared" si="116"/>
        <v>38.00675675675676</v>
      </c>
      <c r="J972" s="703"/>
      <c r="K972" s="698"/>
      <c r="L972" s="704"/>
      <c r="M972" s="720"/>
      <c r="N972" s="698"/>
      <c r="O972" s="702"/>
      <c r="P972" s="698"/>
      <c r="Q972" s="698"/>
      <c r="R972" s="770"/>
    </row>
    <row r="973" spans="1:20" s="756" customFormat="1" ht="39" customHeight="1">
      <c r="A973" s="774"/>
      <c r="B973" s="970" t="s">
        <v>457</v>
      </c>
      <c r="C973" s="776"/>
      <c r="D973" s="777">
        <f t="shared" si="114"/>
        <v>6466</v>
      </c>
      <c r="E973" s="777">
        <f t="shared" si="117"/>
        <v>5895</v>
      </c>
      <c r="F973" s="967">
        <f t="shared" si="118"/>
        <v>91.16919270027837</v>
      </c>
      <c r="G973" s="776"/>
      <c r="H973" s="777"/>
      <c r="I973" s="699"/>
      <c r="J973" s="778"/>
      <c r="K973" s="777"/>
      <c r="L973" s="779"/>
      <c r="M973" s="776">
        <f>SUM(M974:M975)</f>
        <v>6466</v>
      </c>
      <c r="N973" s="777">
        <f>SUM(N974:N975)</f>
        <v>5895</v>
      </c>
      <c r="O973" s="971">
        <f aca="true" t="shared" si="119" ref="O973:O1004">N973/M973*100</f>
        <v>91.16919270027837</v>
      </c>
      <c r="P973" s="777"/>
      <c r="Q973" s="777"/>
      <c r="R973" s="783"/>
      <c r="S973" s="682"/>
      <c r="T973" s="682"/>
    </row>
    <row r="974" spans="1:18" ht="24">
      <c r="A974" s="764">
        <v>4427</v>
      </c>
      <c r="B974" s="828" t="s">
        <v>560</v>
      </c>
      <c r="C974" s="720"/>
      <c r="D974" s="698">
        <f t="shared" si="114"/>
        <v>6166</v>
      </c>
      <c r="E974" s="698">
        <f t="shared" si="117"/>
        <v>5895</v>
      </c>
      <c r="F974" s="967">
        <f t="shared" si="118"/>
        <v>95.6049302627311</v>
      </c>
      <c r="G974" s="720"/>
      <c r="H974" s="698"/>
      <c r="I974" s="699"/>
      <c r="J974" s="703"/>
      <c r="K974" s="698"/>
      <c r="L974" s="704"/>
      <c r="M974" s="720">
        <v>6166</v>
      </c>
      <c r="N974" s="698">
        <v>5895</v>
      </c>
      <c r="O974" s="744">
        <f t="shared" si="119"/>
        <v>95.6049302627311</v>
      </c>
      <c r="P974" s="698"/>
      <c r="Q974" s="698"/>
      <c r="R974" s="770"/>
    </row>
    <row r="975" spans="1:18" ht="12.75">
      <c r="A975" s="764">
        <v>4437</v>
      </c>
      <c r="B975" s="828" t="s">
        <v>221</v>
      </c>
      <c r="C975" s="720"/>
      <c r="D975" s="698">
        <f t="shared" si="114"/>
        <v>300</v>
      </c>
      <c r="E975" s="698">
        <f t="shared" si="117"/>
        <v>0</v>
      </c>
      <c r="F975" s="967">
        <f t="shared" si="118"/>
        <v>0</v>
      </c>
      <c r="G975" s="720"/>
      <c r="H975" s="698"/>
      <c r="I975" s="699"/>
      <c r="J975" s="703"/>
      <c r="K975" s="698"/>
      <c r="L975" s="704"/>
      <c r="M975" s="720">
        <v>300</v>
      </c>
      <c r="N975" s="698"/>
      <c r="O975" s="744">
        <f t="shared" si="119"/>
        <v>0</v>
      </c>
      <c r="P975" s="698"/>
      <c r="Q975" s="698"/>
      <c r="R975" s="770"/>
    </row>
    <row r="976" spans="1:20" s="756" customFormat="1" ht="84">
      <c r="A976" s="774"/>
      <c r="B976" s="848" t="s">
        <v>742</v>
      </c>
      <c r="C976" s="776">
        <f>SUM(C977:C989)</f>
        <v>92020</v>
      </c>
      <c r="D976" s="777">
        <f t="shared" si="114"/>
        <v>131400</v>
      </c>
      <c r="E976" s="777">
        <f t="shared" si="117"/>
        <v>120807</v>
      </c>
      <c r="F976" s="967">
        <f t="shared" si="118"/>
        <v>91.93835616438356</v>
      </c>
      <c r="G976" s="776"/>
      <c r="H976" s="777"/>
      <c r="I976" s="746"/>
      <c r="J976" s="778"/>
      <c r="K976" s="777"/>
      <c r="L976" s="779"/>
      <c r="M976" s="776">
        <f>SUM(M977:M989)</f>
        <v>131400</v>
      </c>
      <c r="N976" s="777">
        <f>SUM(N977:N989)</f>
        <v>120807</v>
      </c>
      <c r="O976" s="971">
        <f t="shared" si="119"/>
        <v>91.93835616438356</v>
      </c>
      <c r="P976" s="777"/>
      <c r="Q976" s="777"/>
      <c r="R976" s="783"/>
      <c r="S976" s="682"/>
      <c r="T976" s="682"/>
    </row>
    <row r="977" spans="1:18" ht="28.5" customHeight="1">
      <c r="A977" s="764">
        <v>4115</v>
      </c>
      <c r="B977" s="934" t="s">
        <v>207</v>
      </c>
      <c r="C977" s="720">
        <v>10</v>
      </c>
      <c r="D977" s="698">
        <f t="shared" si="114"/>
        <v>0</v>
      </c>
      <c r="E977" s="698">
        <f t="shared" si="117"/>
        <v>0</v>
      </c>
      <c r="F977" s="967"/>
      <c r="G977" s="720"/>
      <c r="H977" s="698"/>
      <c r="I977" s="746"/>
      <c r="J977" s="703"/>
      <c r="K977" s="698"/>
      <c r="L977" s="704"/>
      <c r="M977" s="720">
        <f>10-10</f>
        <v>0</v>
      </c>
      <c r="N977" s="698"/>
      <c r="O977" s="744"/>
      <c r="P977" s="698"/>
      <c r="Q977" s="698"/>
      <c r="R977" s="770"/>
    </row>
    <row r="978" spans="1:18" ht="27" customHeight="1">
      <c r="A978" s="764">
        <v>4117</v>
      </c>
      <c r="B978" s="934" t="s">
        <v>207</v>
      </c>
      <c r="C978" s="720"/>
      <c r="D978" s="698">
        <f>G978+J978+P978+M978</f>
        <v>470</v>
      </c>
      <c r="E978" s="698">
        <f>SUM(H978+K978+N978+Q978)</f>
        <v>468</v>
      </c>
      <c r="F978" s="967">
        <f>E978/D978*100</f>
        <v>99.57446808510639</v>
      </c>
      <c r="G978" s="720"/>
      <c r="H978" s="698"/>
      <c r="I978" s="746"/>
      <c r="J978" s="703"/>
      <c r="K978" s="698"/>
      <c r="L978" s="704"/>
      <c r="M978" s="720">
        <f>10+460</f>
        <v>470</v>
      </c>
      <c r="N978" s="698">
        <v>468</v>
      </c>
      <c r="O978" s="744">
        <f t="shared" si="119"/>
        <v>99.57446808510639</v>
      </c>
      <c r="P978" s="698"/>
      <c r="Q978" s="698"/>
      <c r="R978" s="770"/>
    </row>
    <row r="979" spans="1:18" ht="12.75">
      <c r="A979" s="764">
        <v>4125</v>
      </c>
      <c r="B979" s="934" t="s">
        <v>584</v>
      </c>
      <c r="C979" s="720">
        <v>10</v>
      </c>
      <c r="D979" s="698">
        <f t="shared" si="114"/>
        <v>0</v>
      </c>
      <c r="E979" s="698">
        <f t="shared" si="117"/>
        <v>0</v>
      </c>
      <c r="F979" s="967"/>
      <c r="G979" s="720"/>
      <c r="H979" s="698"/>
      <c r="I979" s="746"/>
      <c r="J979" s="703"/>
      <c r="K979" s="698"/>
      <c r="L979" s="704"/>
      <c r="M979" s="720">
        <f>10-10</f>
        <v>0</v>
      </c>
      <c r="N979" s="698"/>
      <c r="O979" s="744"/>
      <c r="P979" s="698"/>
      <c r="Q979" s="698"/>
      <c r="R979" s="770"/>
    </row>
    <row r="980" spans="1:18" ht="12.75">
      <c r="A980" s="764">
        <v>4127</v>
      </c>
      <c r="B980" s="934" t="s">
        <v>584</v>
      </c>
      <c r="C980" s="720"/>
      <c r="D980" s="698">
        <f>G980+J980+P980+M980</f>
        <v>80</v>
      </c>
      <c r="E980" s="698">
        <f>SUM(H980+K980+N980+Q980)</f>
        <v>75</v>
      </c>
      <c r="F980" s="967">
        <f>E980/D980*100</f>
        <v>93.75</v>
      </c>
      <c r="G980" s="720"/>
      <c r="H980" s="698"/>
      <c r="I980" s="746"/>
      <c r="J980" s="703"/>
      <c r="K980" s="698"/>
      <c r="L980" s="704"/>
      <c r="M980" s="720">
        <f>10+70</f>
        <v>80</v>
      </c>
      <c r="N980" s="698">
        <f>75+1-1</f>
        <v>75</v>
      </c>
      <c r="O980" s="744">
        <f t="shared" si="119"/>
        <v>93.75</v>
      </c>
      <c r="P980" s="698"/>
      <c r="Q980" s="698"/>
      <c r="R980" s="770"/>
    </row>
    <row r="981" spans="1:18" ht="24">
      <c r="A981" s="764">
        <v>4175</v>
      </c>
      <c r="B981" s="768" t="s">
        <v>242</v>
      </c>
      <c r="C981" s="720">
        <v>100</v>
      </c>
      <c r="D981" s="698">
        <f t="shared" si="114"/>
        <v>0</v>
      </c>
      <c r="E981" s="698">
        <f t="shared" si="117"/>
        <v>0</v>
      </c>
      <c r="F981" s="967"/>
      <c r="G981" s="720"/>
      <c r="H981" s="698"/>
      <c r="I981" s="746"/>
      <c r="J981" s="703"/>
      <c r="K981" s="698"/>
      <c r="L981" s="704"/>
      <c r="M981" s="720">
        <f>100-100</f>
        <v>0</v>
      </c>
      <c r="N981" s="698"/>
      <c r="O981" s="744"/>
      <c r="P981" s="698"/>
      <c r="Q981" s="698"/>
      <c r="R981" s="770"/>
    </row>
    <row r="982" spans="1:18" ht="24">
      <c r="A982" s="764">
        <v>4177</v>
      </c>
      <c r="B982" s="768" t="s">
        <v>242</v>
      </c>
      <c r="C982" s="720"/>
      <c r="D982" s="698">
        <f>G982+J982+P982+M982</f>
        <v>3080</v>
      </c>
      <c r="E982" s="698">
        <f>SUM(H982+K982+N982+Q982)</f>
        <v>3080</v>
      </c>
      <c r="F982" s="967">
        <f>E982/D982*100</f>
        <v>100</v>
      </c>
      <c r="G982" s="720"/>
      <c r="H982" s="698"/>
      <c r="I982" s="746"/>
      <c r="J982" s="703"/>
      <c r="K982" s="698"/>
      <c r="L982" s="704"/>
      <c r="M982" s="720">
        <f>230+2850</f>
        <v>3080</v>
      </c>
      <c r="N982" s="698">
        <v>3080</v>
      </c>
      <c r="O982" s="744">
        <f t="shared" si="119"/>
        <v>100</v>
      </c>
      <c r="P982" s="698"/>
      <c r="Q982" s="698"/>
      <c r="R982" s="770"/>
    </row>
    <row r="983" spans="1:18" ht="24">
      <c r="A983" s="764">
        <v>4217</v>
      </c>
      <c r="B983" s="768" t="s">
        <v>211</v>
      </c>
      <c r="C983" s="720"/>
      <c r="D983" s="698">
        <f>G983+J983+P983+M983</f>
        <v>8800</v>
      </c>
      <c r="E983" s="698">
        <f>SUM(H983+K983+N983+Q983)</f>
        <v>4003</v>
      </c>
      <c r="F983" s="967">
        <f>E983/D983*100</f>
        <v>45.48863636363637</v>
      </c>
      <c r="G983" s="720"/>
      <c r="H983" s="698"/>
      <c r="I983" s="746"/>
      <c r="J983" s="703"/>
      <c r="K983" s="698"/>
      <c r="L983" s="704"/>
      <c r="M983" s="720">
        <v>8800</v>
      </c>
      <c r="N983" s="698">
        <f>4003-1+1</f>
        <v>4003</v>
      </c>
      <c r="O983" s="744">
        <f t="shared" si="119"/>
        <v>45.48863636363637</v>
      </c>
      <c r="P983" s="698"/>
      <c r="Q983" s="698"/>
      <c r="R983" s="770"/>
    </row>
    <row r="984" spans="1:18" ht="48" hidden="1">
      <c r="A984" s="764">
        <v>4245</v>
      </c>
      <c r="B984" s="768" t="s">
        <v>572</v>
      </c>
      <c r="C984" s="720"/>
      <c r="D984" s="698">
        <f t="shared" si="114"/>
        <v>0</v>
      </c>
      <c r="E984" s="698">
        <f t="shared" si="117"/>
        <v>0</v>
      </c>
      <c r="F984" s="967" t="e">
        <f>E984/D984*100</f>
        <v>#DIV/0!</v>
      </c>
      <c r="G984" s="720"/>
      <c r="H984" s="698"/>
      <c r="I984" s="746"/>
      <c r="J984" s="703"/>
      <c r="K984" s="698"/>
      <c r="L984" s="704"/>
      <c r="M984" s="720"/>
      <c r="N984" s="698"/>
      <c r="O984" s="744" t="e">
        <f t="shared" si="119"/>
        <v>#DIV/0!</v>
      </c>
      <c r="P984" s="698"/>
      <c r="Q984" s="698"/>
      <c r="R984" s="770"/>
    </row>
    <row r="985" spans="1:18" ht="48" hidden="1">
      <c r="A985" s="764">
        <v>4247</v>
      </c>
      <c r="B985" s="768" t="s">
        <v>572</v>
      </c>
      <c r="C985" s="720"/>
      <c r="D985" s="698">
        <f>G985+J985+P985+M985</f>
        <v>0</v>
      </c>
      <c r="E985" s="698">
        <f>SUM(H985+K985+N985+Q985)</f>
        <v>0</v>
      </c>
      <c r="F985" s="967" t="e">
        <f>E985/D985*100</f>
        <v>#DIV/0!</v>
      </c>
      <c r="G985" s="720"/>
      <c r="H985" s="698"/>
      <c r="I985" s="746"/>
      <c r="J985" s="703"/>
      <c r="K985" s="698"/>
      <c r="L985" s="704"/>
      <c r="M985" s="720"/>
      <c r="N985" s="698"/>
      <c r="O985" s="744" t="e">
        <f t="shared" si="119"/>
        <v>#DIV/0!</v>
      </c>
      <c r="P985" s="698"/>
      <c r="Q985" s="698"/>
      <c r="R985" s="770"/>
    </row>
    <row r="986" spans="1:18" ht="15.75" customHeight="1">
      <c r="A986" s="764">
        <v>4305</v>
      </c>
      <c r="B986" s="768" t="s">
        <v>219</v>
      </c>
      <c r="C986" s="720">
        <v>86700</v>
      </c>
      <c r="D986" s="698">
        <f t="shared" si="114"/>
        <v>0</v>
      </c>
      <c r="E986" s="698">
        <f t="shared" si="117"/>
        <v>0</v>
      </c>
      <c r="F986" s="967"/>
      <c r="G986" s="720"/>
      <c r="H986" s="698"/>
      <c r="I986" s="746"/>
      <c r="J986" s="703"/>
      <c r="K986" s="698"/>
      <c r="L986" s="704"/>
      <c r="M986" s="720">
        <f>86700-86700</f>
        <v>0</v>
      </c>
      <c r="N986" s="698"/>
      <c r="O986" s="744"/>
      <c r="P986" s="698"/>
      <c r="Q986" s="698"/>
      <c r="R986" s="770"/>
    </row>
    <row r="987" spans="1:18" ht="13.5" customHeight="1">
      <c r="A987" s="764">
        <v>4307</v>
      </c>
      <c r="B987" s="828" t="s">
        <v>219</v>
      </c>
      <c r="C987" s="720"/>
      <c r="D987" s="698">
        <f t="shared" si="114"/>
        <v>114770</v>
      </c>
      <c r="E987" s="698">
        <f t="shared" si="117"/>
        <v>110997</v>
      </c>
      <c r="F987" s="967">
        <f>E987/D987*100</f>
        <v>96.71255554587435</v>
      </c>
      <c r="G987" s="720"/>
      <c r="H987" s="698"/>
      <c r="I987" s="746"/>
      <c r="J987" s="703"/>
      <c r="K987" s="698"/>
      <c r="L987" s="704"/>
      <c r="M987" s="720">
        <f>39380+78770-3380</f>
        <v>114770</v>
      </c>
      <c r="N987" s="698">
        <f>110998-1</f>
        <v>110997</v>
      </c>
      <c r="O987" s="744">
        <f t="shared" si="119"/>
        <v>96.71255554587435</v>
      </c>
      <c r="P987" s="698"/>
      <c r="Q987" s="698"/>
      <c r="R987" s="770"/>
    </row>
    <row r="988" spans="1:18" ht="24">
      <c r="A988" s="764">
        <v>4425</v>
      </c>
      <c r="B988" s="828" t="s">
        <v>560</v>
      </c>
      <c r="C988" s="720">
        <v>5200</v>
      </c>
      <c r="D988" s="698">
        <f>G988+J988+P988+M988</f>
        <v>0</v>
      </c>
      <c r="E988" s="698"/>
      <c r="F988" s="967"/>
      <c r="G988" s="720"/>
      <c r="H988" s="698"/>
      <c r="I988" s="746"/>
      <c r="J988" s="703"/>
      <c r="K988" s="698"/>
      <c r="L988" s="704"/>
      <c r="M988" s="720">
        <f>5200-5200</f>
        <v>0</v>
      </c>
      <c r="N988" s="698"/>
      <c r="O988" s="744"/>
      <c r="P988" s="698"/>
      <c r="Q988" s="698"/>
      <c r="R988" s="770"/>
    </row>
    <row r="989" spans="1:18" ht="24">
      <c r="A989" s="764">
        <v>4427</v>
      </c>
      <c r="B989" s="934" t="s">
        <v>560</v>
      </c>
      <c r="C989" s="720"/>
      <c r="D989" s="698">
        <f t="shared" si="114"/>
        <v>4200</v>
      </c>
      <c r="E989" s="698">
        <f aca="true" t="shared" si="120" ref="E989:E1044">SUM(H989+K989+N989+Q989)</f>
        <v>2184</v>
      </c>
      <c r="F989" s="699">
        <f aca="true" t="shared" si="121" ref="F989:F1044">E989/D989*100</f>
        <v>52</v>
      </c>
      <c r="G989" s="720"/>
      <c r="H989" s="698"/>
      <c r="I989" s="746"/>
      <c r="J989" s="703"/>
      <c r="K989" s="698"/>
      <c r="L989" s="704"/>
      <c r="M989" s="720">
        <v>4200</v>
      </c>
      <c r="N989" s="698">
        <f>2184-1+1</f>
        <v>2184</v>
      </c>
      <c r="O989" s="744">
        <f t="shared" si="119"/>
        <v>52</v>
      </c>
      <c r="P989" s="698"/>
      <c r="Q989" s="698"/>
      <c r="R989" s="770"/>
    </row>
    <row r="990" spans="1:20" s="756" customFormat="1" ht="36">
      <c r="A990" s="774"/>
      <c r="B990" s="970" t="s">
        <v>458</v>
      </c>
      <c r="C990" s="776"/>
      <c r="D990" s="777">
        <f t="shared" si="114"/>
        <v>300969</v>
      </c>
      <c r="E990" s="777">
        <f t="shared" si="120"/>
        <v>188953</v>
      </c>
      <c r="F990" s="747">
        <f t="shared" si="121"/>
        <v>62.7815489302885</v>
      </c>
      <c r="G990" s="776"/>
      <c r="H990" s="777"/>
      <c r="I990" s="972"/>
      <c r="J990" s="778"/>
      <c r="K990" s="777"/>
      <c r="L990" s="779"/>
      <c r="M990" s="776">
        <f>SUM(M991:M997)</f>
        <v>300969</v>
      </c>
      <c r="N990" s="777">
        <f>SUM(N991:N997)</f>
        <v>188953</v>
      </c>
      <c r="O990" s="971">
        <f t="shared" si="119"/>
        <v>62.7815489302885</v>
      </c>
      <c r="P990" s="777"/>
      <c r="Q990" s="777"/>
      <c r="R990" s="783"/>
      <c r="S990" s="682"/>
      <c r="T990" s="682"/>
    </row>
    <row r="991" spans="1:18" ht="27.75" customHeight="1">
      <c r="A991" s="764">
        <v>4117</v>
      </c>
      <c r="B991" s="828" t="s">
        <v>207</v>
      </c>
      <c r="C991" s="720"/>
      <c r="D991" s="698">
        <f t="shared" si="114"/>
        <v>310</v>
      </c>
      <c r="E991" s="698">
        <f t="shared" si="120"/>
        <v>308</v>
      </c>
      <c r="F991" s="699">
        <f t="shared" si="121"/>
        <v>99.35483870967742</v>
      </c>
      <c r="G991" s="720"/>
      <c r="H991" s="698"/>
      <c r="I991" s="746"/>
      <c r="J991" s="703"/>
      <c r="K991" s="698"/>
      <c r="L991" s="704"/>
      <c r="M991" s="720">
        <v>310</v>
      </c>
      <c r="N991" s="698">
        <v>308</v>
      </c>
      <c r="O991" s="744">
        <f t="shared" si="119"/>
        <v>99.35483870967742</v>
      </c>
      <c r="P991" s="698"/>
      <c r="Q991" s="698"/>
      <c r="R991" s="770"/>
    </row>
    <row r="992" spans="1:18" ht="11.25" customHeight="1">
      <c r="A992" s="764">
        <v>4127</v>
      </c>
      <c r="B992" s="828" t="s">
        <v>584</v>
      </c>
      <c r="C992" s="720"/>
      <c r="D992" s="698">
        <f t="shared" si="114"/>
        <v>50</v>
      </c>
      <c r="E992" s="698">
        <f t="shared" si="120"/>
        <v>50</v>
      </c>
      <c r="F992" s="699">
        <f t="shared" si="121"/>
        <v>100</v>
      </c>
      <c r="G992" s="720"/>
      <c r="H992" s="698"/>
      <c r="I992" s="746"/>
      <c r="J992" s="703"/>
      <c r="K992" s="698"/>
      <c r="L992" s="704"/>
      <c r="M992" s="720">
        <v>50</v>
      </c>
      <c r="N992" s="698">
        <v>50</v>
      </c>
      <c r="O992" s="744">
        <f t="shared" si="119"/>
        <v>100</v>
      </c>
      <c r="P992" s="698"/>
      <c r="Q992" s="698"/>
      <c r="R992" s="770"/>
    </row>
    <row r="993" spans="1:18" ht="11.25" customHeight="1">
      <c r="A993" s="764">
        <v>4177</v>
      </c>
      <c r="B993" s="828" t="s">
        <v>242</v>
      </c>
      <c r="C993" s="720"/>
      <c r="D993" s="698">
        <f t="shared" si="114"/>
        <v>2040</v>
      </c>
      <c r="E993" s="698">
        <f t="shared" si="120"/>
        <v>2040</v>
      </c>
      <c r="F993" s="699">
        <f t="shared" si="121"/>
        <v>100</v>
      </c>
      <c r="G993" s="720"/>
      <c r="H993" s="698"/>
      <c r="I993" s="746"/>
      <c r="J993" s="703"/>
      <c r="K993" s="698"/>
      <c r="L993" s="704"/>
      <c r="M993" s="720">
        <v>2040</v>
      </c>
      <c r="N993" s="698">
        <v>2040</v>
      </c>
      <c r="O993" s="744">
        <f t="shared" si="119"/>
        <v>100</v>
      </c>
      <c r="P993" s="698"/>
      <c r="Q993" s="698"/>
      <c r="R993" s="770"/>
    </row>
    <row r="994" spans="1:18" ht="11.25" customHeight="1">
      <c r="A994" s="764">
        <v>4217</v>
      </c>
      <c r="B994" s="828" t="s">
        <v>211</v>
      </c>
      <c r="C994" s="720"/>
      <c r="D994" s="698">
        <f t="shared" si="114"/>
        <v>1200</v>
      </c>
      <c r="E994" s="698">
        <f t="shared" si="120"/>
        <v>1200</v>
      </c>
      <c r="F994" s="699">
        <f t="shared" si="121"/>
        <v>100</v>
      </c>
      <c r="G994" s="720"/>
      <c r="H994" s="698"/>
      <c r="I994" s="746"/>
      <c r="J994" s="703"/>
      <c r="K994" s="698"/>
      <c r="L994" s="704"/>
      <c r="M994" s="720">
        <v>1200</v>
      </c>
      <c r="N994" s="698">
        <v>1200</v>
      </c>
      <c r="O994" s="744">
        <f t="shared" si="119"/>
        <v>100</v>
      </c>
      <c r="P994" s="698"/>
      <c r="Q994" s="698"/>
      <c r="R994" s="770"/>
    </row>
    <row r="995" spans="1:18" ht="25.5" customHeight="1">
      <c r="A995" s="764">
        <v>4247</v>
      </c>
      <c r="B995" s="828" t="s">
        <v>459</v>
      </c>
      <c r="C995" s="720"/>
      <c r="D995" s="698">
        <f t="shared" si="114"/>
        <v>800</v>
      </c>
      <c r="E995" s="698">
        <f t="shared" si="120"/>
        <v>0</v>
      </c>
      <c r="F995" s="699">
        <f t="shared" si="121"/>
        <v>0</v>
      </c>
      <c r="G995" s="720"/>
      <c r="H995" s="698"/>
      <c r="I995" s="746"/>
      <c r="J995" s="703"/>
      <c r="K995" s="698"/>
      <c r="L995" s="704"/>
      <c r="M995" s="720">
        <v>800</v>
      </c>
      <c r="N995" s="698"/>
      <c r="O995" s="744">
        <f t="shared" si="119"/>
        <v>0</v>
      </c>
      <c r="P995" s="698"/>
      <c r="Q995" s="698"/>
      <c r="R995" s="770"/>
    </row>
    <row r="996" spans="1:18" ht="15.75" customHeight="1">
      <c r="A996" s="764">
        <v>4307</v>
      </c>
      <c r="B996" s="828" t="s">
        <v>219</v>
      </c>
      <c r="C996" s="720"/>
      <c r="D996" s="698">
        <f t="shared" si="114"/>
        <v>291369</v>
      </c>
      <c r="E996" s="698">
        <f t="shared" si="120"/>
        <v>180688</v>
      </c>
      <c r="F996" s="699">
        <f t="shared" si="121"/>
        <v>62.01346059464116</v>
      </c>
      <c r="G996" s="720"/>
      <c r="H996" s="698"/>
      <c r="I996" s="746"/>
      <c r="J996" s="703"/>
      <c r="K996" s="698"/>
      <c r="L996" s="704"/>
      <c r="M996" s="720">
        <v>291369</v>
      </c>
      <c r="N996" s="698">
        <v>180688</v>
      </c>
      <c r="O996" s="744">
        <f t="shared" si="119"/>
        <v>62.01346059464116</v>
      </c>
      <c r="P996" s="698"/>
      <c r="Q996" s="698"/>
      <c r="R996" s="770"/>
    </row>
    <row r="997" spans="1:18" ht="24">
      <c r="A997" s="764">
        <v>4427</v>
      </c>
      <c r="B997" s="828" t="s">
        <v>560</v>
      </c>
      <c r="C997" s="720"/>
      <c r="D997" s="698">
        <f t="shared" si="114"/>
        <v>5200</v>
      </c>
      <c r="E997" s="698">
        <f t="shared" si="120"/>
        <v>4667</v>
      </c>
      <c r="F997" s="699">
        <f t="shared" si="121"/>
        <v>89.75</v>
      </c>
      <c r="G997" s="720"/>
      <c r="H997" s="698"/>
      <c r="I997" s="746"/>
      <c r="J997" s="703"/>
      <c r="K997" s="698"/>
      <c r="L997" s="704"/>
      <c r="M997" s="720">
        <v>5200</v>
      </c>
      <c r="N997" s="698">
        <v>4667</v>
      </c>
      <c r="O997" s="744">
        <f t="shared" si="119"/>
        <v>89.75</v>
      </c>
      <c r="P997" s="698"/>
      <c r="Q997" s="698"/>
      <c r="R997" s="770"/>
    </row>
    <row r="998" spans="1:20" s="756" customFormat="1" ht="37.5" customHeight="1">
      <c r="A998" s="774"/>
      <c r="B998" s="970" t="s">
        <v>460</v>
      </c>
      <c r="C998" s="776"/>
      <c r="D998" s="777">
        <f t="shared" si="114"/>
        <v>77244</v>
      </c>
      <c r="E998" s="777">
        <f t="shared" si="120"/>
        <v>17109</v>
      </c>
      <c r="F998" s="699">
        <f t="shared" si="121"/>
        <v>22.149293148982448</v>
      </c>
      <c r="G998" s="776"/>
      <c r="H998" s="777"/>
      <c r="I998" s="972"/>
      <c r="J998" s="778"/>
      <c r="K998" s="777"/>
      <c r="L998" s="779"/>
      <c r="M998" s="776">
        <f>SUM(M999:M1004)</f>
        <v>77244</v>
      </c>
      <c r="N998" s="777">
        <f>SUM(N999:N1004)</f>
        <v>17109</v>
      </c>
      <c r="O998" s="744">
        <f t="shared" si="119"/>
        <v>22.149293148982448</v>
      </c>
      <c r="P998" s="777"/>
      <c r="Q998" s="777"/>
      <c r="R998" s="783"/>
      <c r="S998" s="682"/>
      <c r="T998" s="682"/>
    </row>
    <row r="999" spans="1:18" ht="24">
      <c r="A999" s="764">
        <v>4217</v>
      </c>
      <c r="B999" s="828" t="s">
        <v>211</v>
      </c>
      <c r="C999" s="720"/>
      <c r="D999" s="698">
        <f t="shared" si="114"/>
        <v>3380</v>
      </c>
      <c r="E999" s="698">
        <f t="shared" si="120"/>
        <v>517</v>
      </c>
      <c r="F999" s="699">
        <f t="shared" si="121"/>
        <v>15.29585798816568</v>
      </c>
      <c r="G999" s="720"/>
      <c r="H999" s="698"/>
      <c r="I999" s="746"/>
      <c r="J999" s="703"/>
      <c r="K999" s="698"/>
      <c r="L999" s="704"/>
      <c r="M999" s="720">
        <f>3400-20</f>
        <v>3380</v>
      </c>
      <c r="N999" s="698">
        <v>517</v>
      </c>
      <c r="O999" s="744">
        <f t="shared" si="119"/>
        <v>15.29585798816568</v>
      </c>
      <c r="P999" s="698"/>
      <c r="Q999" s="698"/>
      <c r="R999" s="770"/>
    </row>
    <row r="1000" spans="1:18" ht="26.25" customHeight="1">
      <c r="A1000" s="764">
        <v>4247</v>
      </c>
      <c r="B1000" s="828" t="s">
        <v>459</v>
      </c>
      <c r="C1000" s="720"/>
      <c r="D1000" s="698">
        <f t="shared" si="114"/>
        <v>5020</v>
      </c>
      <c r="E1000" s="698">
        <f t="shared" si="120"/>
        <v>3632</v>
      </c>
      <c r="F1000" s="699">
        <f t="shared" si="121"/>
        <v>72.35059760956175</v>
      </c>
      <c r="G1000" s="720"/>
      <c r="H1000" s="698"/>
      <c r="I1000" s="746"/>
      <c r="J1000" s="703"/>
      <c r="K1000" s="698"/>
      <c r="L1000" s="704"/>
      <c r="M1000" s="720">
        <f>5000+20</f>
        <v>5020</v>
      </c>
      <c r="N1000" s="698">
        <v>3632</v>
      </c>
      <c r="O1000" s="744">
        <f t="shared" si="119"/>
        <v>72.35059760956175</v>
      </c>
      <c r="P1000" s="698"/>
      <c r="Q1000" s="698"/>
      <c r="R1000" s="770"/>
    </row>
    <row r="1001" spans="1:18" ht="15" customHeight="1">
      <c r="A1001" s="764">
        <v>4307</v>
      </c>
      <c r="B1001" s="828" t="s">
        <v>219</v>
      </c>
      <c r="C1001" s="720"/>
      <c r="D1001" s="698">
        <f t="shared" si="114"/>
        <v>9500</v>
      </c>
      <c r="E1001" s="698">
        <f t="shared" si="120"/>
        <v>20</v>
      </c>
      <c r="F1001" s="699">
        <f t="shared" si="121"/>
        <v>0.21052631578947367</v>
      </c>
      <c r="G1001" s="720"/>
      <c r="H1001" s="698"/>
      <c r="I1001" s="746"/>
      <c r="J1001" s="703"/>
      <c r="K1001" s="698"/>
      <c r="L1001" s="704"/>
      <c r="M1001" s="720">
        <v>9500</v>
      </c>
      <c r="N1001" s="698">
        <f>19+1</f>
        <v>20</v>
      </c>
      <c r="O1001" s="744">
        <f t="shared" si="119"/>
        <v>0.21052631578947367</v>
      </c>
      <c r="P1001" s="698"/>
      <c r="Q1001" s="698"/>
      <c r="R1001" s="770"/>
    </row>
    <row r="1002" spans="1:18" ht="24">
      <c r="A1002" s="764">
        <v>4417</v>
      </c>
      <c r="B1002" s="828" t="s">
        <v>193</v>
      </c>
      <c r="C1002" s="720"/>
      <c r="D1002" s="698">
        <f t="shared" si="114"/>
        <v>4000</v>
      </c>
      <c r="E1002" s="698">
        <f t="shared" si="120"/>
        <v>1040</v>
      </c>
      <c r="F1002" s="699">
        <f t="shared" si="121"/>
        <v>26</v>
      </c>
      <c r="G1002" s="720"/>
      <c r="H1002" s="698"/>
      <c r="I1002" s="746"/>
      <c r="J1002" s="703"/>
      <c r="K1002" s="698"/>
      <c r="L1002" s="704"/>
      <c r="M1002" s="720">
        <v>4000</v>
      </c>
      <c r="N1002" s="698">
        <f>1041-1</f>
        <v>1040</v>
      </c>
      <c r="O1002" s="744">
        <f t="shared" si="119"/>
        <v>26</v>
      </c>
      <c r="P1002" s="698"/>
      <c r="Q1002" s="698"/>
      <c r="R1002" s="770"/>
    </row>
    <row r="1003" spans="1:18" ht="24">
      <c r="A1003" s="764">
        <v>4427</v>
      </c>
      <c r="B1003" s="828" t="s">
        <v>560</v>
      </c>
      <c r="C1003" s="720"/>
      <c r="D1003" s="698">
        <f t="shared" si="114"/>
        <v>53344</v>
      </c>
      <c r="E1003" s="698">
        <f t="shared" si="120"/>
        <v>11768</v>
      </c>
      <c r="F1003" s="699">
        <f t="shared" si="121"/>
        <v>22.060587882423516</v>
      </c>
      <c r="G1003" s="720"/>
      <c r="H1003" s="698"/>
      <c r="I1003" s="746"/>
      <c r="J1003" s="703"/>
      <c r="K1003" s="698"/>
      <c r="L1003" s="704"/>
      <c r="M1003" s="720">
        <v>53344</v>
      </c>
      <c r="N1003" s="698">
        <v>11768</v>
      </c>
      <c r="O1003" s="744">
        <f t="shared" si="119"/>
        <v>22.060587882423516</v>
      </c>
      <c r="P1003" s="698"/>
      <c r="Q1003" s="698"/>
      <c r="R1003" s="770"/>
    </row>
    <row r="1004" spans="1:18" ht="12.75">
      <c r="A1004" s="764">
        <v>4437</v>
      </c>
      <c r="B1004" s="828" t="s">
        <v>221</v>
      </c>
      <c r="C1004" s="720"/>
      <c r="D1004" s="698">
        <f t="shared" si="114"/>
        <v>2000</v>
      </c>
      <c r="E1004" s="698">
        <f t="shared" si="120"/>
        <v>132</v>
      </c>
      <c r="F1004" s="699">
        <f t="shared" si="121"/>
        <v>6.6000000000000005</v>
      </c>
      <c r="G1004" s="720"/>
      <c r="H1004" s="698"/>
      <c r="I1004" s="746"/>
      <c r="J1004" s="703"/>
      <c r="K1004" s="698"/>
      <c r="L1004" s="704"/>
      <c r="M1004" s="720">
        <v>2000</v>
      </c>
      <c r="N1004" s="698">
        <v>132</v>
      </c>
      <c r="O1004" s="744">
        <f t="shared" si="119"/>
        <v>6.6000000000000005</v>
      </c>
      <c r="P1004" s="698"/>
      <c r="Q1004" s="698"/>
      <c r="R1004" s="770"/>
    </row>
    <row r="1005" spans="1:20" s="756" customFormat="1" ht="48">
      <c r="A1005" s="774"/>
      <c r="B1005" s="970" t="s">
        <v>461</v>
      </c>
      <c r="C1005" s="776"/>
      <c r="D1005" s="777">
        <f t="shared" si="114"/>
        <v>78667</v>
      </c>
      <c r="E1005" s="777">
        <f t="shared" si="120"/>
        <v>8500</v>
      </c>
      <c r="F1005" s="747">
        <f t="shared" si="121"/>
        <v>10.805038961699315</v>
      </c>
      <c r="G1005" s="776">
        <f>SUM(G1006:G1011)</f>
        <v>78667</v>
      </c>
      <c r="H1005" s="777">
        <f>SUM(H1006:H1011)</f>
        <v>8500</v>
      </c>
      <c r="I1005" s="972">
        <f aca="true" t="shared" si="122" ref="I1005:I1053">H1005/G1005*100</f>
        <v>10.805038961699315</v>
      </c>
      <c r="J1005" s="778"/>
      <c r="K1005" s="777"/>
      <c r="L1005" s="779"/>
      <c r="M1005" s="776"/>
      <c r="N1005" s="777"/>
      <c r="O1005" s="971"/>
      <c r="P1005" s="777"/>
      <c r="Q1005" s="777"/>
      <c r="R1005" s="783"/>
      <c r="S1005" s="682"/>
      <c r="T1005" s="682"/>
    </row>
    <row r="1006" spans="1:18" ht="24">
      <c r="A1006" s="764">
        <v>4217</v>
      </c>
      <c r="B1006" s="768" t="s">
        <v>211</v>
      </c>
      <c r="C1006" s="720"/>
      <c r="D1006" s="698">
        <f t="shared" si="114"/>
        <v>7895</v>
      </c>
      <c r="E1006" s="698">
        <f t="shared" si="120"/>
        <v>4000</v>
      </c>
      <c r="F1006" s="699">
        <f t="shared" si="121"/>
        <v>50.664977834072204</v>
      </c>
      <c r="G1006" s="720">
        <v>7895</v>
      </c>
      <c r="H1006" s="698">
        <v>4000</v>
      </c>
      <c r="I1006" s="746">
        <f t="shared" si="122"/>
        <v>50.664977834072204</v>
      </c>
      <c r="J1006" s="703"/>
      <c r="K1006" s="698"/>
      <c r="L1006" s="704"/>
      <c r="M1006" s="720"/>
      <c r="N1006" s="698"/>
      <c r="O1006" s="744"/>
      <c r="P1006" s="698"/>
      <c r="Q1006" s="698"/>
      <c r="R1006" s="770"/>
    </row>
    <row r="1007" spans="1:18" ht="29.25" customHeight="1">
      <c r="A1007" s="764">
        <v>4247</v>
      </c>
      <c r="B1007" s="828" t="s">
        <v>459</v>
      </c>
      <c r="C1007" s="720"/>
      <c r="D1007" s="698">
        <f t="shared" si="114"/>
        <v>1000</v>
      </c>
      <c r="E1007" s="698">
        <f t="shared" si="120"/>
        <v>500</v>
      </c>
      <c r="F1007" s="699">
        <f t="shared" si="121"/>
        <v>50</v>
      </c>
      <c r="G1007" s="720">
        <v>1000</v>
      </c>
      <c r="H1007" s="698">
        <v>500</v>
      </c>
      <c r="I1007" s="746">
        <f t="shared" si="122"/>
        <v>50</v>
      </c>
      <c r="J1007" s="703"/>
      <c r="K1007" s="698"/>
      <c r="L1007" s="704"/>
      <c r="M1007" s="720"/>
      <c r="N1007" s="698"/>
      <c r="O1007" s="744"/>
      <c r="P1007" s="698"/>
      <c r="Q1007" s="698"/>
      <c r="R1007" s="770"/>
    </row>
    <row r="1008" spans="1:18" ht="15.75" customHeight="1">
      <c r="A1008" s="764">
        <v>4307</v>
      </c>
      <c r="B1008" s="768" t="s">
        <v>219</v>
      </c>
      <c r="C1008" s="720"/>
      <c r="D1008" s="698">
        <f t="shared" si="114"/>
        <v>5000</v>
      </c>
      <c r="E1008" s="698">
        <f t="shared" si="120"/>
        <v>4000</v>
      </c>
      <c r="F1008" s="699">
        <f t="shared" si="121"/>
        <v>80</v>
      </c>
      <c r="G1008" s="720">
        <v>5000</v>
      </c>
      <c r="H1008" s="698">
        <v>4000</v>
      </c>
      <c r="I1008" s="746">
        <f t="shared" si="122"/>
        <v>80</v>
      </c>
      <c r="J1008" s="703"/>
      <c r="K1008" s="698"/>
      <c r="L1008" s="704"/>
      <c r="M1008" s="720"/>
      <c r="N1008" s="698"/>
      <c r="O1008" s="744"/>
      <c r="P1008" s="698"/>
      <c r="Q1008" s="698"/>
      <c r="R1008" s="770"/>
    </row>
    <row r="1009" spans="1:18" ht="24">
      <c r="A1009" s="764">
        <v>4427</v>
      </c>
      <c r="B1009" s="828" t="s">
        <v>560</v>
      </c>
      <c r="C1009" s="720"/>
      <c r="D1009" s="698">
        <f t="shared" si="114"/>
        <v>63672</v>
      </c>
      <c r="E1009" s="698">
        <f t="shared" si="120"/>
        <v>0</v>
      </c>
      <c r="F1009" s="699">
        <f t="shared" si="121"/>
        <v>0</v>
      </c>
      <c r="G1009" s="720">
        <v>63672</v>
      </c>
      <c r="H1009" s="698"/>
      <c r="I1009" s="746">
        <f t="shared" si="122"/>
        <v>0</v>
      </c>
      <c r="J1009" s="703"/>
      <c r="K1009" s="698"/>
      <c r="L1009" s="704"/>
      <c r="M1009" s="720"/>
      <c r="N1009" s="698"/>
      <c r="O1009" s="744"/>
      <c r="P1009" s="698"/>
      <c r="Q1009" s="698"/>
      <c r="R1009" s="770"/>
    </row>
    <row r="1010" spans="1:18" ht="12.75">
      <c r="A1010" s="764">
        <v>4437</v>
      </c>
      <c r="B1010" s="828" t="s">
        <v>221</v>
      </c>
      <c r="C1010" s="720"/>
      <c r="D1010" s="698">
        <f t="shared" si="114"/>
        <v>600</v>
      </c>
      <c r="E1010" s="698">
        <f t="shared" si="120"/>
        <v>0</v>
      </c>
      <c r="F1010" s="699">
        <f t="shared" si="121"/>
        <v>0</v>
      </c>
      <c r="G1010" s="720">
        <v>600</v>
      </c>
      <c r="H1010" s="698"/>
      <c r="I1010" s="746">
        <f t="shared" si="122"/>
        <v>0</v>
      </c>
      <c r="J1010" s="703"/>
      <c r="K1010" s="698"/>
      <c r="L1010" s="704"/>
      <c r="M1010" s="720"/>
      <c r="N1010" s="698"/>
      <c r="O1010" s="744"/>
      <c r="P1010" s="698"/>
      <c r="Q1010" s="698"/>
      <c r="R1010" s="770"/>
    </row>
    <row r="1011" spans="1:18" ht="36">
      <c r="A1011" s="764">
        <v>4757</v>
      </c>
      <c r="B1011" s="828" t="s">
        <v>551</v>
      </c>
      <c r="C1011" s="720"/>
      <c r="D1011" s="698">
        <f t="shared" si="114"/>
        <v>500</v>
      </c>
      <c r="E1011" s="698">
        <f t="shared" si="120"/>
        <v>0</v>
      </c>
      <c r="F1011" s="699">
        <f t="shared" si="121"/>
        <v>0</v>
      </c>
      <c r="G1011" s="720">
        <v>500</v>
      </c>
      <c r="H1011" s="698"/>
      <c r="I1011" s="746">
        <f t="shared" si="122"/>
        <v>0</v>
      </c>
      <c r="J1011" s="703"/>
      <c r="K1011" s="698"/>
      <c r="L1011" s="704"/>
      <c r="M1011" s="720"/>
      <c r="N1011" s="698"/>
      <c r="O1011" s="744"/>
      <c r="P1011" s="698"/>
      <c r="Q1011" s="698"/>
      <c r="R1011" s="770"/>
    </row>
    <row r="1012" spans="1:20" s="756" customFormat="1" ht="108">
      <c r="A1012" s="774"/>
      <c r="B1012" s="970" t="s">
        <v>462</v>
      </c>
      <c r="C1012" s="776"/>
      <c r="D1012" s="777">
        <f t="shared" si="114"/>
        <v>78667</v>
      </c>
      <c r="E1012" s="777">
        <f t="shared" si="120"/>
        <v>20367</v>
      </c>
      <c r="F1012" s="967">
        <f t="shared" si="121"/>
        <v>25.890144533285874</v>
      </c>
      <c r="G1012" s="776">
        <f>SUM(G1013:G1018)</f>
        <v>78667</v>
      </c>
      <c r="H1012" s="777">
        <f>SUM(H1013:H1018)</f>
        <v>20367</v>
      </c>
      <c r="I1012" s="746">
        <f t="shared" si="122"/>
        <v>25.890144533285874</v>
      </c>
      <c r="J1012" s="778"/>
      <c r="K1012" s="777"/>
      <c r="L1012" s="779"/>
      <c r="M1012" s="776"/>
      <c r="N1012" s="777"/>
      <c r="O1012" s="971"/>
      <c r="P1012" s="777"/>
      <c r="Q1012" s="777"/>
      <c r="R1012" s="783"/>
      <c r="S1012" s="682"/>
      <c r="T1012" s="682"/>
    </row>
    <row r="1013" spans="1:18" ht="24">
      <c r="A1013" s="764">
        <v>4217</v>
      </c>
      <c r="B1013" s="768" t="s">
        <v>211</v>
      </c>
      <c r="C1013" s="720"/>
      <c r="D1013" s="698">
        <f t="shared" si="114"/>
        <v>6713</v>
      </c>
      <c r="E1013" s="698">
        <f t="shared" si="120"/>
        <v>3918</v>
      </c>
      <c r="F1013" s="967">
        <f t="shared" si="121"/>
        <v>58.36436764486817</v>
      </c>
      <c r="G1013" s="720">
        <f>6795-82</f>
        <v>6713</v>
      </c>
      <c r="H1013" s="698">
        <v>3918</v>
      </c>
      <c r="I1013" s="699">
        <f t="shared" si="122"/>
        <v>58.36436764486817</v>
      </c>
      <c r="J1013" s="703"/>
      <c r="K1013" s="698"/>
      <c r="L1013" s="704"/>
      <c r="M1013" s="720"/>
      <c r="N1013" s="698"/>
      <c r="O1013" s="744"/>
      <c r="P1013" s="698"/>
      <c r="Q1013" s="698"/>
      <c r="R1013" s="770"/>
    </row>
    <row r="1014" spans="1:18" ht="26.25" customHeight="1">
      <c r="A1014" s="764">
        <v>4247</v>
      </c>
      <c r="B1014" s="828" t="s">
        <v>459</v>
      </c>
      <c r="C1014" s="720"/>
      <c r="D1014" s="698">
        <f>G1014+J1014+P1014+M1014</f>
        <v>1952</v>
      </c>
      <c r="E1014" s="698">
        <f t="shared" si="120"/>
        <v>102</v>
      </c>
      <c r="F1014" s="967">
        <f t="shared" si="121"/>
        <v>5.225409836065574</v>
      </c>
      <c r="G1014" s="720">
        <f>2000-48</f>
        <v>1952</v>
      </c>
      <c r="H1014" s="698">
        <v>102</v>
      </c>
      <c r="I1014" s="699">
        <f t="shared" si="122"/>
        <v>5.225409836065574</v>
      </c>
      <c r="J1014" s="703"/>
      <c r="K1014" s="698"/>
      <c r="L1014" s="704"/>
      <c r="M1014" s="720"/>
      <c r="N1014" s="698"/>
      <c r="O1014" s="744"/>
      <c r="P1014" s="698"/>
      <c r="Q1014" s="698"/>
      <c r="R1014" s="770"/>
    </row>
    <row r="1015" spans="1:18" ht="15" customHeight="1">
      <c r="A1015" s="764">
        <v>4307</v>
      </c>
      <c r="B1015" s="768" t="s">
        <v>219</v>
      </c>
      <c r="C1015" s="720"/>
      <c r="D1015" s="698">
        <f>G1015+J1015+P1015+M1015</f>
        <v>4890</v>
      </c>
      <c r="E1015" s="698">
        <f t="shared" si="120"/>
        <v>288</v>
      </c>
      <c r="F1015" s="967">
        <f t="shared" si="121"/>
        <v>5.889570552147239</v>
      </c>
      <c r="G1015" s="720">
        <f>5000-110</f>
        <v>4890</v>
      </c>
      <c r="H1015" s="698">
        <v>288</v>
      </c>
      <c r="I1015" s="699">
        <f t="shared" si="122"/>
        <v>5.889570552147239</v>
      </c>
      <c r="J1015" s="703"/>
      <c r="K1015" s="698"/>
      <c r="L1015" s="704"/>
      <c r="M1015" s="720"/>
      <c r="N1015" s="698"/>
      <c r="O1015" s="744"/>
      <c r="P1015" s="698"/>
      <c r="Q1015" s="698"/>
      <c r="R1015" s="770"/>
    </row>
    <row r="1016" spans="1:18" ht="24">
      <c r="A1016" s="764">
        <v>4427</v>
      </c>
      <c r="B1016" s="828" t="s">
        <v>560</v>
      </c>
      <c r="C1016" s="720"/>
      <c r="D1016" s="698">
        <f>G1016+J1016+P1016+M1016</f>
        <v>63912</v>
      </c>
      <c r="E1016" s="698">
        <f t="shared" si="120"/>
        <v>15440</v>
      </c>
      <c r="F1016" s="967">
        <f t="shared" si="121"/>
        <v>24.158217549130054</v>
      </c>
      <c r="G1016" s="720">
        <f>63672+240</f>
        <v>63912</v>
      </c>
      <c r="H1016" s="698">
        <v>15440</v>
      </c>
      <c r="I1016" s="699">
        <f t="shared" si="122"/>
        <v>24.158217549130054</v>
      </c>
      <c r="J1016" s="703"/>
      <c r="K1016" s="698"/>
      <c r="L1016" s="704"/>
      <c r="M1016" s="720"/>
      <c r="N1016" s="698"/>
      <c r="O1016" s="744"/>
      <c r="P1016" s="698"/>
      <c r="Q1016" s="698"/>
      <c r="R1016" s="770"/>
    </row>
    <row r="1017" spans="1:18" ht="12.75">
      <c r="A1017" s="764">
        <v>4437</v>
      </c>
      <c r="B1017" s="828" t="s">
        <v>221</v>
      </c>
      <c r="C1017" s="720"/>
      <c r="D1017" s="698">
        <f>G1017+J1017+P1017+M1017</f>
        <v>700</v>
      </c>
      <c r="E1017" s="698">
        <f t="shared" si="120"/>
        <v>119</v>
      </c>
      <c r="F1017" s="967">
        <f t="shared" si="121"/>
        <v>17</v>
      </c>
      <c r="G1017" s="720">
        <v>700</v>
      </c>
      <c r="H1017" s="698">
        <v>119</v>
      </c>
      <c r="I1017" s="699">
        <f t="shared" si="122"/>
        <v>17</v>
      </c>
      <c r="J1017" s="703"/>
      <c r="K1017" s="698"/>
      <c r="L1017" s="704"/>
      <c r="M1017" s="720"/>
      <c r="N1017" s="698"/>
      <c r="O1017" s="744"/>
      <c r="P1017" s="698"/>
      <c r="Q1017" s="698"/>
      <c r="R1017" s="770"/>
    </row>
    <row r="1018" spans="1:18" ht="36">
      <c r="A1018" s="764">
        <v>4757</v>
      </c>
      <c r="B1018" s="828" t="s">
        <v>551</v>
      </c>
      <c r="C1018" s="720"/>
      <c r="D1018" s="698">
        <f t="shared" si="114"/>
        <v>500</v>
      </c>
      <c r="E1018" s="698">
        <f t="shared" si="120"/>
        <v>500</v>
      </c>
      <c r="F1018" s="967">
        <f t="shared" si="121"/>
        <v>100</v>
      </c>
      <c r="G1018" s="720">
        <v>500</v>
      </c>
      <c r="H1018" s="698">
        <v>500</v>
      </c>
      <c r="I1018" s="699">
        <f t="shared" si="122"/>
        <v>100</v>
      </c>
      <c r="J1018" s="703"/>
      <c r="K1018" s="698"/>
      <c r="L1018" s="704"/>
      <c r="M1018" s="720"/>
      <c r="N1018" s="698"/>
      <c r="O1018" s="744"/>
      <c r="P1018" s="698"/>
      <c r="Q1018" s="698"/>
      <c r="R1018" s="770"/>
    </row>
    <row r="1019" spans="1:20" s="756" customFormat="1" ht="98.25" customHeight="1">
      <c r="A1019" s="774"/>
      <c r="B1019" s="970" t="s">
        <v>463</v>
      </c>
      <c r="C1019" s="776"/>
      <c r="D1019" s="777">
        <f t="shared" si="114"/>
        <v>48278</v>
      </c>
      <c r="E1019" s="777">
        <f t="shared" si="120"/>
        <v>10789</v>
      </c>
      <c r="F1019" s="973">
        <f t="shared" si="121"/>
        <v>22.347653175359376</v>
      </c>
      <c r="G1019" s="776">
        <f>SUM(G1020:G1024)</f>
        <v>48278</v>
      </c>
      <c r="H1019" s="777">
        <f>SUM(H1020:H1024)</f>
        <v>10789</v>
      </c>
      <c r="I1019" s="972">
        <f t="shared" si="122"/>
        <v>22.347653175359376</v>
      </c>
      <c r="J1019" s="778"/>
      <c r="K1019" s="777"/>
      <c r="L1019" s="779"/>
      <c r="M1019" s="776"/>
      <c r="N1019" s="777"/>
      <c r="O1019" s="971"/>
      <c r="P1019" s="777"/>
      <c r="Q1019" s="777"/>
      <c r="R1019" s="783"/>
      <c r="S1019" s="682"/>
      <c r="T1019" s="682"/>
    </row>
    <row r="1020" spans="1:18" ht="24">
      <c r="A1020" s="764">
        <v>4217</v>
      </c>
      <c r="B1020" s="768" t="s">
        <v>211</v>
      </c>
      <c r="C1020" s="720"/>
      <c r="D1020" s="698">
        <f t="shared" si="114"/>
        <v>500</v>
      </c>
      <c r="E1020" s="698">
        <f t="shared" si="120"/>
        <v>424</v>
      </c>
      <c r="F1020" s="967">
        <f t="shared" si="121"/>
        <v>84.8</v>
      </c>
      <c r="G1020" s="720">
        <v>500</v>
      </c>
      <c r="H1020" s="698">
        <v>424</v>
      </c>
      <c r="I1020" s="746">
        <f t="shared" si="122"/>
        <v>84.8</v>
      </c>
      <c r="J1020" s="703"/>
      <c r="K1020" s="698"/>
      <c r="L1020" s="704"/>
      <c r="M1020" s="720"/>
      <c r="N1020" s="698"/>
      <c r="O1020" s="744"/>
      <c r="P1020" s="698"/>
      <c r="Q1020" s="698"/>
      <c r="R1020" s="770"/>
    </row>
    <row r="1021" spans="1:18" ht="15" customHeight="1">
      <c r="A1021" s="764">
        <v>4307</v>
      </c>
      <c r="B1021" s="768" t="s">
        <v>219</v>
      </c>
      <c r="C1021" s="720"/>
      <c r="D1021" s="698">
        <f t="shared" si="114"/>
        <v>13000</v>
      </c>
      <c r="E1021" s="698">
        <f t="shared" si="120"/>
        <v>1280</v>
      </c>
      <c r="F1021" s="967">
        <f t="shared" si="121"/>
        <v>9.846153846153847</v>
      </c>
      <c r="G1021" s="720">
        <v>13000</v>
      </c>
      <c r="H1021" s="698">
        <v>1280</v>
      </c>
      <c r="I1021" s="746">
        <f t="shared" si="122"/>
        <v>9.846153846153847</v>
      </c>
      <c r="J1021" s="703"/>
      <c r="K1021" s="698"/>
      <c r="L1021" s="704"/>
      <c r="M1021" s="720"/>
      <c r="N1021" s="698"/>
      <c r="O1021" s="744"/>
      <c r="P1021" s="698"/>
      <c r="Q1021" s="698"/>
      <c r="R1021" s="770"/>
    </row>
    <row r="1022" spans="1:18" ht="24">
      <c r="A1022" s="764">
        <v>4427</v>
      </c>
      <c r="B1022" s="828" t="s">
        <v>560</v>
      </c>
      <c r="C1022" s="720"/>
      <c r="D1022" s="698">
        <f t="shared" si="114"/>
        <v>33028</v>
      </c>
      <c r="E1022" s="698">
        <f t="shared" si="120"/>
        <v>8952</v>
      </c>
      <c r="F1022" s="967">
        <f t="shared" si="121"/>
        <v>27.104275160469903</v>
      </c>
      <c r="G1022" s="720">
        <v>33028</v>
      </c>
      <c r="H1022" s="698">
        <v>8952</v>
      </c>
      <c r="I1022" s="746">
        <f t="shared" si="122"/>
        <v>27.104275160469903</v>
      </c>
      <c r="J1022" s="703"/>
      <c r="K1022" s="698"/>
      <c r="L1022" s="704"/>
      <c r="M1022" s="720"/>
      <c r="N1022" s="698"/>
      <c r="O1022" s="744"/>
      <c r="P1022" s="698"/>
      <c r="Q1022" s="698"/>
      <c r="R1022" s="770"/>
    </row>
    <row r="1023" spans="1:18" ht="12.75">
      <c r="A1023" s="764">
        <v>4437</v>
      </c>
      <c r="B1023" s="828" t="s">
        <v>221</v>
      </c>
      <c r="C1023" s="720"/>
      <c r="D1023" s="698">
        <f t="shared" si="114"/>
        <v>800</v>
      </c>
      <c r="E1023" s="698">
        <f t="shared" si="120"/>
        <v>133</v>
      </c>
      <c r="F1023" s="967">
        <f t="shared" si="121"/>
        <v>16.625</v>
      </c>
      <c r="G1023" s="720">
        <v>800</v>
      </c>
      <c r="H1023" s="698">
        <v>133</v>
      </c>
      <c r="I1023" s="746">
        <f t="shared" si="122"/>
        <v>16.625</v>
      </c>
      <c r="J1023" s="703"/>
      <c r="K1023" s="698"/>
      <c r="L1023" s="704"/>
      <c r="M1023" s="720"/>
      <c r="N1023" s="698"/>
      <c r="O1023" s="744"/>
      <c r="P1023" s="698"/>
      <c r="Q1023" s="698"/>
      <c r="R1023" s="770"/>
    </row>
    <row r="1024" spans="1:18" ht="36">
      <c r="A1024" s="764">
        <v>4757</v>
      </c>
      <c r="B1024" s="828" t="s">
        <v>551</v>
      </c>
      <c r="C1024" s="720"/>
      <c r="D1024" s="698">
        <f t="shared" si="114"/>
        <v>950</v>
      </c>
      <c r="E1024" s="698">
        <f t="shared" si="120"/>
        <v>0</v>
      </c>
      <c r="F1024" s="967">
        <f t="shared" si="121"/>
        <v>0</v>
      </c>
      <c r="G1024" s="720">
        <v>950</v>
      </c>
      <c r="H1024" s="698"/>
      <c r="I1024" s="746">
        <f t="shared" si="122"/>
        <v>0</v>
      </c>
      <c r="J1024" s="703"/>
      <c r="K1024" s="698"/>
      <c r="L1024" s="704"/>
      <c r="M1024" s="720"/>
      <c r="N1024" s="698"/>
      <c r="O1024" s="744"/>
      <c r="P1024" s="698"/>
      <c r="Q1024" s="698"/>
      <c r="R1024" s="770"/>
    </row>
    <row r="1025" spans="1:18" ht="33.75" customHeight="1">
      <c r="A1025" s="774"/>
      <c r="B1025" s="970" t="s">
        <v>464</v>
      </c>
      <c r="C1025" s="720"/>
      <c r="D1025" s="777">
        <f>G1025+J1025+P1025+M1025</f>
        <v>2500</v>
      </c>
      <c r="E1025" s="777">
        <f t="shared" si="120"/>
        <v>790</v>
      </c>
      <c r="F1025" s="973">
        <f t="shared" si="121"/>
        <v>31.6</v>
      </c>
      <c r="G1025" s="776">
        <f>SUM(G1026:G1027)</f>
        <v>2500</v>
      </c>
      <c r="H1025" s="777">
        <f>SUM(H1026:H1027)</f>
        <v>790</v>
      </c>
      <c r="I1025" s="972">
        <f t="shared" si="122"/>
        <v>31.6</v>
      </c>
      <c r="J1025" s="703"/>
      <c r="K1025" s="698"/>
      <c r="L1025" s="704"/>
      <c r="M1025" s="720"/>
      <c r="N1025" s="698"/>
      <c r="O1025" s="744"/>
      <c r="P1025" s="698"/>
      <c r="Q1025" s="698"/>
      <c r="R1025" s="770"/>
    </row>
    <row r="1026" spans="1:18" ht="24">
      <c r="A1026" s="764">
        <v>4427</v>
      </c>
      <c r="B1026" s="828" t="s">
        <v>560</v>
      </c>
      <c r="C1026" s="720"/>
      <c r="D1026" s="698">
        <f>G1026+J1026+P1026+M1026</f>
        <v>2134</v>
      </c>
      <c r="E1026" s="698">
        <f t="shared" si="120"/>
        <v>701</v>
      </c>
      <c r="F1026" s="967">
        <f t="shared" si="121"/>
        <v>32.84910965323336</v>
      </c>
      <c r="G1026" s="720">
        <v>2134</v>
      </c>
      <c r="H1026" s="698">
        <v>701</v>
      </c>
      <c r="I1026" s="746">
        <f t="shared" si="122"/>
        <v>32.84910965323336</v>
      </c>
      <c r="J1026" s="703"/>
      <c r="K1026" s="698"/>
      <c r="L1026" s="704"/>
      <c r="M1026" s="720"/>
      <c r="N1026" s="698"/>
      <c r="O1026" s="744"/>
      <c r="P1026" s="698"/>
      <c r="Q1026" s="698"/>
      <c r="R1026" s="770"/>
    </row>
    <row r="1027" spans="1:18" ht="12.75">
      <c r="A1027" s="764">
        <v>4437</v>
      </c>
      <c r="B1027" s="828" t="s">
        <v>221</v>
      </c>
      <c r="C1027" s="720"/>
      <c r="D1027" s="698">
        <f>G1027+J1027+P1027+M1027</f>
        <v>366</v>
      </c>
      <c r="E1027" s="698">
        <f t="shared" si="120"/>
        <v>89</v>
      </c>
      <c r="F1027" s="967">
        <f t="shared" si="121"/>
        <v>24.316939890710383</v>
      </c>
      <c r="G1027" s="720">
        <v>366</v>
      </c>
      <c r="H1027" s="698">
        <v>89</v>
      </c>
      <c r="I1027" s="746">
        <f t="shared" si="122"/>
        <v>24.316939890710383</v>
      </c>
      <c r="J1027" s="703"/>
      <c r="K1027" s="698"/>
      <c r="L1027" s="704"/>
      <c r="M1027" s="720"/>
      <c r="N1027" s="698"/>
      <c r="O1027" s="744"/>
      <c r="P1027" s="698"/>
      <c r="Q1027" s="698"/>
      <c r="R1027" s="770"/>
    </row>
    <row r="1028" spans="1:20" s="756" customFormat="1" ht="48">
      <c r="A1028" s="774"/>
      <c r="B1028" s="848" t="s">
        <v>465</v>
      </c>
      <c r="C1028" s="776"/>
      <c r="D1028" s="777">
        <f t="shared" si="114"/>
        <v>364356</v>
      </c>
      <c r="E1028" s="777">
        <f t="shared" si="120"/>
        <v>291905</v>
      </c>
      <c r="F1028" s="973">
        <f t="shared" si="121"/>
        <v>80.11532676832547</v>
      </c>
      <c r="G1028" s="776">
        <f>SUM(G1029:G1045)</f>
        <v>364356</v>
      </c>
      <c r="H1028" s="777">
        <f>SUM(H1029:H1045)</f>
        <v>291905</v>
      </c>
      <c r="I1028" s="972">
        <f t="shared" si="122"/>
        <v>80.11532676832547</v>
      </c>
      <c r="J1028" s="778"/>
      <c r="K1028" s="777"/>
      <c r="L1028" s="779"/>
      <c r="M1028" s="776"/>
      <c r="N1028" s="777"/>
      <c r="O1028" s="971"/>
      <c r="P1028" s="777"/>
      <c r="Q1028" s="777"/>
      <c r="R1028" s="783"/>
      <c r="S1028" s="682"/>
      <c r="T1028" s="682"/>
    </row>
    <row r="1029" spans="1:18" ht="27" customHeight="1">
      <c r="A1029" s="764">
        <v>4118</v>
      </c>
      <c r="B1029" s="768" t="s">
        <v>207</v>
      </c>
      <c r="C1029" s="720"/>
      <c r="D1029" s="698">
        <f t="shared" si="114"/>
        <v>5523</v>
      </c>
      <c r="E1029" s="698">
        <f t="shared" si="120"/>
        <v>3824</v>
      </c>
      <c r="F1029" s="967">
        <f t="shared" si="121"/>
        <v>69.23773311606011</v>
      </c>
      <c r="G1029" s="720">
        <v>5523</v>
      </c>
      <c r="H1029" s="698">
        <f>3777+47</f>
        <v>3824</v>
      </c>
      <c r="I1029" s="746">
        <f t="shared" si="122"/>
        <v>69.23773311606011</v>
      </c>
      <c r="J1029" s="703"/>
      <c r="K1029" s="698"/>
      <c r="L1029" s="704"/>
      <c r="M1029" s="720"/>
      <c r="N1029" s="698"/>
      <c r="O1029" s="744"/>
      <c r="P1029" s="698"/>
      <c r="Q1029" s="698"/>
      <c r="R1029" s="770"/>
    </row>
    <row r="1030" spans="1:18" ht="27" customHeight="1">
      <c r="A1030" s="764">
        <v>4119</v>
      </c>
      <c r="B1030" s="768" t="s">
        <v>207</v>
      </c>
      <c r="C1030" s="720"/>
      <c r="D1030" s="698">
        <f>G1030+J1030+P1030+M1030</f>
        <v>2122</v>
      </c>
      <c r="E1030" s="698">
        <f t="shared" si="120"/>
        <v>1469</v>
      </c>
      <c r="F1030" s="967">
        <f t="shared" si="121"/>
        <v>69.22714420358153</v>
      </c>
      <c r="G1030" s="720">
        <f>1147+975</f>
        <v>2122</v>
      </c>
      <c r="H1030" s="698">
        <f>1516-47</f>
        <v>1469</v>
      </c>
      <c r="I1030" s="746">
        <f t="shared" si="122"/>
        <v>69.22714420358153</v>
      </c>
      <c r="J1030" s="703"/>
      <c r="K1030" s="698"/>
      <c r="L1030" s="704"/>
      <c r="M1030" s="720"/>
      <c r="N1030" s="698"/>
      <c r="O1030" s="744"/>
      <c r="P1030" s="698"/>
      <c r="Q1030" s="698"/>
      <c r="R1030" s="770"/>
    </row>
    <row r="1031" spans="1:18" ht="12.75">
      <c r="A1031" s="764">
        <v>4128</v>
      </c>
      <c r="B1031" s="768" t="s">
        <v>584</v>
      </c>
      <c r="C1031" s="720"/>
      <c r="D1031" s="698">
        <f>G1031+J1031+P1031+M1031</f>
        <v>891</v>
      </c>
      <c r="E1031" s="698">
        <f t="shared" si="120"/>
        <v>617</v>
      </c>
      <c r="F1031" s="967">
        <f t="shared" si="121"/>
        <v>69.24803591470258</v>
      </c>
      <c r="G1031" s="720">
        <v>891</v>
      </c>
      <c r="H1031" s="698">
        <f>664-47</f>
        <v>617</v>
      </c>
      <c r="I1031" s="746">
        <f t="shared" si="122"/>
        <v>69.24803591470258</v>
      </c>
      <c r="J1031" s="703"/>
      <c r="K1031" s="698"/>
      <c r="L1031" s="704"/>
      <c r="M1031" s="720"/>
      <c r="N1031" s="698"/>
      <c r="O1031" s="744"/>
      <c r="P1031" s="698"/>
      <c r="Q1031" s="698"/>
      <c r="R1031" s="770"/>
    </row>
    <row r="1032" spans="1:18" ht="12.75">
      <c r="A1032" s="764">
        <v>4129</v>
      </c>
      <c r="B1032" s="768" t="s">
        <v>584</v>
      </c>
      <c r="C1032" s="720"/>
      <c r="D1032" s="698">
        <f>G1032+J1032+P1032+M1032</f>
        <v>343</v>
      </c>
      <c r="E1032" s="698">
        <f t="shared" si="120"/>
        <v>237</v>
      </c>
      <c r="F1032" s="967">
        <f t="shared" si="121"/>
        <v>69.09620991253644</v>
      </c>
      <c r="G1032" s="720">
        <f>185+158</f>
        <v>343</v>
      </c>
      <c r="H1032" s="698">
        <f>190+47</f>
        <v>237</v>
      </c>
      <c r="I1032" s="746">
        <f t="shared" si="122"/>
        <v>69.09620991253644</v>
      </c>
      <c r="J1032" s="703"/>
      <c r="K1032" s="698"/>
      <c r="L1032" s="704"/>
      <c r="M1032" s="720"/>
      <c r="N1032" s="698"/>
      <c r="O1032" s="744"/>
      <c r="P1032" s="698"/>
      <c r="Q1032" s="698"/>
      <c r="R1032" s="770"/>
    </row>
    <row r="1033" spans="1:18" ht="24">
      <c r="A1033" s="764">
        <v>4178</v>
      </c>
      <c r="B1033" s="768" t="s">
        <v>242</v>
      </c>
      <c r="C1033" s="720"/>
      <c r="D1033" s="698">
        <f aca="true" t="shared" si="123" ref="D1033:D1044">G1033+J1033+P1033+M1033</f>
        <v>36359</v>
      </c>
      <c r="E1033" s="698">
        <f t="shared" si="120"/>
        <v>25179</v>
      </c>
      <c r="F1033" s="967">
        <f t="shared" si="121"/>
        <v>69.25107951263786</v>
      </c>
      <c r="G1033" s="720">
        <v>36359</v>
      </c>
      <c r="H1033" s="698">
        <v>25179</v>
      </c>
      <c r="I1033" s="746">
        <f t="shared" si="122"/>
        <v>69.25107951263786</v>
      </c>
      <c r="J1033" s="703"/>
      <c r="K1033" s="698"/>
      <c r="L1033" s="704"/>
      <c r="M1033" s="720"/>
      <c r="N1033" s="698"/>
      <c r="O1033" s="744"/>
      <c r="P1033" s="698"/>
      <c r="Q1033" s="698"/>
      <c r="R1033" s="770"/>
    </row>
    <row r="1034" spans="1:18" ht="24">
      <c r="A1034" s="764">
        <v>4179</v>
      </c>
      <c r="B1034" s="768" t="s">
        <v>242</v>
      </c>
      <c r="C1034" s="720"/>
      <c r="D1034" s="698">
        <f t="shared" si="123"/>
        <v>13965</v>
      </c>
      <c r="E1034" s="698">
        <f t="shared" si="120"/>
        <v>9671</v>
      </c>
      <c r="F1034" s="967">
        <f t="shared" si="121"/>
        <v>69.25170068027211</v>
      </c>
      <c r="G1034" s="720">
        <f>7549+6416</f>
        <v>13965</v>
      </c>
      <c r="H1034" s="698">
        <v>9671</v>
      </c>
      <c r="I1034" s="746">
        <f t="shared" si="122"/>
        <v>69.25170068027211</v>
      </c>
      <c r="J1034" s="703"/>
      <c r="K1034" s="698"/>
      <c r="L1034" s="704"/>
      <c r="M1034" s="720"/>
      <c r="N1034" s="698"/>
      <c r="O1034" s="744"/>
      <c r="P1034" s="698"/>
      <c r="Q1034" s="698"/>
      <c r="R1034" s="770"/>
    </row>
    <row r="1035" spans="1:18" ht="24">
      <c r="A1035" s="764">
        <v>4218</v>
      </c>
      <c r="B1035" s="768" t="s">
        <v>211</v>
      </c>
      <c r="C1035" s="720"/>
      <c r="D1035" s="698">
        <f t="shared" si="123"/>
        <v>2096</v>
      </c>
      <c r="E1035" s="698">
        <f t="shared" si="120"/>
        <v>650</v>
      </c>
      <c r="F1035" s="967">
        <f t="shared" si="121"/>
        <v>31.01145038167939</v>
      </c>
      <c r="G1035" s="720">
        <v>2096</v>
      </c>
      <c r="H1035" s="698">
        <v>650</v>
      </c>
      <c r="I1035" s="746">
        <f t="shared" si="122"/>
        <v>31.01145038167939</v>
      </c>
      <c r="J1035" s="703"/>
      <c r="K1035" s="698"/>
      <c r="L1035" s="704"/>
      <c r="M1035" s="720"/>
      <c r="N1035" s="698"/>
      <c r="O1035" s="744"/>
      <c r="P1035" s="698"/>
      <c r="Q1035" s="698"/>
      <c r="R1035" s="770"/>
    </row>
    <row r="1036" spans="1:18" ht="24">
      <c r="A1036" s="764">
        <v>4219</v>
      </c>
      <c r="B1036" s="768" t="s">
        <v>211</v>
      </c>
      <c r="C1036" s="720"/>
      <c r="D1036" s="698">
        <f t="shared" si="123"/>
        <v>805</v>
      </c>
      <c r="E1036" s="698">
        <f t="shared" si="120"/>
        <v>250</v>
      </c>
      <c r="F1036" s="967">
        <f t="shared" si="121"/>
        <v>31.05590062111801</v>
      </c>
      <c r="G1036" s="720">
        <f>435+370</f>
        <v>805</v>
      </c>
      <c r="H1036" s="698">
        <v>250</v>
      </c>
      <c r="I1036" s="746">
        <f t="shared" si="122"/>
        <v>31.05590062111801</v>
      </c>
      <c r="J1036" s="703"/>
      <c r="K1036" s="698"/>
      <c r="L1036" s="704"/>
      <c r="M1036" s="720"/>
      <c r="N1036" s="698"/>
      <c r="O1036" s="744"/>
      <c r="P1036" s="698"/>
      <c r="Q1036" s="698"/>
      <c r="R1036" s="770"/>
    </row>
    <row r="1037" spans="1:18" ht="13.5" customHeight="1">
      <c r="A1037" s="764">
        <v>4308</v>
      </c>
      <c r="B1037" s="828" t="s">
        <v>219</v>
      </c>
      <c r="C1037" s="720"/>
      <c r="D1037" s="698">
        <f t="shared" si="123"/>
        <v>15715</v>
      </c>
      <c r="E1037" s="698">
        <f t="shared" si="120"/>
        <v>917</v>
      </c>
      <c r="F1037" s="967">
        <f t="shared" si="121"/>
        <v>5.835189309576838</v>
      </c>
      <c r="G1037" s="720">
        <v>15715</v>
      </c>
      <c r="H1037" s="698">
        <v>917</v>
      </c>
      <c r="I1037" s="746">
        <f t="shared" si="122"/>
        <v>5.835189309576838</v>
      </c>
      <c r="J1037" s="703"/>
      <c r="K1037" s="698"/>
      <c r="L1037" s="704"/>
      <c r="M1037" s="720"/>
      <c r="N1037" s="698"/>
      <c r="O1037" s="744"/>
      <c r="P1037" s="698"/>
      <c r="Q1037" s="698"/>
      <c r="R1037" s="770"/>
    </row>
    <row r="1038" spans="1:18" ht="16.5" customHeight="1">
      <c r="A1038" s="764">
        <v>4309</v>
      </c>
      <c r="B1038" s="828" t="s">
        <v>219</v>
      </c>
      <c r="C1038" s="720"/>
      <c r="D1038" s="698">
        <f t="shared" si="123"/>
        <v>6036</v>
      </c>
      <c r="E1038" s="698">
        <f t="shared" si="120"/>
        <v>352</v>
      </c>
      <c r="F1038" s="967">
        <f t="shared" si="121"/>
        <v>5.831676607024519</v>
      </c>
      <c r="G1038" s="720">
        <f>3263+2773</f>
        <v>6036</v>
      </c>
      <c r="H1038" s="698">
        <v>352</v>
      </c>
      <c r="I1038" s="746">
        <f t="shared" si="122"/>
        <v>5.831676607024519</v>
      </c>
      <c r="J1038" s="703"/>
      <c r="K1038" s="698"/>
      <c r="L1038" s="704"/>
      <c r="M1038" s="720"/>
      <c r="N1038" s="698"/>
      <c r="O1038" s="744"/>
      <c r="P1038" s="698"/>
      <c r="Q1038" s="698"/>
      <c r="R1038" s="770"/>
    </row>
    <row r="1039" spans="1:18" ht="12.75">
      <c r="A1039" s="764">
        <v>4438</v>
      </c>
      <c r="B1039" s="768" t="s">
        <v>221</v>
      </c>
      <c r="C1039" s="720"/>
      <c r="D1039" s="698">
        <f t="shared" si="123"/>
        <v>5780</v>
      </c>
      <c r="E1039" s="698">
        <f t="shared" si="120"/>
        <v>0</v>
      </c>
      <c r="F1039" s="967">
        <f t="shared" si="121"/>
        <v>0</v>
      </c>
      <c r="G1039" s="720">
        <v>5780</v>
      </c>
      <c r="H1039" s="698"/>
      <c r="I1039" s="746">
        <f t="shared" si="122"/>
        <v>0</v>
      </c>
      <c r="J1039" s="703"/>
      <c r="K1039" s="698"/>
      <c r="L1039" s="704"/>
      <c r="M1039" s="720"/>
      <c r="N1039" s="698"/>
      <c r="O1039" s="744"/>
      <c r="P1039" s="698"/>
      <c r="Q1039" s="698"/>
      <c r="R1039" s="770"/>
    </row>
    <row r="1040" spans="1:18" ht="12.75">
      <c r="A1040" s="764">
        <v>4439</v>
      </c>
      <c r="B1040" s="768" t="s">
        <v>221</v>
      </c>
      <c r="C1040" s="720"/>
      <c r="D1040" s="698">
        <f t="shared" si="123"/>
        <v>2220</v>
      </c>
      <c r="E1040" s="698">
        <f t="shared" si="120"/>
        <v>0</v>
      </c>
      <c r="F1040" s="967">
        <f t="shared" si="121"/>
        <v>0</v>
      </c>
      <c r="G1040" s="720">
        <f>1200+1020</f>
        <v>2220</v>
      </c>
      <c r="H1040" s="698"/>
      <c r="I1040" s="746">
        <f t="shared" si="122"/>
        <v>0</v>
      </c>
      <c r="J1040" s="703"/>
      <c r="K1040" s="698"/>
      <c r="L1040" s="704"/>
      <c r="M1040" s="720"/>
      <c r="N1040" s="698"/>
      <c r="O1040" s="744"/>
      <c r="P1040" s="698"/>
      <c r="Q1040" s="698"/>
      <c r="R1040" s="770"/>
    </row>
    <row r="1041" spans="1:18" ht="36">
      <c r="A1041" s="764">
        <v>4758</v>
      </c>
      <c r="B1041" s="828" t="s">
        <v>551</v>
      </c>
      <c r="C1041" s="720"/>
      <c r="D1041" s="698">
        <f t="shared" si="123"/>
        <v>16257</v>
      </c>
      <c r="E1041" s="698">
        <f t="shared" si="120"/>
        <v>0</v>
      </c>
      <c r="F1041" s="967">
        <f t="shared" si="121"/>
        <v>0</v>
      </c>
      <c r="G1041" s="720">
        <v>16257</v>
      </c>
      <c r="H1041" s="698"/>
      <c r="I1041" s="746">
        <f t="shared" si="122"/>
        <v>0</v>
      </c>
      <c r="J1041" s="703"/>
      <c r="K1041" s="698"/>
      <c r="L1041" s="704"/>
      <c r="M1041" s="720"/>
      <c r="N1041" s="698"/>
      <c r="O1041" s="744"/>
      <c r="P1041" s="698"/>
      <c r="Q1041" s="698"/>
      <c r="R1041" s="770"/>
    </row>
    <row r="1042" spans="1:18" ht="36">
      <c r="A1042" s="764">
        <v>4759</v>
      </c>
      <c r="B1042" s="828" t="s">
        <v>551</v>
      </c>
      <c r="C1042" s="720"/>
      <c r="D1042" s="698">
        <f t="shared" si="123"/>
        <v>6244</v>
      </c>
      <c r="E1042" s="698">
        <f t="shared" si="120"/>
        <v>0</v>
      </c>
      <c r="F1042" s="967">
        <f t="shared" si="121"/>
        <v>0</v>
      </c>
      <c r="G1042" s="720">
        <f>3375+2869</f>
        <v>6244</v>
      </c>
      <c r="H1042" s="698"/>
      <c r="I1042" s="746">
        <f t="shared" si="122"/>
        <v>0</v>
      </c>
      <c r="J1042" s="703"/>
      <c r="K1042" s="698"/>
      <c r="L1042" s="704"/>
      <c r="M1042" s="720"/>
      <c r="N1042" s="698"/>
      <c r="O1042" s="744"/>
      <c r="P1042" s="698"/>
      <c r="Q1042" s="698"/>
      <c r="R1042" s="770"/>
    </row>
    <row r="1043" spans="1:18" ht="48" hidden="1">
      <c r="A1043" s="764">
        <v>6060</v>
      </c>
      <c r="B1043" s="768" t="s">
        <v>593</v>
      </c>
      <c r="C1043" s="720"/>
      <c r="D1043" s="698">
        <f t="shared" si="123"/>
        <v>0</v>
      </c>
      <c r="E1043" s="698">
        <f t="shared" si="120"/>
        <v>0</v>
      </c>
      <c r="F1043" s="967" t="e">
        <f t="shared" si="121"/>
        <v>#DIV/0!</v>
      </c>
      <c r="G1043" s="720">
        <f>212500-212500</f>
        <v>0</v>
      </c>
      <c r="H1043" s="698"/>
      <c r="I1043" s="746" t="e">
        <f t="shared" si="122"/>
        <v>#DIV/0!</v>
      </c>
      <c r="J1043" s="703"/>
      <c r="K1043" s="698"/>
      <c r="L1043" s="704"/>
      <c r="M1043" s="720"/>
      <c r="N1043" s="698"/>
      <c r="O1043" s="744"/>
      <c r="P1043" s="698"/>
      <c r="Q1043" s="698"/>
      <c r="R1043" s="770"/>
    </row>
    <row r="1044" spans="1:18" ht="37.5" customHeight="1">
      <c r="A1044" s="764">
        <v>6068</v>
      </c>
      <c r="B1044" s="768" t="s">
        <v>593</v>
      </c>
      <c r="C1044" s="720"/>
      <c r="D1044" s="698">
        <f t="shared" si="123"/>
        <v>180625</v>
      </c>
      <c r="E1044" s="698">
        <f t="shared" si="120"/>
        <v>179714</v>
      </c>
      <c r="F1044" s="967">
        <f t="shared" si="121"/>
        <v>99.4956401384083</v>
      </c>
      <c r="G1044" s="720">
        <v>180625</v>
      </c>
      <c r="H1044" s="698">
        <v>179714</v>
      </c>
      <c r="I1044" s="746">
        <f t="shared" si="122"/>
        <v>99.4956401384083</v>
      </c>
      <c r="J1044" s="703"/>
      <c r="K1044" s="698"/>
      <c r="L1044" s="704"/>
      <c r="M1044" s="720"/>
      <c r="N1044" s="698"/>
      <c r="O1044" s="744"/>
      <c r="P1044" s="698"/>
      <c r="Q1044" s="698"/>
      <c r="R1044" s="770"/>
    </row>
    <row r="1045" spans="1:18" ht="40.5" customHeight="1" thickBot="1">
      <c r="A1045" s="764">
        <v>6069</v>
      </c>
      <c r="B1045" s="768" t="s">
        <v>593</v>
      </c>
      <c r="C1045" s="720"/>
      <c r="D1045" s="698">
        <f>G1045+J1045+P1045+M1045</f>
        <v>69375</v>
      </c>
      <c r="E1045" s="698">
        <f>SUM(H1045+K1045+N1045+Q1045)</f>
        <v>69025</v>
      </c>
      <c r="F1045" s="967">
        <f>E1045/D1045*100</f>
        <v>99.4954954954955</v>
      </c>
      <c r="G1045" s="720">
        <f>37500+31875</f>
        <v>69375</v>
      </c>
      <c r="H1045" s="698">
        <v>69025</v>
      </c>
      <c r="I1045" s="746">
        <f t="shared" si="122"/>
        <v>99.4954954954955</v>
      </c>
      <c r="J1045" s="703"/>
      <c r="K1045" s="698"/>
      <c r="L1045" s="704"/>
      <c r="M1045" s="720"/>
      <c r="N1045" s="698"/>
      <c r="O1045" s="744"/>
      <c r="P1045" s="698"/>
      <c r="Q1045" s="698"/>
      <c r="R1045" s="770"/>
    </row>
    <row r="1046" spans="1:18" ht="27" customHeight="1" thickBot="1" thickTop="1">
      <c r="A1046" s="749">
        <v>803</v>
      </c>
      <c r="B1046" s="750" t="s">
        <v>744</v>
      </c>
      <c r="C1046" s="751">
        <f>SUM(C1047)+C1058</f>
        <v>15000</v>
      </c>
      <c r="D1046" s="674">
        <f t="shared" si="114"/>
        <v>730000</v>
      </c>
      <c r="E1046" s="674">
        <f>E1047+E1058</f>
        <v>728050</v>
      </c>
      <c r="F1046" s="974">
        <f>E1046/D1046*100</f>
        <v>99.73287671232876</v>
      </c>
      <c r="G1046" s="751">
        <f>G1047+G1058</f>
        <v>730000</v>
      </c>
      <c r="H1046" s="674">
        <f>H1047+H1058</f>
        <v>728050</v>
      </c>
      <c r="I1046" s="850">
        <f t="shared" si="122"/>
        <v>99.73287671232876</v>
      </c>
      <c r="J1046" s="678"/>
      <c r="K1046" s="674"/>
      <c r="L1046" s="753"/>
      <c r="M1046" s="751"/>
      <c r="N1046" s="674"/>
      <c r="O1046" s="754"/>
      <c r="P1046" s="674"/>
      <c r="Q1046" s="674"/>
      <c r="R1046" s="851"/>
    </row>
    <row r="1047" spans="1:18" ht="36.75" thickTop="1">
      <c r="A1047" s="866">
        <v>80309</v>
      </c>
      <c r="B1047" s="867" t="s">
        <v>745</v>
      </c>
      <c r="C1047" s="868">
        <f>SUM(C1049:C1050)</f>
        <v>10000</v>
      </c>
      <c r="D1047" s="686">
        <f t="shared" si="114"/>
        <v>18000</v>
      </c>
      <c r="E1047" s="686">
        <f>H1047+K1047+Q1047+N1047</f>
        <v>18000</v>
      </c>
      <c r="F1047" s="975">
        <f>E1047/D1047*100</f>
        <v>100</v>
      </c>
      <c r="G1047" s="868">
        <f>SUM(G1048:G1050)</f>
        <v>18000</v>
      </c>
      <c r="H1047" s="686">
        <f>SUM(H1048:H1050)</f>
        <v>18000</v>
      </c>
      <c r="I1047" s="687">
        <f t="shared" si="122"/>
        <v>100</v>
      </c>
      <c r="J1047" s="691"/>
      <c r="K1047" s="686"/>
      <c r="L1047" s="692"/>
      <c r="M1047" s="868"/>
      <c r="N1047" s="686"/>
      <c r="O1047" s="913"/>
      <c r="P1047" s="686"/>
      <c r="Q1047" s="686"/>
      <c r="R1047" s="947"/>
    </row>
    <row r="1048" spans="1:18" ht="36">
      <c r="A1048" s="764">
        <v>2520</v>
      </c>
      <c r="B1048" s="768" t="s">
        <v>324</v>
      </c>
      <c r="C1048" s="720"/>
      <c r="D1048" s="732">
        <f t="shared" si="114"/>
        <v>18000</v>
      </c>
      <c r="E1048" s="732">
        <f>SUM(H1048+K1048+N1048+Q1048)</f>
        <v>18000</v>
      </c>
      <c r="F1048" s="976">
        <f>E1048/D1048*100</f>
        <v>100</v>
      </c>
      <c r="G1048" s="720">
        <f>10000+8000</f>
        <v>18000</v>
      </c>
      <c r="H1048" s="698">
        <v>18000</v>
      </c>
      <c r="I1048" s="721">
        <f t="shared" si="122"/>
        <v>100</v>
      </c>
      <c r="J1048" s="703"/>
      <c r="K1048" s="698"/>
      <c r="L1048" s="704"/>
      <c r="M1048" s="720"/>
      <c r="N1048" s="698"/>
      <c r="O1048" s="766"/>
      <c r="P1048" s="698"/>
      <c r="Q1048" s="698"/>
      <c r="R1048" s="770"/>
    </row>
    <row r="1049" spans="1:18" ht="12.75">
      <c r="A1049" s="764">
        <v>3250</v>
      </c>
      <c r="B1049" s="768" t="s">
        <v>746</v>
      </c>
      <c r="C1049" s="720">
        <v>10000</v>
      </c>
      <c r="D1049" s="698">
        <f t="shared" si="114"/>
        <v>0</v>
      </c>
      <c r="E1049" s="698">
        <f aca="true" t="shared" si="124" ref="E1049:E1057">SUM(H1049+K1049+N1049+Q1049)</f>
        <v>0</v>
      </c>
      <c r="F1049" s="967"/>
      <c r="G1049" s="720">
        <f>10000-10000</f>
        <v>0</v>
      </c>
      <c r="H1049" s="698"/>
      <c r="I1049" s="746"/>
      <c r="J1049" s="703"/>
      <c r="K1049" s="698"/>
      <c r="L1049" s="704"/>
      <c r="M1049" s="720"/>
      <c r="N1049" s="698"/>
      <c r="O1049" s="766"/>
      <c r="P1049" s="698"/>
      <c r="Q1049" s="698"/>
      <c r="R1049" s="770"/>
    </row>
    <row r="1050" spans="1:20" s="756" customFormat="1" ht="48" hidden="1">
      <c r="A1050" s="774"/>
      <c r="B1050" s="848" t="s">
        <v>747</v>
      </c>
      <c r="C1050" s="776">
        <f>SUM(C1051:C1057)</f>
        <v>0</v>
      </c>
      <c r="D1050" s="777">
        <f t="shared" si="114"/>
        <v>0</v>
      </c>
      <c r="E1050" s="777">
        <f t="shared" si="124"/>
        <v>0</v>
      </c>
      <c r="F1050" s="967" t="e">
        <f aca="true" t="shared" si="125" ref="F1050:F1055">E1050/D1050*100</f>
        <v>#DIV/0!</v>
      </c>
      <c r="G1050" s="776">
        <f>SUM(G1051:G1057)</f>
        <v>0</v>
      </c>
      <c r="H1050" s="777">
        <f>SUM(H1051:H1057)</f>
        <v>0</v>
      </c>
      <c r="I1050" s="746" t="e">
        <f t="shared" si="122"/>
        <v>#DIV/0!</v>
      </c>
      <c r="J1050" s="778"/>
      <c r="K1050" s="777"/>
      <c r="L1050" s="779"/>
      <c r="M1050" s="776"/>
      <c r="N1050" s="777"/>
      <c r="O1050" s="906"/>
      <c r="P1050" s="777"/>
      <c r="Q1050" s="777"/>
      <c r="R1050" s="783"/>
      <c r="S1050" s="682"/>
      <c r="T1050" s="682"/>
    </row>
    <row r="1051" spans="1:18" ht="24" hidden="1">
      <c r="A1051" s="764">
        <v>3218</v>
      </c>
      <c r="B1051" s="768" t="s">
        <v>748</v>
      </c>
      <c r="C1051" s="720"/>
      <c r="D1051" s="698">
        <f t="shared" si="114"/>
        <v>0</v>
      </c>
      <c r="E1051" s="698">
        <f t="shared" si="124"/>
        <v>0</v>
      </c>
      <c r="F1051" s="967" t="e">
        <f t="shared" si="125"/>
        <v>#DIV/0!</v>
      </c>
      <c r="G1051" s="720"/>
      <c r="H1051" s="698"/>
      <c r="I1051" s="699" t="e">
        <f t="shared" si="122"/>
        <v>#DIV/0!</v>
      </c>
      <c r="J1051" s="703"/>
      <c r="K1051" s="698"/>
      <c r="L1051" s="704"/>
      <c r="M1051" s="720"/>
      <c r="N1051" s="698"/>
      <c r="O1051" s="766"/>
      <c r="P1051" s="698"/>
      <c r="Q1051" s="698"/>
      <c r="R1051" s="770"/>
    </row>
    <row r="1052" spans="1:18" ht="24" hidden="1">
      <c r="A1052" s="764">
        <v>3219</v>
      </c>
      <c r="B1052" s="768" t="s">
        <v>748</v>
      </c>
      <c r="C1052" s="720"/>
      <c r="D1052" s="698">
        <f t="shared" si="114"/>
        <v>0</v>
      </c>
      <c r="E1052" s="698">
        <f t="shared" si="124"/>
        <v>0</v>
      </c>
      <c r="F1052" s="967" t="e">
        <f t="shared" si="125"/>
        <v>#DIV/0!</v>
      </c>
      <c r="G1052" s="720"/>
      <c r="H1052" s="698"/>
      <c r="I1052" s="699" t="e">
        <f t="shared" si="122"/>
        <v>#DIV/0!</v>
      </c>
      <c r="J1052" s="703"/>
      <c r="K1052" s="698"/>
      <c r="L1052" s="704"/>
      <c r="M1052" s="720"/>
      <c r="N1052" s="698"/>
      <c r="O1052" s="766"/>
      <c r="P1052" s="698"/>
      <c r="Q1052" s="698"/>
      <c r="R1052" s="770"/>
    </row>
    <row r="1053" spans="1:18" ht="24" hidden="1">
      <c r="A1053" s="764">
        <v>3210</v>
      </c>
      <c r="B1053" s="768" t="s">
        <v>748</v>
      </c>
      <c r="C1053" s="720"/>
      <c r="D1053" s="698">
        <f>G1053+J1053+P1053+M1053</f>
        <v>0</v>
      </c>
      <c r="E1053" s="698">
        <f>SUM(H1053+K1053+N1053+Q1053)</f>
        <v>0</v>
      </c>
      <c r="F1053" s="967" t="e">
        <f t="shared" si="125"/>
        <v>#DIV/0!</v>
      </c>
      <c r="G1053" s="720"/>
      <c r="H1053" s="698"/>
      <c r="I1053" s="699" t="e">
        <f t="shared" si="122"/>
        <v>#DIV/0!</v>
      </c>
      <c r="J1053" s="703"/>
      <c r="K1053" s="698"/>
      <c r="L1053" s="704"/>
      <c r="M1053" s="720"/>
      <c r="N1053" s="698"/>
      <c r="O1053" s="766"/>
      <c r="P1053" s="698"/>
      <c r="Q1053" s="698"/>
      <c r="R1053" s="770"/>
    </row>
    <row r="1054" spans="1:18" ht="24" hidden="1">
      <c r="A1054" s="764">
        <v>4218</v>
      </c>
      <c r="B1054" s="934" t="s">
        <v>211</v>
      </c>
      <c r="C1054" s="720"/>
      <c r="D1054" s="698">
        <f aca="true" t="shared" si="126" ref="D1054:D1064">G1054+J1054+P1054+M1054</f>
        <v>0</v>
      </c>
      <c r="E1054" s="698">
        <f t="shared" si="124"/>
        <v>0</v>
      </c>
      <c r="F1054" s="967" t="e">
        <f t="shared" si="125"/>
        <v>#DIV/0!</v>
      </c>
      <c r="G1054" s="720"/>
      <c r="H1054" s="698"/>
      <c r="I1054" s="699" t="e">
        <f>H1054/G1054*100</f>
        <v>#DIV/0!</v>
      </c>
      <c r="J1054" s="703"/>
      <c r="K1054" s="698"/>
      <c r="L1054" s="704"/>
      <c r="M1054" s="720"/>
      <c r="N1054" s="698"/>
      <c r="O1054" s="766"/>
      <c r="P1054" s="698"/>
      <c r="Q1054" s="698"/>
      <c r="R1054" s="770"/>
    </row>
    <row r="1055" spans="1:18" ht="24" hidden="1">
      <c r="A1055" s="764">
        <v>4219</v>
      </c>
      <c r="B1055" s="934" t="s">
        <v>211</v>
      </c>
      <c r="C1055" s="720"/>
      <c r="D1055" s="698">
        <f t="shared" si="126"/>
        <v>0</v>
      </c>
      <c r="E1055" s="698">
        <f t="shared" si="124"/>
        <v>0</v>
      </c>
      <c r="F1055" s="967" t="e">
        <f t="shared" si="125"/>
        <v>#DIV/0!</v>
      </c>
      <c r="G1055" s="720"/>
      <c r="H1055" s="698"/>
      <c r="I1055" s="699" t="e">
        <f>H1055/G1055*100</f>
        <v>#DIV/0!</v>
      </c>
      <c r="J1055" s="703"/>
      <c r="K1055" s="698"/>
      <c r="L1055" s="704"/>
      <c r="M1055" s="720"/>
      <c r="N1055" s="698"/>
      <c r="O1055" s="766"/>
      <c r="P1055" s="698"/>
      <c r="Q1055" s="698"/>
      <c r="R1055" s="770"/>
    </row>
    <row r="1056" spans="1:18" ht="24" hidden="1">
      <c r="A1056" s="764">
        <v>4308</v>
      </c>
      <c r="B1056" s="768" t="s">
        <v>219</v>
      </c>
      <c r="C1056" s="720"/>
      <c r="D1056" s="698">
        <f t="shared" si="126"/>
        <v>0</v>
      </c>
      <c r="E1056" s="698">
        <f t="shared" si="124"/>
        <v>0</v>
      </c>
      <c r="F1056" s="967"/>
      <c r="G1056" s="720"/>
      <c r="H1056" s="698"/>
      <c r="I1056" s="746"/>
      <c r="J1056" s="703"/>
      <c r="K1056" s="698"/>
      <c r="L1056" s="704"/>
      <c r="M1056" s="720"/>
      <c r="N1056" s="698"/>
      <c r="O1056" s="766"/>
      <c r="P1056" s="698"/>
      <c r="Q1056" s="698"/>
      <c r="R1056" s="770"/>
    </row>
    <row r="1057" spans="1:18" ht="24" hidden="1">
      <c r="A1057" s="764">
        <v>4309</v>
      </c>
      <c r="B1057" s="768" t="s">
        <v>219</v>
      </c>
      <c r="C1057" s="791"/>
      <c r="D1057" s="698">
        <f t="shared" si="126"/>
        <v>0</v>
      </c>
      <c r="E1057" s="698">
        <f t="shared" si="124"/>
        <v>0</v>
      </c>
      <c r="F1057" s="967"/>
      <c r="G1057" s="791"/>
      <c r="H1057" s="792"/>
      <c r="I1057" s="746"/>
      <c r="J1057" s="793"/>
      <c r="K1057" s="792"/>
      <c r="L1057" s="794"/>
      <c r="M1057" s="791"/>
      <c r="N1057" s="792"/>
      <c r="O1057" s="806"/>
      <c r="P1057" s="792"/>
      <c r="Q1057" s="792"/>
      <c r="R1057" s="797"/>
    </row>
    <row r="1058" spans="1:18" ht="17.25" customHeight="1">
      <c r="A1058" s="757">
        <v>80395</v>
      </c>
      <c r="B1058" s="852" t="s">
        <v>233</v>
      </c>
      <c r="C1058" s="725">
        <f>SUM(C1059:C1062)</f>
        <v>5000</v>
      </c>
      <c r="D1058" s="712">
        <f>G1058+J1058+P1058+M1058</f>
        <v>712000</v>
      </c>
      <c r="E1058" s="712">
        <f>H1058+K1058+Q1058+N1058</f>
        <v>710050</v>
      </c>
      <c r="F1058" s="741">
        <f aca="true" t="shared" si="127" ref="F1058:F1069">E1058/D1058*100</f>
        <v>99.72612359550563</v>
      </c>
      <c r="G1058" s="725">
        <f>SUM(G1059:G1063)</f>
        <v>712000</v>
      </c>
      <c r="H1058" s="712">
        <f>SUM(H1059:H1063)</f>
        <v>710050</v>
      </c>
      <c r="I1058" s="741">
        <f aca="true" t="shared" si="128" ref="I1058:I1069">H1058/G1058*100</f>
        <v>99.72612359550563</v>
      </c>
      <c r="J1058" s="875"/>
      <c r="K1058" s="874"/>
      <c r="L1058" s="876"/>
      <c r="M1058" s="873"/>
      <c r="N1058" s="874"/>
      <c r="O1058" s="762"/>
      <c r="P1058" s="874"/>
      <c r="Q1058" s="874"/>
      <c r="R1058" s="846"/>
    </row>
    <row r="1059" spans="1:18" ht="51" customHeight="1">
      <c r="A1059" s="784">
        <v>2800</v>
      </c>
      <c r="B1059" s="785" t="s">
        <v>752</v>
      </c>
      <c r="C1059" s="723"/>
      <c r="D1059" s="698">
        <f>G1059+J1059+P1059+M1059</f>
        <v>200000</v>
      </c>
      <c r="E1059" s="698">
        <f>SUM(H1059+K1059+N1059+Q1059)</f>
        <v>198050</v>
      </c>
      <c r="F1059" s="967">
        <f>E1059/D1059*100</f>
        <v>99.02499999999999</v>
      </c>
      <c r="G1059" s="723">
        <v>200000</v>
      </c>
      <c r="H1059" s="732">
        <v>198050</v>
      </c>
      <c r="I1059" s="699">
        <f t="shared" si="128"/>
        <v>99.02499999999999</v>
      </c>
      <c r="J1059" s="735"/>
      <c r="K1059" s="732"/>
      <c r="L1059" s="736"/>
      <c r="M1059" s="723"/>
      <c r="N1059" s="732"/>
      <c r="O1059" s="803"/>
      <c r="P1059" s="732"/>
      <c r="Q1059" s="732"/>
      <c r="R1059" s="788"/>
    </row>
    <row r="1060" spans="1:18" ht="40.5" customHeight="1">
      <c r="A1060" s="764">
        <v>3040</v>
      </c>
      <c r="B1060" s="768" t="s">
        <v>749</v>
      </c>
      <c r="C1060" s="720">
        <v>5000</v>
      </c>
      <c r="D1060" s="698">
        <f t="shared" si="126"/>
        <v>0</v>
      </c>
      <c r="E1060" s="698">
        <f>SUM(H1060+K1060+N1060+Q1060)</f>
        <v>0</v>
      </c>
      <c r="F1060" s="967"/>
      <c r="G1060" s="720">
        <f>5000-5000</f>
        <v>0</v>
      </c>
      <c r="H1060" s="698"/>
      <c r="I1060" s="699"/>
      <c r="J1060" s="703"/>
      <c r="K1060" s="698"/>
      <c r="L1060" s="704"/>
      <c r="M1060" s="720"/>
      <c r="N1060" s="698"/>
      <c r="O1060" s="702"/>
      <c r="P1060" s="698"/>
      <c r="Q1060" s="698"/>
      <c r="R1060" s="770"/>
    </row>
    <row r="1061" spans="1:18" ht="17.25" customHeight="1">
      <c r="A1061" s="764">
        <v>4300</v>
      </c>
      <c r="B1061" s="828" t="s">
        <v>219</v>
      </c>
      <c r="C1061" s="720"/>
      <c r="D1061" s="698">
        <f>G1061+J1061+P1061+M1061</f>
        <v>12000</v>
      </c>
      <c r="E1061" s="698">
        <f>SUM(H1061+K1061+N1061+Q1061)</f>
        <v>12000</v>
      </c>
      <c r="F1061" s="967">
        <f>E1061/D1061*100</f>
        <v>100</v>
      </c>
      <c r="G1061" s="720">
        <v>12000</v>
      </c>
      <c r="H1061" s="698">
        <v>12000</v>
      </c>
      <c r="I1061" s="699">
        <f t="shared" si="128"/>
        <v>100</v>
      </c>
      <c r="J1061" s="703"/>
      <c r="K1061" s="698"/>
      <c r="L1061" s="704"/>
      <c r="M1061" s="720"/>
      <c r="N1061" s="698"/>
      <c r="O1061" s="702"/>
      <c r="P1061" s="698"/>
      <c r="Q1061" s="698"/>
      <c r="R1061" s="770"/>
    </row>
    <row r="1062" spans="1:18" ht="50.25" customHeight="1" thickBot="1">
      <c r="A1062" s="764">
        <v>6010</v>
      </c>
      <c r="B1062" s="768" t="s">
        <v>788</v>
      </c>
      <c r="C1062" s="720"/>
      <c r="D1062" s="698">
        <f>G1062+J1062+P1062+M1062</f>
        <v>500000</v>
      </c>
      <c r="E1062" s="698">
        <f>SUM(H1062+K1062+N1062+Q1062)</f>
        <v>500000</v>
      </c>
      <c r="F1062" s="967">
        <f>E1062/D1062*100</f>
        <v>100</v>
      </c>
      <c r="G1062" s="720">
        <v>500000</v>
      </c>
      <c r="H1062" s="698">
        <v>500000</v>
      </c>
      <c r="I1062" s="699">
        <f t="shared" si="128"/>
        <v>100</v>
      </c>
      <c r="J1062" s="703"/>
      <c r="K1062" s="698"/>
      <c r="L1062" s="704"/>
      <c r="M1062" s="720"/>
      <c r="N1062" s="698"/>
      <c r="O1062" s="702"/>
      <c r="P1062" s="698"/>
      <c r="Q1062" s="698"/>
      <c r="R1062" s="770"/>
    </row>
    <row r="1063" spans="1:18" ht="108.75" hidden="1" thickBot="1">
      <c r="A1063" s="764">
        <v>6220</v>
      </c>
      <c r="B1063" s="768" t="s">
        <v>325</v>
      </c>
      <c r="C1063" s="720"/>
      <c r="D1063" s="698">
        <f t="shared" si="126"/>
        <v>0</v>
      </c>
      <c r="E1063" s="698">
        <f>SUM(H1063+K1063+N1063+Q1063)</f>
        <v>0</v>
      </c>
      <c r="F1063" s="967" t="e">
        <f t="shared" si="127"/>
        <v>#DIV/0!</v>
      </c>
      <c r="G1063" s="720">
        <f>271500-271500</f>
        <v>0</v>
      </c>
      <c r="H1063" s="698"/>
      <c r="I1063" s="699" t="e">
        <f t="shared" si="128"/>
        <v>#DIV/0!</v>
      </c>
      <c r="J1063" s="703"/>
      <c r="K1063" s="698"/>
      <c r="L1063" s="704"/>
      <c r="M1063" s="720"/>
      <c r="N1063" s="698"/>
      <c r="O1063" s="702"/>
      <c r="P1063" s="698"/>
      <c r="Q1063" s="698"/>
      <c r="R1063" s="770"/>
    </row>
    <row r="1064" spans="1:20" s="756" customFormat="1" ht="17.25" customHeight="1" thickBot="1" thickTop="1">
      <c r="A1064" s="749">
        <v>851</v>
      </c>
      <c r="B1064" s="750" t="s">
        <v>750</v>
      </c>
      <c r="C1064" s="751">
        <f>C1068+C1072+C1080+C1100+C1102+C1118+C1065</f>
        <v>3279600</v>
      </c>
      <c r="D1064" s="674">
        <f t="shared" si="126"/>
        <v>4200531</v>
      </c>
      <c r="E1064" s="674">
        <f>H1064+K1064+Q1064+N1064</f>
        <v>3585737</v>
      </c>
      <c r="F1064" s="974">
        <f t="shared" si="127"/>
        <v>85.36389804050964</v>
      </c>
      <c r="G1064" s="751">
        <f>G1068+G1072+G1080+G1100+G1102+G1118+G1065</f>
        <v>4190631</v>
      </c>
      <c r="H1064" s="674">
        <f>H1068+H1072+H1080+H1100+H1102+H1118+H1065</f>
        <v>3577475</v>
      </c>
      <c r="I1064" s="850">
        <f t="shared" si="128"/>
        <v>85.36840871935514</v>
      </c>
      <c r="J1064" s="678"/>
      <c r="K1064" s="674"/>
      <c r="L1064" s="753"/>
      <c r="M1064" s="882"/>
      <c r="N1064" s="674"/>
      <c r="O1064" s="977"/>
      <c r="P1064" s="674">
        <f>P1068+P1072+P1080+P1100+P1102+P1118</f>
        <v>9900</v>
      </c>
      <c r="Q1064" s="674">
        <f>Q1068+Q1072+Q1080+Q1100+Q1102+Q1118</f>
        <v>8262</v>
      </c>
      <c r="R1064" s="677">
        <f>Q1064/P1064*100</f>
        <v>83.45454545454545</v>
      </c>
      <c r="S1064" s="682"/>
      <c r="T1064" s="682"/>
    </row>
    <row r="1065" spans="1:20" s="756" customFormat="1" ht="17.25" customHeight="1" hidden="1">
      <c r="A1065" s="866">
        <v>85111</v>
      </c>
      <c r="B1065" s="867" t="s">
        <v>751</v>
      </c>
      <c r="C1065" s="868">
        <f>SUM(C1066)</f>
        <v>0</v>
      </c>
      <c r="D1065" s="781">
        <f>G1065+J1065+M1065+P1065</f>
        <v>0</v>
      </c>
      <c r="E1065" s="781">
        <f>Q1065+N1065+K1065+H1065</f>
        <v>0</v>
      </c>
      <c r="F1065" s="978" t="e">
        <f t="shared" si="127"/>
        <v>#DIV/0!</v>
      </c>
      <c r="G1065" s="868">
        <f>SUM(G1066:G1067)</f>
        <v>0</v>
      </c>
      <c r="H1065" s="686">
        <f>SUM(H1066:H1067)</f>
        <v>0</v>
      </c>
      <c r="I1065" s="853" t="e">
        <f t="shared" si="128"/>
        <v>#DIV/0!</v>
      </c>
      <c r="J1065" s="691"/>
      <c r="K1065" s="686"/>
      <c r="L1065" s="692"/>
      <c r="M1065" s="868"/>
      <c r="N1065" s="686"/>
      <c r="O1065" s="913"/>
      <c r="P1065" s="686"/>
      <c r="Q1065" s="686"/>
      <c r="R1065" s="853"/>
      <c r="S1065" s="682"/>
      <c r="T1065" s="682"/>
    </row>
    <row r="1066" spans="1:18" ht="60.75" hidden="1" thickTop="1">
      <c r="A1066" s="764">
        <v>2800</v>
      </c>
      <c r="B1066" s="768" t="s">
        <v>752</v>
      </c>
      <c r="C1066" s="720"/>
      <c r="D1066" s="732">
        <f>G1066+J1066+M1066+P1066</f>
        <v>0</v>
      </c>
      <c r="E1066" s="732">
        <f>Q1066+N1066+K1066+H1066</f>
        <v>0</v>
      </c>
      <c r="F1066" s="699" t="e">
        <f t="shared" si="127"/>
        <v>#DIV/0!</v>
      </c>
      <c r="G1066" s="720"/>
      <c r="H1066" s="698"/>
      <c r="I1066" s="699" t="e">
        <f t="shared" si="128"/>
        <v>#DIV/0!</v>
      </c>
      <c r="J1066" s="703"/>
      <c r="K1066" s="698"/>
      <c r="L1066" s="704"/>
      <c r="M1066" s="720"/>
      <c r="N1066" s="698"/>
      <c r="O1066" s="766"/>
      <c r="P1066" s="698"/>
      <c r="Q1066" s="698"/>
      <c r="R1066" s="746"/>
    </row>
    <row r="1067" spans="1:18" ht="24.75" hidden="1" thickTop="1">
      <c r="A1067" s="764">
        <v>4300</v>
      </c>
      <c r="B1067" s="768" t="s">
        <v>219</v>
      </c>
      <c r="C1067" s="720"/>
      <c r="D1067" s="698">
        <f>G1067+J1067+M1067+P1067</f>
        <v>0</v>
      </c>
      <c r="E1067" s="698">
        <f>Q1067+N1067+K1067+H1067</f>
        <v>0</v>
      </c>
      <c r="F1067" s="699" t="e">
        <f t="shared" si="127"/>
        <v>#DIV/0!</v>
      </c>
      <c r="G1067" s="720"/>
      <c r="H1067" s="698"/>
      <c r="I1067" s="746" t="e">
        <f t="shared" si="128"/>
        <v>#DIV/0!</v>
      </c>
      <c r="J1067" s="703"/>
      <c r="K1067" s="698"/>
      <c r="L1067" s="704"/>
      <c r="M1067" s="720"/>
      <c r="N1067" s="698"/>
      <c r="O1067" s="766"/>
      <c r="P1067" s="698"/>
      <c r="Q1067" s="698"/>
      <c r="R1067" s="746"/>
    </row>
    <row r="1068" spans="1:18" ht="25.5" customHeight="1" thickTop="1">
      <c r="A1068" s="757">
        <v>85149</v>
      </c>
      <c r="B1068" s="852" t="s">
        <v>753</v>
      </c>
      <c r="C1068" s="710">
        <f>SUM(C1069:C1071)</f>
        <v>650000</v>
      </c>
      <c r="D1068" s="712">
        <f>G1068+J1068+P1068+M1068</f>
        <v>652000</v>
      </c>
      <c r="E1068" s="711">
        <f>SUM(E1069:E1071)</f>
        <v>546216</v>
      </c>
      <c r="F1068" s="960">
        <f t="shared" si="127"/>
        <v>83.77546012269939</v>
      </c>
      <c r="G1068" s="710">
        <f>SUM(G1069:G1071)</f>
        <v>652000</v>
      </c>
      <c r="H1068" s="711">
        <f>SUM(H1069:H1071)</f>
        <v>546216</v>
      </c>
      <c r="I1068" s="854">
        <f t="shared" si="128"/>
        <v>83.77546012269939</v>
      </c>
      <c r="J1068" s="807"/>
      <c r="K1068" s="711"/>
      <c r="L1068" s="799"/>
      <c r="M1068" s="710"/>
      <c r="N1068" s="711"/>
      <c r="O1068" s="827"/>
      <c r="P1068" s="711"/>
      <c r="Q1068" s="711"/>
      <c r="R1068" s="763"/>
    </row>
    <row r="1069" spans="1:18" ht="24">
      <c r="A1069" s="784">
        <v>4210</v>
      </c>
      <c r="B1069" s="979" t="s">
        <v>211</v>
      </c>
      <c r="C1069" s="723"/>
      <c r="D1069" s="732">
        <f>G1069+J1069+P1069+M1069</f>
        <v>5000</v>
      </c>
      <c r="E1069" s="732">
        <f>SUM(H1069+K1069+N1069+Q1069)</f>
        <v>4843</v>
      </c>
      <c r="F1069" s="976">
        <f t="shared" si="127"/>
        <v>96.86</v>
      </c>
      <c r="G1069" s="723">
        <f>800+4200</f>
        <v>5000</v>
      </c>
      <c r="H1069" s="732">
        <v>4843</v>
      </c>
      <c r="I1069" s="740">
        <f t="shared" si="128"/>
        <v>96.86</v>
      </c>
      <c r="J1069" s="735"/>
      <c r="K1069" s="732"/>
      <c r="L1069" s="736"/>
      <c r="M1069" s="723"/>
      <c r="N1069" s="732"/>
      <c r="O1069" s="803"/>
      <c r="P1069" s="732"/>
      <c r="Q1069" s="732"/>
      <c r="R1069" s="788"/>
    </row>
    <row r="1070" spans="1:18" ht="52.5" customHeight="1" hidden="1">
      <c r="A1070" s="764">
        <v>2570</v>
      </c>
      <c r="B1070" s="979" t="s">
        <v>754</v>
      </c>
      <c r="C1070" s="720"/>
      <c r="D1070" s="698">
        <f>G1070+J1070+P1070+M1070</f>
        <v>0</v>
      </c>
      <c r="E1070" s="698">
        <f>SUM(H1070+K1070+N1070+Q1070)</f>
        <v>0</v>
      </c>
      <c r="F1070" s="980"/>
      <c r="G1070" s="720"/>
      <c r="H1070" s="698"/>
      <c r="I1070" s="702"/>
      <c r="J1070" s="703"/>
      <c r="K1070" s="698"/>
      <c r="L1070" s="704"/>
      <c r="M1070" s="720"/>
      <c r="N1070" s="698"/>
      <c r="O1070" s="766"/>
      <c r="P1070" s="698"/>
      <c r="Q1070" s="698"/>
      <c r="R1070" s="770"/>
    </row>
    <row r="1071" spans="1:18" ht="16.5" customHeight="1">
      <c r="A1071" s="789">
        <v>4300</v>
      </c>
      <c r="B1071" s="981" t="s">
        <v>219</v>
      </c>
      <c r="C1071" s="791">
        <v>650000</v>
      </c>
      <c r="D1071" s="792">
        <f aca="true" t="shared" si="129" ref="D1071:D1105">G1071+J1071+P1071+M1071</f>
        <v>647000</v>
      </c>
      <c r="E1071" s="792">
        <f aca="true" t="shared" si="130" ref="E1071:E1079">SUM(H1071+K1071+N1071+Q1071)</f>
        <v>541373</v>
      </c>
      <c r="F1071" s="982">
        <f aca="true" t="shared" si="131" ref="F1071:F1133">E1071/D1071*100</f>
        <v>83.67434312210202</v>
      </c>
      <c r="G1071" s="791">
        <f>650000+15000-800-4200-13000</f>
        <v>647000</v>
      </c>
      <c r="H1071" s="805">
        <v>541373</v>
      </c>
      <c r="I1071" s="826">
        <f>H1071/G1071*100</f>
        <v>83.67434312210202</v>
      </c>
      <c r="J1071" s="920"/>
      <c r="K1071" s="792"/>
      <c r="L1071" s="794"/>
      <c r="M1071" s="919"/>
      <c r="N1071" s="805"/>
      <c r="O1071" s="921"/>
      <c r="P1071" s="805"/>
      <c r="Q1071" s="805"/>
      <c r="R1071" s="922"/>
    </row>
    <row r="1072" spans="1:20" s="756" customFormat="1" ht="13.5" customHeight="1">
      <c r="A1072" s="757">
        <v>85153</v>
      </c>
      <c r="B1072" s="852" t="s">
        <v>755</v>
      </c>
      <c r="C1072" s="725">
        <f>SUM(C1073:C1079)</f>
        <v>150000</v>
      </c>
      <c r="D1072" s="712">
        <f t="shared" si="129"/>
        <v>150000</v>
      </c>
      <c r="E1072" s="712">
        <f t="shared" si="130"/>
        <v>144446</v>
      </c>
      <c r="F1072" s="960">
        <f t="shared" si="131"/>
        <v>96.29733333333334</v>
      </c>
      <c r="G1072" s="725">
        <f>SUM(G1073:G1079)</f>
        <v>150000</v>
      </c>
      <c r="H1072" s="712">
        <f>SUM(H1073:H1079)</f>
        <v>144446</v>
      </c>
      <c r="I1072" s="854">
        <f aca="true" t="shared" si="132" ref="I1072:I1127">H1072/G1072*100</f>
        <v>96.29733333333334</v>
      </c>
      <c r="J1072" s="717"/>
      <c r="K1072" s="712"/>
      <c r="L1072" s="718"/>
      <c r="M1072" s="725"/>
      <c r="N1072" s="712"/>
      <c r="O1072" s="762"/>
      <c r="P1072" s="712"/>
      <c r="Q1072" s="712"/>
      <c r="R1072" s="846"/>
      <c r="S1072" s="682"/>
      <c r="T1072" s="682"/>
    </row>
    <row r="1073" spans="1:18" ht="72" customHeight="1" hidden="1">
      <c r="A1073" s="983">
        <v>2620</v>
      </c>
      <c r="B1073" s="785" t="s">
        <v>466</v>
      </c>
      <c r="C1073" s="723"/>
      <c r="D1073" s="732">
        <f t="shared" si="129"/>
        <v>0</v>
      </c>
      <c r="E1073" s="732">
        <f t="shared" si="130"/>
        <v>0</v>
      </c>
      <c r="F1073" s="976" t="e">
        <f t="shared" si="131"/>
        <v>#DIV/0!</v>
      </c>
      <c r="G1073" s="723">
        <f>3000-3000</f>
        <v>0</v>
      </c>
      <c r="H1073" s="732">
        <f>3000-3000</f>
        <v>0</v>
      </c>
      <c r="I1073" s="740" t="e">
        <f t="shared" si="132"/>
        <v>#DIV/0!</v>
      </c>
      <c r="J1073" s="735"/>
      <c r="K1073" s="732"/>
      <c r="L1073" s="736"/>
      <c r="M1073" s="723"/>
      <c r="N1073" s="732"/>
      <c r="O1073" s="803"/>
      <c r="P1073" s="732"/>
      <c r="Q1073" s="732"/>
      <c r="R1073" s="788"/>
    </row>
    <row r="1074" spans="1:18" ht="96" hidden="1">
      <c r="A1074" s="764">
        <v>2570</v>
      </c>
      <c r="B1074" s="979" t="s">
        <v>796</v>
      </c>
      <c r="C1074" s="720"/>
      <c r="D1074" s="698">
        <f t="shared" si="129"/>
        <v>0</v>
      </c>
      <c r="E1074" s="698">
        <f t="shared" si="130"/>
        <v>0</v>
      </c>
      <c r="F1074" s="967" t="e">
        <f t="shared" si="131"/>
        <v>#DIV/0!</v>
      </c>
      <c r="G1074" s="720"/>
      <c r="H1074" s="698"/>
      <c r="I1074" s="746" t="e">
        <f t="shared" si="132"/>
        <v>#DIV/0!</v>
      </c>
      <c r="J1074" s="703"/>
      <c r="K1074" s="698"/>
      <c r="L1074" s="704"/>
      <c r="M1074" s="720"/>
      <c r="N1074" s="698"/>
      <c r="O1074" s="766"/>
      <c r="P1074" s="698"/>
      <c r="Q1074" s="698"/>
      <c r="R1074" s="770"/>
    </row>
    <row r="1075" spans="1:18" ht="61.5" customHeight="1">
      <c r="A1075" s="849">
        <v>2820</v>
      </c>
      <c r="B1075" s="768" t="s">
        <v>555</v>
      </c>
      <c r="C1075" s="720">
        <v>100000</v>
      </c>
      <c r="D1075" s="698">
        <f t="shared" si="129"/>
        <v>100000</v>
      </c>
      <c r="E1075" s="698">
        <f t="shared" si="130"/>
        <v>98030</v>
      </c>
      <c r="F1075" s="967">
        <f t="shared" si="131"/>
        <v>98.03</v>
      </c>
      <c r="G1075" s="720">
        <v>100000</v>
      </c>
      <c r="H1075" s="698">
        <v>98030</v>
      </c>
      <c r="I1075" s="699">
        <f t="shared" si="132"/>
        <v>98.03</v>
      </c>
      <c r="J1075" s="703"/>
      <c r="K1075" s="698"/>
      <c r="L1075" s="704"/>
      <c r="M1075" s="720"/>
      <c r="N1075" s="698"/>
      <c r="O1075" s="766"/>
      <c r="P1075" s="698"/>
      <c r="Q1075" s="698"/>
      <c r="R1075" s="770"/>
    </row>
    <row r="1076" spans="1:18" ht="48" hidden="1">
      <c r="A1076" s="764">
        <v>6060</v>
      </c>
      <c r="B1076" s="768" t="s">
        <v>593</v>
      </c>
      <c r="C1076" s="720"/>
      <c r="D1076" s="698">
        <f t="shared" si="129"/>
        <v>0</v>
      </c>
      <c r="E1076" s="698">
        <f t="shared" si="130"/>
        <v>0</v>
      </c>
      <c r="F1076" s="967" t="e">
        <f t="shared" si="131"/>
        <v>#DIV/0!</v>
      </c>
      <c r="G1076" s="720"/>
      <c r="H1076" s="698"/>
      <c r="I1076" s="699" t="e">
        <f t="shared" si="132"/>
        <v>#DIV/0!</v>
      </c>
      <c r="J1076" s="703"/>
      <c r="K1076" s="698"/>
      <c r="L1076" s="704"/>
      <c r="M1076" s="720"/>
      <c r="N1076" s="698"/>
      <c r="O1076" s="766"/>
      <c r="P1076" s="698"/>
      <c r="Q1076" s="698"/>
      <c r="R1076" s="770"/>
    </row>
    <row r="1077" spans="1:18" ht="24">
      <c r="A1077" s="764">
        <v>3000</v>
      </c>
      <c r="B1077" s="768" t="s">
        <v>669</v>
      </c>
      <c r="C1077" s="720">
        <v>15000</v>
      </c>
      <c r="D1077" s="698">
        <f t="shared" si="129"/>
        <v>15000</v>
      </c>
      <c r="E1077" s="698">
        <f t="shared" si="130"/>
        <v>14928</v>
      </c>
      <c r="F1077" s="967">
        <f t="shared" si="131"/>
        <v>99.52</v>
      </c>
      <c r="G1077" s="720">
        <v>15000</v>
      </c>
      <c r="H1077" s="698">
        <f>15000-72</f>
        <v>14928</v>
      </c>
      <c r="I1077" s="699">
        <f t="shared" si="132"/>
        <v>99.52</v>
      </c>
      <c r="J1077" s="703"/>
      <c r="K1077" s="698"/>
      <c r="L1077" s="704"/>
      <c r="M1077" s="720"/>
      <c r="N1077" s="698"/>
      <c r="O1077" s="766"/>
      <c r="P1077" s="698"/>
      <c r="Q1077" s="698"/>
      <c r="R1077" s="770"/>
    </row>
    <row r="1078" spans="1:18" ht="24">
      <c r="A1078" s="764">
        <v>4210</v>
      </c>
      <c r="B1078" s="768" t="s">
        <v>211</v>
      </c>
      <c r="C1078" s="720">
        <v>5000</v>
      </c>
      <c r="D1078" s="698">
        <f t="shared" si="129"/>
        <v>5000</v>
      </c>
      <c r="E1078" s="698">
        <f t="shared" si="130"/>
        <v>4458</v>
      </c>
      <c r="F1078" s="967">
        <f t="shared" si="131"/>
        <v>89.16</v>
      </c>
      <c r="G1078" s="720">
        <v>5000</v>
      </c>
      <c r="H1078" s="698">
        <v>4458</v>
      </c>
      <c r="I1078" s="699">
        <f t="shared" si="132"/>
        <v>89.16</v>
      </c>
      <c r="J1078" s="703"/>
      <c r="K1078" s="698"/>
      <c r="L1078" s="704"/>
      <c r="M1078" s="720"/>
      <c r="N1078" s="698"/>
      <c r="O1078" s="766"/>
      <c r="P1078" s="698"/>
      <c r="Q1078" s="698"/>
      <c r="R1078" s="770"/>
    </row>
    <row r="1079" spans="1:18" ht="12.75" customHeight="1">
      <c r="A1079" s="764">
        <v>4300</v>
      </c>
      <c r="B1079" s="768" t="s">
        <v>219</v>
      </c>
      <c r="C1079" s="720">
        <v>30000</v>
      </c>
      <c r="D1079" s="698">
        <f t="shared" si="129"/>
        <v>30000</v>
      </c>
      <c r="E1079" s="698">
        <f t="shared" si="130"/>
        <v>27030</v>
      </c>
      <c r="F1079" s="967">
        <f t="shared" si="131"/>
        <v>90.10000000000001</v>
      </c>
      <c r="G1079" s="720">
        <v>30000</v>
      </c>
      <c r="H1079" s="698">
        <v>27030</v>
      </c>
      <c r="I1079" s="699">
        <f t="shared" si="132"/>
        <v>90.10000000000001</v>
      </c>
      <c r="J1079" s="703"/>
      <c r="K1079" s="698"/>
      <c r="L1079" s="704"/>
      <c r="M1079" s="720"/>
      <c r="N1079" s="698"/>
      <c r="O1079" s="766"/>
      <c r="P1079" s="698"/>
      <c r="Q1079" s="698"/>
      <c r="R1079" s="770"/>
    </row>
    <row r="1080" spans="1:18" ht="24" customHeight="1">
      <c r="A1080" s="757">
        <v>85154</v>
      </c>
      <c r="B1080" s="852" t="s">
        <v>797</v>
      </c>
      <c r="C1080" s="725">
        <f>SUM(C1081:C1099)</f>
        <v>1783700</v>
      </c>
      <c r="D1080" s="712">
        <f t="shared" si="129"/>
        <v>2709731</v>
      </c>
      <c r="E1080" s="712">
        <f>H1080+K1080+Q1080+N1080</f>
        <v>2270375</v>
      </c>
      <c r="F1080" s="960">
        <f t="shared" si="131"/>
        <v>83.78599204127643</v>
      </c>
      <c r="G1080" s="725">
        <f>SUM(G1081:G1099)</f>
        <v>2709731</v>
      </c>
      <c r="H1080" s="712">
        <f>SUM(H1081:H1099)</f>
        <v>2270375</v>
      </c>
      <c r="I1080" s="854">
        <f t="shared" si="132"/>
        <v>83.78599204127643</v>
      </c>
      <c r="J1080" s="717"/>
      <c r="K1080" s="712"/>
      <c r="L1080" s="718"/>
      <c r="M1080" s="725"/>
      <c r="N1080" s="712"/>
      <c r="O1080" s="762"/>
      <c r="P1080" s="712"/>
      <c r="Q1080" s="712"/>
      <c r="R1080" s="846"/>
    </row>
    <row r="1081" spans="1:18" ht="48" hidden="1">
      <c r="A1081" s="784">
        <v>2480</v>
      </c>
      <c r="B1081" s="785" t="s">
        <v>739</v>
      </c>
      <c r="C1081" s="723"/>
      <c r="D1081" s="732">
        <f t="shared" si="129"/>
        <v>0</v>
      </c>
      <c r="E1081" s="732">
        <f aca="true" t="shared" si="133" ref="E1081:E1099">SUM(H1081+K1081+N1081+Q1081)</f>
        <v>0</v>
      </c>
      <c r="F1081" s="976" t="e">
        <f t="shared" si="131"/>
        <v>#DIV/0!</v>
      </c>
      <c r="G1081" s="723"/>
      <c r="H1081" s="732"/>
      <c r="I1081" s="740" t="e">
        <f t="shared" si="132"/>
        <v>#DIV/0!</v>
      </c>
      <c r="J1081" s="735"/>
      <c r="K1081" s="732"/>
      <c r="L1081" s="736"/>
      <c r="M1081" s="723"/>
      <c r="N1081" s="732"/>
      <c r="O1081" s="803"/>
      <c r="P1081" s="732"/>
      <c r="Q1081" s="732"/>
      <c r="R1081" s="788"/>
    </row>
    <row r="1082" spans="1:18" ht="62.25" customHeight="1">
      <c r="A1082" s="764">
        <v>2820</v>
      </c>
      <c r="B1082" s="768" t="s">
        <v>555</v>
      </c>
      <c r="C1082" s="720">
        <v>500000</v>
      </c>
      <c r="D1082" s="698">
        <f t="shared" si="129"/>
        <v>800000</v>
      </c>
      <c r="E1082" s="698">
        <f t="shared" si="133"/>
        <v>708299</v>
      </c>
      <c r="F1082" s="967">
        <f t="shared" si="131"/>
        <v>88.537375</v>
      </c>
      <c r="G1082" s="720">
        <f>500000+300000</f>
        <v>800000</v>
      </c>
      <c r="H1082" s="698">
        <f>710304-1-2004</f>
        <v>708299</v>
      </c>
      <c r="I1082" s="699">
        <f t="shared" si="132"/>
        <v>88.537375</v>
      </c>
      <c r="J1082" s="703"/>
      <c r="K1082" s="698"/>
      <c r="L1082" s="704"/>
      <c r="M1082" s="720"/>
      <c r="N1082" s="698"/>
      <c r="O1082" s="766"/>
      <c r="P1082" s="698"/>
      <c r="Q1082" s="698"/>
      <c r="R1082" s="770"/>
    </row>
    <row r="1083" spans="1:18" ht="25.5" customHeight="1">
      <c r="A1083" s="764">
        <v>3000</v>
      </c>
      <c r="B1083" s="768" t="s">
        <v>669</v>
      </c>
      <c r="C1083" s="720"/>
      <c r="D1083" s="698">
        <f t="shared" si="129"/>
        <v>63600</v>
      </c>
      <c r="E1083" s="698">
        <f t="shared" si="133"/>
        <v>63205</v>
      </c>
      <c r="F1083" s="967">
        <f t="shared" si="131"/>
        <v>99.37893081761007</v>
      </c>
      <c r="G1083" s="720">
        <f>53600+10000</f>
        <v>63600</v>
      </c>
      <c r="H1083" s="698">
        <f>63133+72</f>
        <v>63205</v>
      </c>
      <c r="I1083" s="699">
        <f t="shared" si="132"/>
        <v>99.37893081761007</v>
      </c>
      <c r="J1083" s="703"/>
      <c r="K1083" s="698"/>
      <c r="L1083" s="704"/>
      <c r="M1083" s="720"/>
      <c r="N1083" s="698"/>
      <c r="O1083" s="766"/>
      <c r="P1083" s="698"/>
      <c r="Q1083" s="698"/>
      <c r="R1083" s="770"/>
    </row>
    <row r="1084" spans="1:18" ht="25.5" customHeight="1" hidden="1">
      <c r="A1084" s="764">
        <v>3030</v>
      </c>
      <c r="B1084" s="768" t="s">
        <v>199</v>
      </c>
      <c r="C1084" s="720"/>
      <c r="D1084" s="698">
        <f>G1084+J1084+P1084+M1084</f>
        <v>0</v>
      </c>
      <c r="E1084" s="698">
        <f>SUM(H1084+K1084+N1084+Q1084)</f>
        <v>0</v>
      </c>
      <c r="F1084" s="967" t="e">
        <f>E1084/D1084*100</f>
        <v>#DIV/0!</v>
      </c>
      <c r="G1084" s="720">
        <f>10000-10000</f>
        <v>0</v>
      </c>
      <c r="H1084" s="698"/>
      <c r="I1084" s="699" t="e">
        <f t="shared" si="132"/>
        <v>#DIV/0!</v>
      </c>
      <c r="J1084" s="703"/>
      <c r="K1084" s="698"/>
      <c r="L1084" s="704"/>
      <c r="M1084" s="720"/>
      <c r="N1084" s="698"/>
      <c r="O1084" s="766"/>
      <c r="P1084" s="698"/>
      <c r="Q1084" s="698"/>
      <c r="R1084" s="770"/>
    </row>
    <row r="1085" spans="1:18" ht="24.75" customHeight="1">
      <c r="A1085" s="764">
        <v>4170</v>
      </c>
      <c r="B1085" s="768" t="s">
        <v>242</v>
      </c>
      <c r="C1085" s="720">
        <v>60000</v>
      </c>
      <c r="D1085" s="698">
        <f>G1085+J1085+P1085+M1085</f>
        <v>60000</v>
      </c>
      <c r="E1085" s="698">
        <f>SUM(H1085+K1085+N1085+Q1085)</f>
        <v>54922</v>
      </c>
      <c r="F1085" s="967">
        <f>E1085/D1085*100</f>
        <v>91.53666666666666</v>
      </c>
      <c r="G1085" s="720">
        <f>60000</f>
        <v>60000</v>
      </c>
      <c r="H1085" s="698">
        <v>54922</v>
      </c>
      <c r="I1085" s="746">
        <f t="shared" si="132"/>
        <v>91.53666666666666</v>
      </c>
      <c r="J1085" s="703"/>
      <c r="K1085" s="698"/>
      <c r="L1085" s="704"/>
      <c r="M1085" s="720"/>
      <c r="N1085" s="698"/>
      <c r="O1085" s="766"/>
      <c r="P1085" s="698"/>
      <c r="Q1085" s="698"/>
      <c r="R1085" s="770"/>
    </row>
    <row r="1086" spans="1:18" ht="14.25" customHeight="1">
      <c r="A1086" s="764">
        <v>4210</v>
      </c>
      <c r="B1086" s="768" t="s">
        <v>211</v>
      </c>
      <c r="C1086" s="720">
        <v>40000</v>
      </c>
      <c r="D1086" s="698">
        <f t="shared" si="129"/>
        <v>321142</v>
      </c>
      <c r="E1086" s="698">
        <f t="shared" si="133"/>
        <v>318816</v>
      </c>
      <c r="F1086" s="967">
        <f t="shared" si="131"/>
        <v>99.27570981061338</v>
      </c>
      <c r="G1086" s="720">
        <f>40000+20000+67072+42000+50000+73860+28210</f>
        <v>321142</v>
      </c>
      <c r="H1086" s="698">
        <f>265142+53674</f>
        <v>318816</v>
      </c>
      <c r="I1086" s="699">
        <f t="shared" si="132"/>
        <v>99.27570981061338</v>
      </c>
      <c r="J1086" s="703"/>
      <c r="K1086" s="698"/>
      <c r="L1086" s="704"/>
      <c r="M1086" s="720"/>
      <c r="N1086" s="698"/>
      <c r="O1086" s="766"/>
      <c r="P1086" s="698"/>
      <c r="Q1086" s="698"/>
      <c r="R1086" s="770"/>
    </row>
    <row r="1087" spans="1:18" ht="16.5" customHeight="1">
      <c r="A1087" s="764">
        <v>4220</v>
      </c>
      <c r="B1087" s="768" t="s">
        <v>680</v>
      </c>
      <c r="C1087" s="720"/>
      <c r="D1087" s="698">
        <f>G1087+J1087+P1087+M1087</f>
        <v>22000</v>
      </c>
      <c r="E1087" s="698">
        <f>SUM(H1087+K1087+N1087+Q1087)</f>
        <v>16449</v>
      </c>
      <c r="F1087" s="967">
        <f>E1087/D1087*100</f>
        <v>74.76818181818182</v>
      </c>
      <c r="G1087" s="720">
        <f>16000+6000</f>
        <v>22000</v>
      </c>
      <c r="H1087" s="698">
        <f>16047+402</f>
        <v>16449</v>
      </c>
      <c r="I1087" s="746">
        <f t="shared" si="132"/>
        <v>74.76818181818182</v>
      </c>
      <c r="J1087" s="703"/>
      <c r="K1087" s="698"/>
      <c r="L1087" s="704"/>
      <c r="M1087" s="720"/>
      <c r="N1087" s="698"/>
      <c r="O1087" s="766"/>
      <c r="P1087" s="698"/>
      <c r="Q1087" s="698"/>
      <c r="R1087" s="770"/>
    </row>
    <row r="1088" spans="1:18" ht="24.75" customHeight="1">
      <c r="A1088" s="764">
        <v>4240</v>
      </c>
      <c r="B1088" s="768" t="s">
        <v>572</v>
      </c>
      <c r="C1088" s="720">
        <v>2000</v>
      </c>
      <c r="D1088" s="698">
        <f t="shared" si="129"/>
        <v>12000</v>
      </c>
      <c r="E1088" s="698">
        <f t="shared" si="133"/>
        <v>9966</v>
      </c>
      <c r="F1088" s="967">
        <f t="shared" si="131"/>
        <v>83.05</v>
      </c>
      <c r="G1088" s="720">
        <f>2000+10000</f>
        <v>12000</v>
      </c>
      <c r="H1088" s="698">
        <f>9968-2</f>
        <v>9966</v>
      </c>
      <c r="I1088" s="746">
        <f t="shared" si="132"/>
        <v>83.05</v>
      </c>
      <c r="J1088" s="703"/>
      <c r="K1088" s="698"/>
      <c r="L1088" s="704"/>
      <c r="M1088" s="720"/>
      <c r="N1088" s="698"/>
      <c r="O1088" s="766"/>
      <c r="P1088" s="698"/>
      <c r="Q1088" s="698"/>
      <c r="R1088" s="770"/>
    </row>
    <row r="1089" spans="1:18" ht="16.5" customHeight="1">
      <c r="A1089" s="764">
        <v>4270</v>
      </c>
      <c r="B1089" s="768" t="s">
        <v>217</v>
      </c>
      <c r="C1089" s="720">
        <v>130000</v>
      </c>
      <c r="D1089" s="698">
        <f t="shared" si="129"/>
        <v>341933</v>
      </c>
      <c r="E1089" s="698">
        <f>SUM(H1089+K1089+N1089+Q1089)</f>
        <v>69100</v>
      </c>
      <c r="F1089" s="967">
        <f>E1089/D1089*100</f>
        <v>20.208637364629915</v>
      </c>
      <c r="G1089" s="720">
        <f>130000+550000-42072-154500-6500-112090-20100-105-2700</f>
        <v>341933</v>
      </c>
      <c r="H1089" s="698">
        <f>123364-54264</f>
        <v>69100</v>
      </c>
      <c r="I1089" s="699">
        <f t="shared" si="132"/>
        <v>20.208637364629915</v>
      </c>
      <c r="J1089" s="703"/>
      <c r="K1089" s="698"/>
      <c r="L1089" s="704"/>
      <c r="M1089" s="720"/>
      <c r="N1089" s="698"/>
      <c r="O1089" s="766"/>
      <c r="P1089" s="698"/>
      <c r="Q1089" s="698"/>
      <c r="R1089" s="770"/>
    </row>
    <row r="1090" spans="1:18" ht="13.5" customHeight="1">
      <c r="A1090" s="764">
        <v>4300</v>
      </c>
      <c r="B1090" s="768" t="s">
        <v>219</v>
      </c>
      <c r="C1090" s="720">
        <v>933700</v>
      </c>
      <c r="D1090" s="698">
        <f t="shared" si="129"/>
        <v>818741</v>
      </c>
      <c r="E1090" s="698">
        <f t="shared" si="133"/>
        <v>767442</v>
      </c>
      <c r="F1090" s="967">
        <f t="shared" si="131"/>
        <v>93.73440440872022</v>
      </c>
      <c r="G1090" s="720">
        <f>933700-53600-17000+40031-25000-73860+14470</f>
        <v>818741</v>
      </c>
      <c r="H1090" s="698">
        <f>767253+189</f>
        <v>767442</v>
      </c>
      <c r="I1090" s="746">
        <f t="shared" si="132"/>
        <v>93.73440440872022</v>
      </c>
      <c r="J1090" s="703"/>
      <c r="K1090" s="698"/>
      <c r="L1090" s="704"/>
      <c r="M1090" s="720"/>
      <c r="N1090" s="698"/>
      <c r="O1090" s="766"/>
      <c r="P1090" s="698"/>
      <c r="Q1090" s="698"/>
      <c r="R1090" s="770"/>
    </row>
    <row r="1091" spans="1:18" ht="37.5" customHeight="1">
      <c r="A1091" s="764">
        <v>4390</v>
      </c>
      <c r="B1091" s="768" t="s">
        <v>243</v>
      </c>
      <c r="C1091" s="720">
        <v>10000</v>
      </c>
      <c r="D1091" s="698">
        <f>G1091+J1091+P1091+M1091</f>
        <v>0</v>
      </c>
      <c r="E1091" s="698">
        <f>SUM(H1091+K1091+N1091+Q1091)</f>
        <v>0</v>
      </c>
      <c r="F1091" s="967"/>
      <c r="G1091" s="720">
        <f>10000-10000</f>
        <v>0</v>
      </c>
      <c r="H1091" s="698"/>
      <c r="I1091" s="746"/>
      <c r="J1091" s="703"/>
      <c r="K1091" s="698"/>
      <c r="L1091" s="704"/>
      <c r="M1091" s="720"/>
      <c r="N1091" s="698"/>
      <c r="O1091" s="766"/>
      <c r="P1091" s="698"/>
      <c r="Q1091" s="698"/>
      <c r="R1091" s="770"/>
    </row>
    <row r="1092" spans="1:18" ht="13.5" customHeight="1">
      <c r="A1092" s="764">
        <v>4410</v>
      </c>
      <c r="B1092" s="768" t="s">
        <v>193</v>
      </c>
      <c r="C1092" s="720">
        <v>2000</v>
      </c>
      <c r="D1092" s="698">
        <f t="shared" si="129"/>
        <v>2000</v>
      </c>
      <c r="E1092" s="698">
        <f t="shared" si="133"/>
        <v>408</v>
      </c>
      <c r="F1092" s="967">
        <f t="shared" si="131"/>
        <v>20.4</v>
      </c>
      <c r="G1092" s="720">
        <v>2000</v>
      </c>
      <c r="H1092" s="698">
        <v>408</v>
      </c>
      <c r="I1092" s="699">
        <f t="shared" si="132"/>
        <v>20.4</v>
      </c>
      <c r="J1092" s="703"/>
      <c r="K1092" s="698"/>
      <c r="L1092" s="704"/>
      <c r="M1092" s="720"/>
      <c r="N1092" s="698"/>
      <c r="O1092" s="766"/>
      <c r="P1092" s="698"/>
      <c r="Q1092" s="698"/>
      <c r="R1092" s="770"/>
    </row>
    <row r="1093" spans="1:18" ht="13.5" customHeight="1" hidden="1">
      <c r="A1093" s="764">
        <v>4430</v>
      </c>
      <c r="B1093" s="768" t="s">
        <v>221</v>
      </c>
      <c r="C1093" s="720"/>
      <c r="D1093" s="698">
        <f t="shared" si="129"/>
        <v>0</v>
      </c>
      <c r="E1093" s="698">
        <f t="shared" si="133"/>
        <v>0</v>
      </c>
      <c r="F1093" s="967" t="e">
        <f t="shared" si="131"/>
        <v>#DIV/0!</v>
      </c>
      <c r="G1093" s="720"/>
      <c r="H1093" s="698"/>
      <c r="I1093" s="699" t="e">
        <f t="shared" si="132"/>
        <v>#DIV/0!</v>
      </c>
      <c r="J1093" s="703"/>
      <c r="K1093" s="698"/>
      <c r="L1093" s="704"/>
      <c r="M1093" s="720"/>
      <c r="N1093" s="698"/>
      <c r="O1093" s="766"/>
      <c r="P1093" s="698"/>
      <c r="Q1093" s="698"/>
      <c r="R1093" s="770"/>
    </row>
    <row r="1094" spans="1:18" ht="27.75" customHeight="1">
      <c r="A1094" s="764">
        <v>4610</v>
      </c>
      <c r="B1094" s="768" t="s">
        <v>798</v>
      </c>
      <c r="C1094" s="720">
        <v>3000</v>
      </c>
      <c r="D1094" s="698">
        <f>G1094+J1094+P1094+M1094</f>
        <v>3000</v>
      </c>
      <c r="E1094" s="698">
        <f>SUM(H1094+K1094+N1094+Q1094)</f>
        <v>1190</v>
      </c>
      <c r="F1094" s="967">
        <f>E1094/D1094*100</f>
        <v>39.666666666666664</v>
      </c>
      <c r="G1094" s="720">
        <v>3000</v>
      </c>
      <c r="H1094" s="698">
        <f>1230-40</f>
        <v>1190</v>
      </c>
      <c r="I1094" s="699">
        <f t="shared" si="132"/>
        <v>39.666666666666664</v>
      </c>
      <c r="J1094" s="703"/>
      <c r="K1094" s="698"/>
      <c r="L1094" s="704"/>
      <c r="M1094" s="720"/>
      <c r="N1094" s="698"/>
      <c r="O1094" s="766"/>
      <c r="P1094" s="698"/>
      <c r="Q1094" s="698"/>
      <c r="R1094" s="770"/>
    </row>
    <row r="1095" spans="1:18" ht="42" customHeight="1">
      <c r="A1095" s="764">
        <v>4700</v>
      </c>
      <c r="B1095" s="828" t="s">
        <v>550</v>
      </c>
      <c r="C1095" s="720">
        <v>3000</v>
      </c>
      <c r="D1095" s="698">
        <f>G1095+J1095+P1095+M1095</f>
        <v>3000</v>
      </c>
      <c r="E1095" s="698">
        <f>SUM(H1095+K1095+N1095+Q1095)</f>
        <v>0</v>
      </c>
      <c r="F1095" s="967">
        <f>E1095/D1095*100</f>
        <v>0</v>
      </c>
      <c r="G1095" s="720">
        <v>3000</v>
      </c>
      <c r="H1095" s="698"/>
      <c r="I1095" s="699">
        <f t="shared" si="132"/>
        <v>0</v>
      </c>
      <c r="J1095" s="703"/>
      <c r="K1095" s="698"/>
      <c r="L1095" s="704"/>
      <c r="M1095" s="720"/>
      <c r="N1095" s="698"/>
      <c r="O1095" s="766"/>
      <c r="P1095" s="698"/>
      <c r="Q1095" s="698"/>
      <c r="R1095" s="770"/>
    </row>
    <row r="1096" spans="1:18" ht="60" hidden="1">
      <c r="A1096" s="764">
        <v>4740</v>
      </c>
      <c r="B1096" s="828" t="s">
        <v>235</v>
      </c>
      <c r="C1096" s="720"/>
      <c r="D1096" s="698">
        <f>G1096+J1096+P1096+M1096</f>
        <v>0</v>
      </c>
      <c r="E1096" s="698">
        <f>SUM(H1096+K1096+N1096+Q1096)</f>
        <v>0</v>
      </c>
      <c r="F1096" s="967" t="e">
        <f>E1096/D1096*100</f>
        <v>#DIV/0!</v>
      </c>
      <c r="G1096" s="720"/>
      <c r="H1096" s="698"/>
      <c r="I1096" s="699" t="e">
        <f t="shared" si="132"/>
        <v>#DIV/0!</v>
      </c>
      <c r="J1096" s="703"/>
      <c r="K1096" s="698"/>
      <c r="L1096" s="704"/>
      <c r="M1096" s="720"/>
      <c r="N1096" s="698"/>
      <c r="O1096" s="766"/>
      <c r="P1096" s="698"/>
      <c r="Q1096" s="698"/>
      <c r="R1096" s="770"/>
    </row>
    <row r="1097" spans="1:18" ht="36">
      <c r="A1097" s="764">
        <v>4750</v>
      </c>
      <c r="B1097" s="828" t="s">
        <v>551</v>
      </c>
      <c r="C1097" s="720"/>
      <c r="D1097" s="698">
        <f>G1097+J1097+P1097+M1097</f>
        <v>1000</v>
      </c>
      <c r="E1097" s="698">
        <f>SUM(H1097+K1097+N1097+Q1097)</f>
        <v>580</v>
      </c>
      <c r="F1097" s="967">
        <f>E1097/D1097*100</f>
        <v>57.99999999999999</v>
      </c>
      <c r="G1097" s="720">
        <v>1000</v>
      </c>
      <c r="H1097" s="698">
        <v>580</v>
      </c>
      <c r="I1097" s="699">
        <f t="shared" si="132"/>
        <v>57.99999999999999</v>
      </c>
      <c r="J1097" s="703"/>
      <c r="K1097" s="698"/>
      <c r="L1097" s="704"/>
      <c r="M1097" s="720"/>
      <c r="N1097" s="698"/>
      <c r="O1097" s="766"/>
      <c r="P1097" s="698"/>
      <c r="Q1097" s="698"/>
      <c r="R1097" s="770"/>
    </row>
    <row r="1098" spans="1:18" ht="37.5" customHeight="1">
      <c r="A1098" s="764">
        <v>6060</v>
      </c>
      <c r="B1098" s="828" t="s">
        <v>552</v>
      </c>
      <c r="C1098" s="720"/>
      <c r="D1098" s="698">
        <f>G1098+J1098+P1098+M1098</f>
        <v>135025</v>
      </c>
      <c r="E1098" s="698">
        <f>SUM(H1098+K1098+N1098+Q1098)</f>
        <v>133748</v>
      </c>
      <c r="F1098" s="967">
        <f>E1098/D1098*100</f>
        <v>99.05424921310868</v>
      </c>
      <c r="G1098" s="720">
        <f>7000+50000+57820+20100+105</f>
        <v>135025</v>
      </c>
      <c r="H1098" s="698">
        <v>133748</v>
      </c>
      <c r="I1098" s="699">
        <f t="shared" si="132"/>
        <v>99.05424921310868</v>
      </c>
      <c r="J1098" s="703"/>
      <c r="K1098" s="698"/>
      <c r="L1098" s="704"/>
      <c r="M1098" s="720"/>
      <c r="N1098" s="698"/>
      <c r="O1098" s="766"/>
      <c r="P1098" s="698"/>
      <c r="Q1098" s="698"/>
      <c r="R1098" s="770"/>
    </row>
    <row r="1099" spans="1:18" ht="25.5" customHeight="1">
      <c r="A1099" s="789">
        <v>6050</v>
      </c>
      <c r="B1099" s="804" t="s">
        <v>275</v>
      </c>
      <c r="C1099" s="791">
        <v>100000</v>
      </c>
      <c r="D1099" s="792">
        <f t="shared" si="129"/>
        <v>126290</v>
      </c>
      <c r="E1099" s="792">
        <f t="shared" si="133"/>
        <v>126250</v>
      </c>
      <c r="F1099" s="982">
        <f t="shared" si="131"/>
        <v>99.9683268667353</v>
      </c>
      <c r="G1099" s="791">
        <f>100000+154500-49000-100000+6500+11590+2700</f>
        <v>126290</v>
      </c>
      <c r="H1099" s="792">
        <v>126250</v>
      </c>
      <c r="I1099" s="760">
        <f t="shared" si="132"/>
        <v>99.9683268667353</v>
      </c>
      <c r="J1099" s="793"/>
      <c r="K1099" s="792"/>
      <c r="L1099" s="794"/>
      <c r="M1099" s="791"/>
      <c r="N1099" s="792"/>
      <c r="O1099" s="806"/>
      <c r="P1099" s="792"/>
      <c r="Q1099" s="792"/>
      <c r="R1099" s="797"/>
    </row>
    <row r="1100" spans="1:20" s="756" customFormat="1" ht="75.75" customHeight="1">
      <c r="A1100" s="757">
        <v>85156</v>
      </c>
      <c r="B1100" s="852" t="s">
        <v>799</v>
      </c>
      <c r="C1100" s="725">
        <f>SUM(C1101)</f>
        <v>15000</v>
      </c>
      <c r="D1100" s="712">
        <f t="shared" si="129"/>
        <v>9900</v>
      </c>
      <c r="E1100" s="712">
        <f>SUM(E1101)</f>
        <v>8262</v>
      </c>
      <c r="F1100" s="960">
        <f>E1100/D1100*100</f>
        <v>83.45454545454545</v>
      </c>
      <c r="G1100" s="725"/>
      <c r="H1100" s="712"/>
      <c r="I1100" s="846"/>
      <c r="J1100" s="717"/>
      <c r="K1100" s="712"/>
      <c r="L1100" s="718"/>
      <c r="M1100" s="725"/>
      <c r="N1100" s="712"/>
      <c r="O1100" s="876"/>
      <c r="P1100" s="712">
        <f>SUM(P1101)</f>
        <v>9900</v>
      </c>
      <c r="Q1100" s="712">
        <f>SUM(Q1101)</f>
        <v>8262</v>
      </c>
      <c r="R1100" s="741">
        <f>Q1100/P1100*100</f>
        <v>83.45454545454545</v>
      </c>
      <c r="S1100" s="682"/>
      <c r="T1100" s="682"/>
    </row>
    <row r="1101" spans="1:20" s="756" customFormat="1" ht="23.25" customHeight="1">
      <c r="A1101" s="764">
        <v>4130</v>
      </c>
      <c r="B1101" s="768" t="s">
        <v>714</v>
      </c>
      <c r="C1101" s="720">
        <v>15000</v>
      </c>
      <c r="D1101" s="698">
        <f t="shared" si="129"/>
        <v>9900</v>
      </c>
      <c r="E1101" s="698">
        <f>SUM(H1101+K1101+N1101+Q1101)</f>
        <v>8262</v>
      </c>
      <c r="F1101" s="967">
        <f>E1101/D1101*100</f>
        <v>83.45454545454545</v>
      </c>
      <c r="G1101" s="720"/>
      <c r="H1101" s="698"/>
      <c r="I1101" s="770"/>
      <c r="J1101" s="703"/>
      <c r="K1101" s="698"/>
      <c r="L1101" s="704"/>
      <c r="M1101" s="720"/>
      <c r="N1101" s="698"/>
      <c r="O1101" s="704"/>
      <c r="P1101" s="698">
        <f>15000-5100</f>
        <v>9900</v>
      </c>
      <c r="Q1101" s="698">
        <v>8262</v>
      </c>
      <c r="R1101" s="744">
        <f>Q1101/P1101*100</f>
        <v>83.45454545454545</v>
      </c>
      <c r="S1101" s="682"/>
      <c r="T1101" s="682"/>
    </row>
    <row r="1102" spans="1:18" ht="13.5" customHeight="1" hidden="1">
      <c r="A1102" s="757">
        <v>85158</v>
      </c>
      <c r="B1102" s="959" t="s">
        <v>800</v>
      </c>
      <c r="C1102" s="725">
        <f>SUM(C1104:C1117)</f>
        <v>0</v>
      </c>
      <c r="D1102" s="712">
        <f t="shared" si="129"/>
        <v>0</v>
      </c>
      <c r="E1102" s="712">
        <f>SUM(E1103:E1117)</f>
        <v>0</v>
      </c>
      <c r="F1102" s="960" t="e">
        <f t="shared" si="131"/>
        <v>#DIV/0!</v>
      </c>
      <c r="G1102" s="845">
        <f>SUM(G1103:G1117)</f>
        <v>0</v>
      </c>
      <c r="H1102" s="712">
        <f>SUM(H1103:H1117)</f>
        <v>0</v>
      </c>
      <c r="I1102" s="854" t="e">
        <f t="shared" si="132"/>
        <v>#DIV/0!</v>
      </c>
      <c r="J1102" s="717"/>
      <c r="K1102" s="712"/>
      <c r="L1102" s="718"/>
      <c r="M1102" s="725"/>
      <c r="N1102" s="712"/>
      <c r="O1102" s="762"/>
      <c r="P1102" s="712"/>
      <c r="Q1102" s="712"/>
      <c r="R1102" s="984"/>
    </row>
    <row r="1103" spans="1:18" ht="36.75" customHeight="1" hidden="1">
      <c r="A1103" s="784">
        <v>3020</v>
      </c>
      <c r="B1103" s="785" t="s">
        <v>650</v>
      </c>
      <c r="C1103" s="723">
        <v>0</v>
      </c>
      <c r="D1103" s="732">
        <f>G1103+J1103+P1103+M1103</f>
        <v>0</v>
      </c>
      <c r="E1103" s="732">
        <f>SUM(H1103+K1103+N1103+Q1103)</f>
        <v>0</v>
      </c>
      <c r="F1103" s="976" t="e">
        <f t="shared" si="131"/>
        <v>#DIV/0!</v>
      </c>
      <c r="G1103" s="723"/>
      <c r="H1103" s="732"/>
      <c r="I1103" s="740" t="e">
        <f>H1103/G1103*100</f>
        <v>#DIV/0!</v>
      </c>
      <c r="J1103" s="985"/>
      <c r="K1103" s="986"/>
      <c r="L1103" s="987"/>
      <c r="M1103" s="988"/>
      <c r="N1103" s="986"/>
      <c r="O1103" s="803"/>
      <c r="P1103" s="986"/>
      <c r="Q1103" s="986"/>
      <c r="R1103" s="989"/>
    </row>
    <row r="1104" spans="1:18" ht="24.75" customHeight="1" hidden="1">
      <c r="A1104" s="764">
        <v>4010</v>
      </c>
      <c r="B1104" s="934" t="s">
        <v>673</v>
      </c>
      <c r="C1104" s="720"/>
      <c r="D1104" s="698">
        <f t="shared" si="129"/>
        <v>0</v>
      </c>
      <c r="E1104" s="698">
        <f>SUM(H1104+K1104+N1104+Q1104)</f>
        <v>0</v>
      </c>
      <c r="F1104" s="967" t="e">
        <f t="shared" si="131"/>
        <v>#DIV/0!</v>
      </c>
      <c r="G1104" s="720"/>
      <c r="H1104" s="698"/>
      <c r="I1104" s="746" t="e">
        <f t="shared" si="132"/>
        <v>#DIV/0!</v>
      </c>
      <c r="J1104" s="703"/>
      <c r="K1104" s="698"/>
      <c r="L1104" s="704"/>
      <c r="M1104" s="720"/>
      <c r="N1104" s="698"/>
      <c r="O1104" s="766"/>
      <c r="P1104" s="698"/>
      <c r="Q1104" s="698"/>
      <c r="R1104" s="990"/>
    </row>
    <row r="1105" spans="1:18" ht="21.75" customHeight="1" hidden="1">
      <c r="A1105" s="764">
        <v>4040</v>
      </c>
      <c r="B1105" s="934" t="s">
        <v>280</v>
      </c>
      <c r="C1105" s="720"/>
      <c r="D1105" s="698">
        <f t="shared" si="129"/>
        <v>0</v>
      </c>
      <c r="E1105" s="698">
        <f>SUM(H1105+K1105+N1105+Q1105)</f>
        <v>0</v>
      </c>
      <c r="F1105" s="967" t="e">
        <f t="shared" si="131"/>
        <v>#DIV/0!</v>
      </c>
      <c r="G1105" s="720"/>
      <c r="H1105" s="698"/>
      <c r="I1105" s="746" t="e">
        <f t="shared" si="132"/>
        <v>#DIV/0!</v>
      </c>
      <c r="J1105" s="703"/>
      <c r="K1105" s="698"/>
      <c r="L1105" s="704"/>
      <c r="M1105" s="720"/>
      <c r="N1105" s="698"/>
      <c r="O1105" s="766"/>
      <c r="P1105" s="698"/>
      <c r="Q1105" s="698"/>
      <c r="R1105" s="990"/>
    </row>
    <row r="1106" spans="1:18" ht="24.75" customHeight="1" hidden="1">
      <c r="A1106" s="764">
        <v>4110</v>
      </c>
      <c r="B1106" s="934" t="s">
        <v>207</v>
      </c>
      <c r="C1106" s="720"/>
      <c r="D1106" s="698">
        <f>G1106+J1106+P1106+M1106</f>
        <v>0</v>
      </c>
      <c r="E1106" s="698">
        <f>SUM(H1106+K1106+N1106+Q1106)</f>
        <v>0</v>
      </c>
      <c r="F1106" s="967" t="e">
        <f t="shared" si="131"/>
        <v>#DIV/0!</v>
      </c>
      <c r="G1106" s="720"/>
      <c r="H1106" s="698"/>
      <c r="I1106" s="746" t="e">
        <f t="shared" si="132"/>
        <v>#DIV/0!</v>
      </c>
      <c r="J1106" s="703"/>
      <c r="K1106" s="698"/>
      <c r="L1106" s="704"/>
      <c r="M1106" s="698"/>
      <c r="N1106" s="698"/>
      <c r="O1106" s="766"/>
      <c r="P1106" s="698"/>
      <c r="Q1106" s="698"/>
      <c r="R1106" s="990"/>
    </row>
    <row r="1107" spans="1:18" ht="11.25" customHeight="1" hidden="1">
      <c r="A1107" s="764">
        <v>4120</v>
      </c>
      <c r="B1107" s="934" t="s">
        <v>584</v>
      </c>
      <c r="C1107" s="720"/>
      <c r="D1107" s="698">
        <f>G1107+J1107+P1107+M1107</f>
        <v>0</v>
      </c>
      <c r="E1107" s="698">
        <f>SUM(H1107+K1107+N1107+Q1107)</f>
        <v>0</v>
      </c>
      <c r="F1107" s="967" t="e">
        <f t="shared" si="131"/>
        <v>#DIV/0!</v>
      </c>
      <c r="G1107" s="720"/>
      <c r="H1107" s="698"/>
      <c r="I1107" s="746" t="e">
        <f t="shared" si="132"/>
        <v>#DIV/0!</v>
      </c>
      <c r="J1107" s="703"/>
      <c r="K1107" s="698"/>
      <c r="L1107" s="704"/>
      <c r="M1107" s="698"/>
      <c r="N1107" s="698"/>
      <c r="O1107" s="766"/>
      <c r="P1107" s="698"/>
      <c r="Q1107" s="698"/>
      <c r="R1107" s="990"/>
    </row>
    <row r="1108" spans="1:18" ht="22.5" customHeight="1" hidden="1">
      <c r="A1108" s="764">
        <v>4210</v>
      </c>
      <c r="B1108" s="934" t="s">
        <v>211</v>
      </c>
      <c r="C1108" s="720"/>
      <c r="D1108" s="698">
        <f aca="true" t="shared" si="134" ref="D1108:D1125">G1108+J1108+P1108+M1108</f>
        <v>0</v>
      </c>
      <c r="E1108" s="698">
        <f aca="true" t="shared" si="135" ref="E1108:E1117">SUM(H1108+K1108+N1108+Q1108)</f>
        <v>0</v>
      </c>
      <c r="F1108" s="967" t="e">
        <f t="shared" si="131"/>
        <v>#DIV/0!</v>
      </c>
      <c r="G1108" s="720"/>
      <c r="H1108" s="698"/>
      <c r="I1108" s="746" t="e">
        <f t="shared" si="132"/>
        <v>#DIV/0!</v>
      </c>
      <c r="J1108" s="703"/>
      <c r="K1108" s="698"/>
      <c r="L1108" s="704"/>
      <c r="M1108" s="698"/>
      <c r="N1108" s="698"/>
      <c r="O1108" s="766"/>
      <c r="P1108" s="698"/>
      <c r="Q1108" s="698"/>
      <c r="R1108" s="990"/>
    </row>
    <row r="1109" spans="1:18" ht="11.25" customHeight="1" hidden="1">
      <c r="A1109" s="764">
        <v>4260</v>
      </c>
      <c r="B1109" s="934" t="s">
        <v>215</v>
      </c>
      <c r="C1109" s="720"/>
      <c r="D1109" s="698">
        <f t="shared" si="134"/>
        <v>0</v>
      </c>
      <c r="E1109" s="698">
        <f t="shared" si="135"/>
        <v>0</v>
      </c>
      <c r="F1109" s="967" t="e">
        <f t="shared" si="131"/>
        <v>#DIV/0!</v>
      </c>
      <c r="G1109" s="720"/>
      <c r="H1109" s="698"/>
      <c r="I1109" s="746" t="e">
        <f t="shared" si="132"/>
        <v>#DIV/0!</v>
      </c>
      <c r="J1109" s="703"/>
      <c r="K1109" s="698"/>
      <c r="L1109" s="704"/>
      <c r="M1109" s="698"/>
      <c r="N1109" s="698"/>
      <c r="O1109" s="766"/>
      <c r="P1109" s="698"/>
      <c r="Q1109" s="698"/>
      <c r="R1109" s="990"/>
    </row>
    <row r="1110" spans="1:18" ht="11.25" customHeight="1" hidden="1">
      <c r="A1110" s="764">
        <v>4270</v>
      </c>
      <c r="B1110" s="934" t="s">
        <v>217</v>
      </c>
      <c r="C1110" s="720"/>
      <c r="D1110" s="698">
        <f t="shared" si="134"/>
        <v>0</v>
      </c>
      <c r="E1110" s="698">
        <f t="shared" si="135"/>
        <v>0</v>
      </c>
      <c r="F1110" s="967" t="e">
        <f t="shared" si="131"/>
        <v>#DIV/0!</v>
      </c>
      <c r="G1110" s="720"/>
      <c r="H1110" s="698"/>
      <c r="I1110" s="746" t="e">
        <f t="shared" si="132"/>
        <v>#DIV/0!</v>
      </c>
      <c r="J1110" s="703"/>
      <c r="K1110" s="698"/>
      <c r="L1110" s="704"/>
      <c r="M1110" s="698"/>
      <c r="N1110" s="698"/>
      <c r="O1110" s="766"/>
      <c r="P1110" s="698"/>
      <c r="Q1110" s="698"/>
      <c r="R1110" s="990"/>
    </row>
    <row r="1111" spans="1:18" ht="24" customHeight="1" hidden="1">
      <c r="A1111" s="764">
        <v>4280</v>
      </c>
      <c r="B1111" s="934" t="s">
        <v>467</v>
      </c>
      <c r="C1111" s="720"/>
      <c r="D1111" s="698">
        <f t="shared" si="134"/>
        <v>0</v>
      </c>
      <c r="E1111" s="698">
        <f t="shared" si="135"/>
        <v>0</v>
      </c>
      <c r="F1111" s="967" t="e">
        <f t="shared" si="131"/>
        <v>#DIV/0!</v>
      </c>
      <c r="G1111" s="720"/>
      <c r="H1111" s="698"/>
      <c r="I1111" s="746" t="e">
        <f t="shared" si="132"/>
        <v>#DIV/0!</v>
      </c>
      <c r="J1111" s="703"/>
      <c r="K1111" s="698"/>
      <c r="L1111" s="704"/>
      <c r="M1111" s="698"/>
      <c r="N1111" s="698"/>
      <c r="O1111" s="766"/>
      <c r="P1111" s="698"/>
      <c r="Q1111" s="698"/>
      <c r="R1111" s="990"/>
    </row>
    <row r="1112" spans="1:18" ht="11.25" customHeight="1" hidden="1">
      <c r="A1112" s="764">
        <v>4300</v>
      </c>
      <c r="B1112" s="934" t="s">
        <v>219</v>
      </c>
      <c r="C1112" s="720"/>
      <c r="D1112" s="698">
        <f t="shared" si="134"/>
        <v>0</v>
      </c>
      <c r="E1112" s="698">
        <f t="shared" si="135"/>
        <v>0</v>
      </c>
      <c r="F1112" s="967" t="e">
        <f t="shared" si="131"/>
        <v>#DIV/0!</v>
      </c>
      <c r="G1112" s="720"/>
      <c r="H1112" s="698"/>
      <c r="I1112" s="746" t="e">
        <f t="shared" si="132"/>
        <v>#DIV/0!</v>
      </c>
      <c r="J1112" s="703"/>
      <c r="K1112" s="698"/>
      <c r="L1112" s="704"/>
      <c r="M1112" s="698"/>
      <c r="N1112" s="698"/>
      <c r="O1112" s="766"/>
      <c r="P1112" s="698"/>
      <c r="Q1112" s="698"/>
      <c r="R1112" s="990"/>
    </row>
    <row r="1113" spans="1:18" ht="12.75" customHeight="1" hidden="1">
      <c r="A1113" s="764">
        <v>4410</v>
      </c>
      <c r="B1113" s="934" t="s">
        <v>193</v>
      </c>
      <c r="C1113" s="720"/>
      <c r="D1113" s="698">
        <f t="shared" si="134"/>
        <v>0</v>
      </c>
      <c r="E1113" s="698">
        <f t="shared" si="135"/>
        <v>0</v>
      </c>
      <c r="F1113" s="967" t="e">
        <f t="shared" si="131"/>
        <v>#DIV/0!</v>
      </c>
      <c r="G1113" s="720"/>
      <c r="H1113" s="698"/>
      <c r="I1113" s="746" t="e">
        <f t="shared" si="132"/>
        <v>#DIV/0!</v>
      </c>
      <c r="J1113" s="703"/>
      <c r="K1113" s="698"/>
      <c r="L1113" s="704"/>
      <c r="M1113" s="698"/>
      <c r="N1113" s="698"/>
      <c r="O1113" s="766"/>
      <c r="P1113" s="698"/>
      <c r="Q1113" s="698"/>
      <c r="R1113" s="990"/>
    </row>
    <row r="1114" spans="1:18" ht="12.75" customHeight="1" hidden="1">
      <c r="A1114" s="764">
        <v>4430</v>
      </c>
      <c r="B1114" s="934" t="s">
        <v>221</v>
      </c>
      <c r="C1114" s="720"/>
      <c r="D1114" s="698">
        <f t="shared" si="134"/>
        <v>0</v>
      </c>
      <c r="E1114" s="698">
        <f t="shared" si="135"/>
        <v>0</v>
      </c>
      <c r="F1114" s="967" t="e">
        <f t="shared" si="131"/>
        <v>#DIV/0!</v>
      </c>
      <c r="G1114" s="720"/>
      <c r="H1114" s="700"/>
      <c r="I1114" s="746" t="e">
        <f t="shared" si="132"/>
        <v>#DIV/0!</v>
      </c>
      <c r="J1114" s="701"/>
      <c r="K1114" s="698"/>
      <c r="L1114" s="704"/>
      <c r="M1114" s="700"/>
      <c r="N1114" s="700"/>
      <c r="O1114" s="809"/>
      <c r="P1114" s="700"/>
      <c r="Q1114" s="700"/>
      <c r="R1114" s="863"/>
    </row>
    <row r="1115" spans="1:18" ht="11.25" customHeight="1" hidden="1">
      <c r="A1115" s="764">
        <v>4440</v>
      </c>
      <c r="B1115" s="934" t="s">
        <v>223</v>
      </c>
      <c r="C1115" s="720"/>
      <c r="D1115" s="698">
        <f t="shared" si="134"/>
        <v>0</v>
      </c>
      <c r="E1115" s="698">
        <f t="shared" si="135"/>
        <v>0</v>
      </c>
      <c r="F1115" s="967" t="e">
        <f t="shared" si="131"/>
        <v>#DIV/0!</v>
      </c>
      <c r="G1115" s="720"/>
      <c r="H1115" s="698"/>
      <c r="I1115" s="746" t="e">
        <f t="shared" si="132"/>
        <v>#DIV/0!</v>
      </c>
      <c r="J1115" s="703"/>
      <c r="K1115" s="698"/>
      <c r="L1115" s="704"/>
      <c r="M1115" s="698"/>
      <c r="N1115" s="698"/>
      <c r="O1115" s="766"/>
      <c r="P1115" s="698"/>
      <c r="Q1115" s="698"/>
      <c r="R1115" s="990"/>
    </row>
    <row r="1116" spans="1:20" s="756" customFormat="1" ht="12.75" customHeight="1" hidden="1">
      <c r="A1116" s="764">
        <v>4480</v>
      </c>
      <c r="B1116" s="934" t="s">
        <v>225</v>
      </c>
      <c r="C1116" s="720"/>
      <c r="D1116" s="698">
        <f t="shared" si="134"/>
        <v>0</v>
      </c>
      <c r="E1116" s="698">
        <f t="shared" si="135"/>
        <v>0</v>
      </c>
      <c r="F1116" s="967" t="e">
        <f t="shared" si="131"/>
        <v>#DIV/0!</v>
      </c>
      <c r="G1116" s="720"/>
      <c r="H1116" s="698"/>
      <c r="I1116" s="746" t="e">
        <f t="shared" si="132"/>
        <v>#DIV/0!</v>
      </c>
      <c r="J1116" s="703"/>
      <c r="K1116" s="698"/>
      <c r="L1116" s="704"/>
      <c r="M1116" s="698"/>
      <c r="N1116" s="698"/>
      <c r="O1116" s="766"/>
      <c r="P1116" s="698"/>
      <c r="Q1116" s="698"/>
      <c r="R1116" s="990"/>
      <c r="S1116" s="682"/>
      <c r="T1116" s="682"/>
    </row>
    <row r="1117" spans="1:20" s="756" customFormat="1" ht="36" hidden="1">
      <c r="A1117" s="789">
        <v>4520</v>
      </c>
      <c r="B1117" s="981" t="s">
        <v>801</v>
      </c>
      <c r="C1117" s="791"/>
      <c r="D1117" s="792">
        <f t="shared" si="134"/>
        <v>0</v>
      </c>
      <c r="E1117" s="792">
        <f t="shared" si="135"/>
        <v>0</v>
      </c>
      <c r="F1117" s="982" t="e">
        <f t="shared" si="131"/>
        <v>#DIV/0!</v>
      </c>
      <c r="G1117" s="791"/>
      <c r="H1117" s="792"/>
      <c r="I1117" s="826" t="e">
        <f t="shared" si="132"/>
        <v>#DIV/0!</v>
      </c>
      <c r="J1117" s="793"/>
      <c r="K1117" s="792"/>
      <c r="L1117" s="794"/>
      <c r="M1117" s="792"/>
      <c r="N1117" s="792"/>
      <c r="O1117" s="806"/>
      <c r="P1117" s="792"/>
      <c r="Q1117" s="792"/>
      <c r="R1117" s="991"/>
      <c r="S1117" s="682"/>
      <c r="T1117" s="682"/>
    </row>
    <row r="1118" spans="1:20" s="862" customFormat="1" ht="15.75" customHeight="1">
      <c r="A1118" s="757">
        <v>85195</v>
      </c>
      <c r="B1118" s="959" t="s">
        <v>233</v>
      </c>
      <c r="C1118" s="725">
        <f>SUM(C1119:C1125)</f>
        <v>680900</v>
      </c>
      <c r="D1118" s="712">
        <f>G1118+J1118+P1118+M1118</f>
        <v>678900</v>
      </c>
      <c r="E1118" s="712">
        <f>H1118+K1118+Q1118+N1118</f>
        <v>616438</v>
      </c>
      <c r="F1118" s="960">
        <f t="shared" si="131"/>
        <v>90.7995286492856</v>
      </c>
      <c r="G1118" s="725">
        <f>SUM(G1119:G1127)</f>
        <v>678900</v>
      </c>
      <c r="H1118" s="712">
        <f>SUM(H1119:H1127)</f>
        <v>616438</v>
      </c>
      <c r="I1118" s="713">
        <f t="shared" si="132"/>
        <v>90.7995286492856</v>
      </c>
      <c r="J1118" s="717"/>
      <c r="K1118" s="712"/>
      <c r="L1118" s="718"/>
      <c r="M1118" s="712"/>
      <c r="N1118" s="712"/>
      <c r="O1118" s="762"/>
      <c r="P1118" s="712"/>
      <c r="Q1118" s="712"/>
      <c r="R1118" s="984"/>
      <c r="S1118" s="861"/>
      <c r="T1118" s="861"/>
    </row>
    <row r="1119" spans="1:20" s="818" customFormat="1" ht="63" customHeight="1">
      <c r="A1119" s="784">
        <v>2820</v>
      </c>
      <c r="B1119" s="979" t="s">
        <v>637</v>
      </c>
      <c r="C1119" s="723">
        <v>144000</v>
      </c>
      <c r="D1119" s="732">
        <f t="shared" si="134"/>
        <v>144000</v>
      </c>
      <c r="E1119" s="732">
        <f aca="true" t="shared" si="136" ref="E1119:E1125">SUM(H1119+K1119+N1119+Q1119)</f>
        <v>143533</v>
      </c>
      <c r="F1119" s="976">
        <f t="shared" si="131"/>
        <v>99.67569444444445</v>
      </c>
      <c r="G1119" s="723">
        <v>144000</v>
      </c>
      <c r="H1119" s="732">
        <f>144000-80-387</f>
        <v>143533</v>
      </c>
      <c r="I1119" s="721">
        <f t="shared" si="132"/>
        <v>99.67569444444445</v>
      </c>
      <c r="J1119" s="735"/>
      <c r="K1119" s="732"/>
      <c r="L1119" s="736"/>
      <c r="M1119" s="732"/>
      <c r="N1119" s="732"/>
      <c r="O1119" s="803"/>
      <c r="P1119" s="732"/>
      <c r="Q1119" s="732"/>
      <c r="R1119" s="788"/>
      <c r="S1119" s="817"/>
      <c r="T1119" s="817"/>
    </row>
    <row r="1120" spans="1:20" s="818" customFormat="1" ht="24">
      <c r="A1120" s="764">
        <v>4210</v>
      </c>
      <c r="B1120" s="768" t="s">
        <v>211</v>
      </c>
      <c r="C1120" s="720"/>
      <c r="D1120" s="698">
        <f>G1120+J1120+P1120+M1120</f>
        <v>5300</v>
      </c>
      <c r="E1120" s="698">
        <f>SUM(H1120+K1120+N1120+Q1120)</f>
        <v>5271</v>
      </c>
      <c r="F1120" s="967">
        <f>E1120/D1120*100</f>
        <v>99.45283018867924</v>
      </c>
      <c r="G1120" s="720">
        <f>3300+2000</f>
        <v>5300</v>
      </c>
      <c r="H1120" s="698">
        <f>5272-1</f>
        <v>5271</v>
      </c>
      <c r="I1120" s="699">
        <f t="shared" si="132"/>
        <v>99.45283018867924</v>
      </c>
      <c r="J1120" s="703"/>
      <c r="K1120" s="698"/>
      <c r="L1120" s="704"/>
      <c r="M1120" s="698"/>
      <c r="N1120" s="698"/>
      <c r="O1120" s="766"/>
      <c r="P1120" s="698"/>
      <c r="Q1120" s="698"/>
      <c r="R1120" s="770"/>
      <c r="S1120" s="817"/>
      <c r="T1120" s="817"/>
    </row>
    <row r="1121" spans="1:20" s="818" customFormat="1" ht="24" hidden="1">
      <c r="A1121" s="764">
        <v>4170</v>
      </c>
      <c r="B1121" s="768" t="s">
        <v>242</v>
      </c>
      <c r="C1121" s="720"/>
      <c r="D1121" s="698">
        <f>G1121+J1121+P1121+M1121</f>
        <v>0</v>
      </c>
      <c r="E1121" s="698">
        <f t="shared" si="136"/>
        <v>0</v>
      </c>
      <c r="F1121" s="967"/>
      <c r="G1121" s="720"/>
      <c r="H1121" s="698"/>
      <c r="I1121" s="699" t="e">
        <f t="shared" si="132"/>
        <v>#DIV/0!</v>
      </c>
      <c r="J1121" s="703"/>
      <c r="K1121" s="698"/>
      <c r="L1121" s="704"/>
      <c r="M1121" s="698"/>
      <c r="N1121" s="698"/>
      <c r="O1121" s="766"/>
      <c r="P1121" s="698"/>
      <c r="Q1121" s="698"/>
      <c r="R1121" s="770"/>
      <c r="S1121" s="817"/>
      <c r="T1121" s="817"/>
    </row>
    <row r="1122" spans="1:20" s="818" customFormat="1" ht="15.75" customHeight="1">
      <c r="A1122" s="764">
        <v>4270</v>
      </c>
      <c r="B1122" s="768" t="s">
        <v>217</v>
      </c>
      <c r="C1122" s="720"/>
      <c r="D1122" s="698">
        <f>G1122+J1122+P1122+M1122</f>
        <v>36000</v>
      </c>
      <c r="E1122" s="698">
        <f t="shared" si="136"/>
        <v>31431</v>
      </c>
      <c r="F1122" s="967">
        <f>E1122/D1122*100</f>
        <v>87.30833333333334</v>
      </c>
      <c r="G1122" s="720">
        <v>36000</v>
      </c>
      <c r="H1122" s="698">
        <v>31431</v>
      </c>
      <c r="I1122" s="699">
        <f t="shared" si="132"/>
        <v>87.30833333333334</v>
      </c>
      <c r="J1122" s="703"/>
      <c r="K1122" s="698"/>
      <c r="L1122" s="704"/>
      <c r="M1122" s="698"/>
      <c r="N1122" s="698"/>
      <c r="O1122" s="766"/>
      <c r="P1122" s="698"/>
      <c r="Q1122" s="698"/>
      <c r="R1122" s="770"/>
      <c r="S1122" s="817"/>
      <c r="T1122" s="817"/>
    </row>
    <row r="1123" spans="1:20" s="818" customFormat="1" ht="15" customHeight="1">
      <c r="A1123" s="764">
        <v>4300</v>
      </c>
      <c r="B1123" s="934" t="s">
        <v>236</v>
      </c>
      <c r="C1123" s="720">
        <v>536900</v>
      </c>
      <c r="D1123" s="698">
        <f t="shared" si="134"/>
        <v>447600</v>
      </c>
      <c r="E1123" s="698">
        <f t="shared" si="136"/>
        <v>390203</v>
      </c>
      <c r="F1123" s="967">
        <f t="shared" si="131"/>
        <v>87.17672028596961</v>
      </c>
      <c r="G1123" s="720">
        <f>536900-15000-72000-300-1200-800</f>
        <v>447600</v>
      </c>
      <c r="H1123" s="698">
        <v>390203</v>
      </c>
      <c r="I1123" s="699">
        <f t="shared" si="132"/>
        <v>87.17672028596961</v>
      </c>
      <c r="J1123" s="703"/>
      <c r="K1123" s="698"/>
      <c r="L1123" s="704"/>
      <c r="M1123" s="698"/>
      <c r="N1123" s="698"/>
      <c r="O1123" s="766"/>
      <c r="P1123" s="698"/>
      <c r="Q1123" s="698"/>
      <c r="R1123" s="770"/>
      <c r="S1123" s="817"/>
      <c r="T1123" s="817"/>
    </row>
    <row r="1124" spans="1:18" ht="60" hidden="1">
      <c r="A1124" s="764">
        <v>6050</v>
      </c>
      <c r="B1124" s="768" t="s">
        <v>468</v>
      </c>
      <c r="C1124" s="720"/>
      <c r="D1124" s="698">
        <f>G1124+J1124+P1124+M1124</f>
        <v>0</v>
      </c>
      <c r="E1124" s="698">
        <f t="shared" si="136"/>
        <v>0</v>
      </c>
      <c r="F1124" s="967" t="e">
        <f>E1124/D1124*100</f>
        <v>#DIV/0!</v>
      </c>
      <c r="G1124" s="720"/>
      <c r="H1124" s="700"/>
      <c r="I1124" s="699" t="e">
        <f t="shared" si="132"/>
        <v>#DIV/0!</v>
      </c>
      <c r="J1124" s="701"/>
      <c r="K1124" s="698"/>
      <c r="L1124" s="704"/>
      <c r="M1124" s="700"/>
      <c r="N1124" s="700"/>
      <c r="O1124" s="809"/>
      <c r="P1124" s="700"/>
      <c r="Q1124" s="700"/>
      <c r="R1124" s="767"/>
    </row>
    <row r="1125" spans="1:18" ht="48" hidden="1">
      <c r="A1125" s="764">
        <v>6050</v>
      </c>
      <c r="B1125" s="768" t="s">
        <v>469</v>
      </c>
      <c r="C1125" s="720"/>
      <c r="D1125" s="698">
        <f t="shared" si="134"/>
        <v>0</v>
      </c>
      <c r="E1125" s="698">
        <f t="shared" si="136"/>
        <v>0</v>
      </c>
      <c r="F1125" s="967" t="e">
        <f t="shared" si="131"/>
        <v>#DIV/0!</v>
      </c>
      <c r="G1125" s="720"/>
      <c r="H1125" s="700"/>
      <c r="I1125" s="699" t="e">
        <f t="shared" si="132"/>
        <v>#DIV/0!</v>
      </c>
      <c r="J1125" s="701"/>
      <c r="K1125" s="698"/>
      <c r="L1125" s="704"/>
      <c r="M1125" s="700"/>
      <c r="N1125" s="700"/>
      <c r="O1125" s="809"/>
      <c r="P1125" s="700"/>
      <c r="Q1125" s="700"/>
      <c r="R1125" s="767"/>
    </row>
    <row r="1126" spans="1:18" ht="34.5" customHeight="1">
      <c r="A1126" s="764">
        <v>6060</v>
      </c>
      <c r="B1126" s="768" t="s">
        <v>552</v>
      </c>
      <c r="C1126" s="720"/>
      <c r="D1126" s="698">
        <f>G1126+J1126+P1126+M1126</f>
        <v>10000</v>
      </c>
      <c r="E1126" s="698">
        <f>SUM(H1126+K1126+N1126+Q1126)</f>
        <v>10000</v>
      </c>
      <c r="F1126" s="967">
        <f>E1126/D1126*100</f>
        <v>100</v>
      </c>
      <c r="G1126" s="720">
        <f>13000-3000</f>
        <v>10000</v>
      </c>
      <c r="H1126" s="700">
        <v>10000</v>
      </c>
      <c r="I1126" s="699">
        <f t="shared" si="132"/>
        <v>100</v>
      </c>
      <c r="J1126" s="701"/>
      <c r="K1126" s="698"/>
      <c r="L1126" s="704"/>
      <c r="M1126" s="992"/>
      <c r="N1126" s="700"/>
      <c r="O1126" s="809"/>
      <c r="P1126" s="700"/>
      <c r="Q1126" s="700"/>
      <c r="R1126" s="767"/>
    </row>
    <row r="1127" spans="1:18" ht="80.25" customHeight="1" thickBot="1">
      <c r="A1127" s="943">
        <v>6210</v>
      </c>
      <c r="B1127" s="993" t="s">
        <v>568</v>
      </c>
      <c r="C1127" s="720"/>
      <c r="D1127" s="698">
        <f>G1127+J1127+P1127+M1127</f>
        <v>36000</v>
      </c>
      <c r="E1127" s="698">
        <f>SUM(H1127+K1127+N1127+Q1127)</f>
        <v>36000</v>
      </c>
      <c r="F1127" s="967">
        <f>E1127/D1127*100</f>
        <v>100</v>
      </c>
      <c r="G1127" s="720">
        <v>36000</v>
      </c>
      <c r="H1127" s="700">
        <v>36000</v>
      </c>
      <c r="I1127" s="699">
        <f t="shared" si="132"/>
        <v>100</v>
      </c>
      <c r="J1127" s="701"/>
      <c r="K1127" s="698"/>
      <c r="L1127" s="704"/>
      <c r="M1127" s="992"/>
      <c r="N1127" s="700"/>
      <c r="O1127" s="809"/>
      <c r="P1127" s="700"/>
      <c r="Q1127" s="700"/>
      <c r="R1127" s="767"/>
    </row>
    <row r="1128" spans="1:20" s="997" customFormat="1" ht="18.75" customHeight="1" thickBot="1" thickTop="1">
      <c r="A1128" s="994">
        <v>852</v>
      </c>
      <c r="B1128" s="995" t="s">
        <v>802</v>
      </c>
      <c r="C1128" s="751">
        <f>C1129+C1191+C1194+C1270+C1278+C1302+C1305+C1330+C1308+C1408+C1426+C1369+C1379+C1311+C1313+C1424</f>
        <v>47118568</v>
      </c>
      <c r="D1128" s="674">
        <f>G1128+J1128+P1128+M1128</f>
        <v>44696242</v>
      </c>
      <c r="E1128" s="674">
        <f>H1128+K1128+Q1128+N1128</f>
        <v>43395677</v>
      </c>
      <c r="F1128" s="974">
        <f t="shared" si="131"/>
        <v>97.0902139826431</v>
      </c>
      <c r="G1128" s="751">
        <f>G1129+G1191+G1194+G1270+G1278+G1302+G1305+G1330+G1308+G1408+G1426+G1369+G1379+G1311+G1313+G1424</f>
        <v>19821194</v>
      </c>
      <c r="H1128" s="674">
        <f>H1129+H1191+H1194+H1270+H1278+H1302+H1305+H1330+H1308+H1408+H1426+H1369+H1379+H1311+H1313+H1424</f>
        <v>19372901</v>
      </c>
      <c r="I1128" s="675">
        <f>H1128/G1128*100</f>
        <v>97.73831485630987</v>
      </c>
      <c r="J1128" s="674">
        <f>J1129+J1191+J1194+J1270+J1278+J1302+J1305+J1330+J1308+J1408+J1426+J1369+J1379+J1311+J1313+J1424</f>
        <v>18920439</v>
      </c>
      <c r="K1128" s="674">
        <f>K1129+K1191+K1194+K1270+K1278+K1302+K1305+K1330+K1308+K1408+K1426+K1369+K1379+K1311+K1313+K1424</f>
        <v>18857450</v>
      </c>
      <c r="L1128" s="772">
        <f>K1128/J1128*100</f>
        <v>99.66708489163491</v>
      </c>
      <c r="M1128" s="882">
        <f>M1129+M1191+M1194+M1270+M1278+M1305+M1330+M1308+M1408+M1426+M1369+M1379+M1311+M1313</f>
        <v>5938109</v>
      </c>
      <c r="N1128" s="674">
        <f>N1129+N1191+N1194+N1270+N1278+N1305+N1330+N1308+N1408+N1426+N1369+N1379+N1311+N1313</f>
        <v>5148826</v>
      </c>
      <c r="O1128" s="677">
        <f aca="true" t="shared" si="137" ref="O1128:O1190">N1128/M1128*100</f>
        <v>86.70817595298436</v>
      </c>
      <c r="P1128" s="674">
        <f>P1369+P1379+P1426</f>
        <v>16500</v>
      </c>
      <c r="Q1128" s="674">
        <f>Q1369+Q1379+Q1426</f>
        <v>16500</v>
      </c>
      <c r="R1128" s="752">
        <f>Q1128/P1128*100</f>
        <v>100</v>
      </c>
      <c r="S1128" s="996"/>
      <c r="T1128" s="996"/>
    </row>
    <row r="1129" spans="1:20" s="756" customFormat="1" ht="33.75" customHeight="1" thickTop="1">
      <c r="A1129" s="866">
        <v>85201</v>
      </c>
      <c r="B1129" s="998" t="s">
        <v>803</v>
      </c>
      <c r="C1129" s="685">
        <f>SUM(C1130:C1134)+C1151+C1171</f>
        <v>1246334</v>
      </c>
      <c r="D1129" s="686">
        <f>G1129+J1129+P1129+M1129</f>
        <v>1275288</v>
      </c>
      <c r="E1129" s="759">
        <f>H1129+K1129+Q1129+N1129</f>
        <v>1241079</v>
      </c>
      <c r="F1129" s="982">
        <f t="shared" si="131"/>
        <v>97.31754709524438</v>
      </c>
      <c r="G1129" s="868">
        <f>SUM(G1130:G1134)</f>
        <v>165002</v>
      </c>
      <c r="H1129" s="686">
        <f>SUM(H1130:H1134)</f>
        <v>158313</v>
      </c>
      <c r="I1129" s="999">
        <f>H1129/G1129*100</f>
        <v>95.94610974412431</v>
      </c>
      <c r="J1129" s="691"/>
      <c r="K1129" s="686"/>
      <c r="L1129" s="692"/>
      <c r="M1129" s="688">
        <f>SUM(M1130:M1133)+M1151+M1171</f>
        <v>1110286</v>
      </c>
      <c r="N1129" s="688">
        <f>SUM(N1130:N1133)+N1151+N1171</f>
        <v>1082766</v>
      </c>
      <c r="O1129" s="761">
        <f t="shared" si="137"/>
        <v>97.52135936146182</v>
      </c>
      <c r="P1129" s="688"/>
      <c r="Q1129" s="688"/>
      <c r="R1129" s="1000"/>
      <c r="S1129" s="682"/>
      <c r="T1129" s="682"/>
    </row>
    <row r="1130" spans="1:20" s="756" customFormat="1" ht="61.5" customHeight="1">
      <c r="A1130" s="764">
        <v>2320</v>
      </c>
      <c r="B1130" s="934" t="s">
        <v>599</v>
      </c>
      <c r="C1130" s="720">
        <v>412000</v>
      </c>
      <c r="D1130" s="698">
        <f aca="true" t="shared" si="138" ref="D1130:E1152">G1130+J1130+P1130+M1130</f>
        <v>461000</v>
      </c>
      <c r="E1130" s="698">
        <f t="shared" si="138"/>
        <v>446661</v>
      </c>
      <c r="F1130" s="967">
        <f t="shared" si="131"/>
        <v>96.88958785249457</v>
      </c>
      <c r="G1130" s="720"/>
      <c r="H1130" s="698"/>
      <c r="I1130" s="1001"/>
      <c r="J1130" s="778"/>
      <c r="K1130" s="777"/>
      <c r="L1130" s="779"/>
      <c r="M1130" s="723">
        <f>412000+53000-4000</f>
        <v>461000</v>
      </c>
      <c r="N1130" s="732">
        <v>446661</v>
      </c>
      <c r="O1130" s="744">
        <f t="shared" si="137"/>
        <v>96.88958785249457</v>
      </c>
      <c r="P1130" s="698"/>
      <c r="Q1130" s="698"/>
      <c r="R1130" s="770"/>
      <c r="S1130" s="682"/>
      <c r="T1130" s="682"/>
    </row>
    <row r="1131" spans="1:20" s="756" customFormat="1" ht="52.5" customHeight="1">
      <c r="A1131" s="764">
        <v>2820</v>
      </c>
      <c r="B1131" s="934" t="s">
        <v>804</v>
      </c>
      <c r="C1131" s="720">
        <v>46000</v>
      </c>
      <c r="D1131" s="698">
        <f t="shared" si="138"/>
        <v>46000</v>
      </c>
      <c r="E1131" s="698">
        <f t="shared" si="138"/>
        <v>46000</v>
      </c>
      <c r="F1131" s="967">
        <f t="shared" si="131"/>
        <v>100</v>
      </c>
      <c r="G1131" s="720"/>
      <c r="H1131" s="698"/>
      <c r="I1131" s="1001"/>
      <c r="J1131" s="778"/>
      <c r="K1131" s="777"/>
      <c r="L1131" s="779"/>
      <c r="M1131" s="720">
        <v>46000</v>
      </c>
      <c r="N1131" s="698">
        <f>23000+23000</f>
        <v>46000</v>
      </c>
      <c r="O1131" s="744">
        <f t="shared" si="137"/>
        <v>100</v>
      </c>
      <c r="P1131" s="698"/>
      <c r="Q1131" s="698"/>
      <c r="R1131" s="770"/>
      <c r="S1131" s="682"/>
      <c r="T1131" s="682"/>
    </row>
    <row r="1132" spans="1:20" s="756" customFormat="1" ht="12.75" hidden="1">
      <c r="A1132" s="764">
        <v>4580</v>
      </c>
      <c r="B1132" s="828" t="s">
        <v>244</v>
      </c>
      <c r="C1132" s="720"/>
      <c r="D1132" s="698">
        <f>G1132+J1132+P1132+M1132</f>
        <v>0</v>
      </c>
      <c r="E1132" s="698">
        <f>H1132+K1132+Q1132+N1132</f>
        <v>0</v>
      </c>
      <c r="F1132" s="967" t="e">
        <f>E1132/D1132*100</f>
        <v>#DIV/0!</v>
      </c>
      <c r="G1132" s="720"/>
      <c r="H1132" s="698"/>
      <c r="I1132" s="1001"/>
      <c r="J1132" s="778"/>
      <c r="K1132" s="777"/>
      <c r="L1132" s="779"/>
      <c r="M1132" s="720"/>
      <c r="N1132" s="698"/>
      <c r="O1132" s="744" t="e">
        <f t="shared" si="137"/>
        <v>#DIV/0!</v>
      </c>
      <c r="P1132" s="698"/>
      <c r="Q1132" s="698"/>
      <c r="R1132" s="770"/>
      <c r="S1132" s="682"/>
      <c r="T1132" s="682"/>
    </row>
    <row r="1133" spans="1:20" s="756" customFormat="1" ht="16.5" customHeight="1">
      <c r="A1133" s="764">
        <v>3110</v>
      </c>
      <c r="B1133" s="934" t="s">
        <v>713</v>
      </c>
      <c r="C1133" s="720">
        <v>220000</v>
      </c>
      <c r="D1133" s="698">
        <f t="shared" si="138"/>
        <v>191000</v>
      </c>
      <c r="E1133" s="698">
        <f t="shared" si="138"/>
        <v>178275</v>
      </c>
      <c r="F1133" s="967">
        <f t="shared" si="131"/>
        <v>93.33769633507853</v>
      </c>
      <c r="G1133" s="720"/>
      <c r="H1133" s="698"/>
      <c r="I1133" s="1001"/>
      <c r="J1133" s="778"/>
      <c r="K1133" s="777"/>
      <c r="L1133" s="779"/>
      <c r="M1133" s="720">
        <f>220000-29000</f>
        <v>191000</v>
      </c>
      <c r="N1133" s="698">
        <v>178275</v>
      </c>
      <c r="O1133" s="744">
        <f t="shared" si="137"/>
        <v>93.33769633507853</v>
      </c>
      <c r="P1133" s="698"/>
      <c r="Q1133" s="698"/>
      <c r="R1133" s="770"/>
      <c r="S1133" s="682"/>
      <c r="T1133" s="682"/>
    </row>
    <row r="1134" spans="1:20" s="756" customFormat="1" ht="16.5" customHeight="1">
      <c r="A1134" s="835"/>
      <c r="B1134" s="1002" t="s">
        <v>805</v>
      </c>
      <c r="C1134" s="837">
        <f>SUM(C1135:C1150)</f>
        <v>161258</v>
      </c>
      <c r="D1134" s="759">
        <f>G1134+J1134+P1134+M1134</f>
        <v>165002</v>
      </c>
      <c r="E1134" s="759">
        <f>H1134+K1134+Q1134+N1134</f>
        <v>158313</v>
      </c>
      <c r="F1134" s="1003">
        <f>E1134/D1134*100</f>
        <v>95.94610974412431</v>
      </c>
      <c r="G1134" s="864">
        <f>SUM(G1135:G1150)</f>
        <v>165002</v>
      </c>
      <c r="H1134" s="759">
        <f>SUM(H1135:H1150)</f>
        <v>158313</v>
      </c>
      <c r="I1134" s="1004">
        <f>H1134/G1134*100</f>
        <v>95.94610974412431</v>
      </c>
      <c r="J1134" s="839"/>
      <c r="K1134" s="759"/>
      <c r="L1134" s="865"/>
      <c r="M1134" s="837"/>
      <c r="N1134" s="759"/>
      <c r="O1134" s="883"/>
      <c r="P1134" s="759"/>
      <c r="Q1134" s="759"/>
      <c r="R1134" s="843"/>
      <c r="S1134" s="682"/>
      <c r="T1134" s="682"/>
    </row>
    <row r="1135" spans="1:20" s="756" customFormat="1" ht="27" customHeight="1">
      <c r="A1135" s="764">
        <v>4010</v>
      </c>
      <c r="B1135" s="934" t="s">
        <v>201</v>
      </c>
      <c r="C1135" s="720">
        <v>91217</v>
      </c>
      <c r="D1135" s="698">
        <f t="shared" si="138"/>
        <v>93217</v>
      </c>
      <c r="E1135" s="698">
        <f t="shared" si="138"/>
        <v>93000</v>
      </c>
      <c r="F1135" s="967">
        <f aca="true" t="shared" si="139" ref="F1135:F1198">E1135/D1135*100</f>
        <v>99.76720984369804</v>
      </c>
      <c r="G1135" s="720">
        <f>91217+2000</f>
        <v>93217</v>
      </c>
      <c r="H1135" s="698">
        <v>93000</v>
      </c>
      <c r="I1135" s="1001">
        <f>H1135/G1135*100</f>
        <v>99.76720984369804</v>
      </c>
      <c r="J1135" s="778"/>
      <c r="K1135" s="777"/>
      <c r="L1135" s="779"/>
      <c r="M1135" s="720"/>
      <c r="N1135" s="698"/>
      <c r="O1135" s="702"/>
      <c r="P1135" s="698"/>
      <c r="Q1135" s="698"/>
      <c r="R1135" s="770"/>
      <c r="S1135" s="682"/>
      <c r="T1135" s="682"/>
    </row>
    <row r="1136" spans="1:20" s="756" customFormat="1" ht="24">
      <c r="A1136" s="764">
        <v>4040</v>
      </c>
      <c r="B1136" s="934" t="s">
        <v>280</v>
      </c>
      <c r="C1136" s="720">
        <v>7381</v>
      </c>
      <c r="D1136" s="698">
        <f t="shared" si="138"/>
        <v>7200</v>
      </c>
      <c r="E1136" s="698">
        <f aca="true" t="shared" si="140" ref="E1136:E1190">SUM(H1136+K1136+N1136+Q1136)</f>
        <v>7192</v>
      </c>
      <c r="F1136" s="967">
        <f t="shared" si="139"/>
        <v>99.8888888888889</v>
      </c>
      <c r="G1136" s="720">
        <f>7381-181</f>
        <v>7200</v>
      </c>
      <c r="H1136" s="698">
        <f>7193-1</f>
        <v>7192</v>
      </c>
      <c r="I1136" s="1001">
        <f aca="true" t="shared" si="141" ref="I1136:I1150">H1136/G1136*100</f>
        <v>99.8888888888889</v>
      </c>
      <c r="J1136" s="778"/>
      <c r="K1136" s="777"/>
      <c r="L1136" s="779"/>
      <c r="M1136" s="720"/>
      <c r="N1136" s="698"/>
      <c r="O1136" s="702"/>
      <c r="P1136" s="698"/>
      <c r="Q1136" s="698"/>
      <c r="R1136" s="770"/>
      <c r="S1136" s="682"/>
      <c r="T1136" s="682"/>
    </row>
    <row r="1137" spans="1:20" s="756" customFormat="1" ht="27.75" customHeight="1">
      <c r="A1137" s="764">
        <v>4110</v>
      </c>
      <c r="B1137" s="934" t="s">
        <v>207</v>
      </c>
      <c r="C1137" s="720">
        <v>15795</v>
      </c>
      <c r="D1137" s="698">
        <f t="shared" si="138"/>
        <v>16345</v>
      </c>
      <c r="E1137" s="698">
        <f t="shared" si="140"/>
        <v>16317</v>
      </c>
      <c r="F1137" s="967">
        <f t="shared" si="139"/>
        <v>99.82869379014988</v>
      </c>
      <c r="G1137" s="720">
        <f>15795-700+1250</f>
        <v>16345</v>
      </c>
      <c r="H1137" s="698">
        <v>16317</v>
      </c>
      <c r="I1137" s="1001">
        <f t="shared" si="141"/>
        <v>99.82869379014988</v>
      </c>
      <c r="J1137" s="778"/>
      <c r="K1137" s="777"/>
      <c r="L1137" s="779"/>
      <c r="M1137" s="720"/>
      <c r="N1137" s="698"/>
      <c r="O1137" s="702"/>
      <c r="P1137" s="698"/>
      <c r="Q1137" s="698"/>
      <c r="R1137" s="770"/>
      <c r="S1137" s="682"/>
      <c r="T1137" s="682"/>
    </row>
    <row r="1138" spans="1:20" s="756" customFormat="1" ht="12.75">
      <c r="A1138" s="764">
        <v>4120</v>
      </c>
      <c r="B1138" s="934" t="s">
        <v>584</v>
      </c>
      <c r="C1138" s="720">
        <v>2240</v>
      </c>
      <c r="D1138" s="698">
        <f t="shared" si="138"/>
        <v>2390</v>
      </c>
      <c r="E1138" s="698">
        <f t="shared" si="140"/>
        <v>2390</v>
      </c>
      <c r="F1138" s="967">
        <f t="shared" si="139"/>
        <v>100</v>
      </c>
      <c r="G1138" s="720">
        <f>2240+150</f>
        <v>2390</v>
      </c>
      <c r="H1138" s="698">
        <v>2390</v>
      </c>
      <c r="I1138" s="1001">
        <f t="shared" si="141"/>
        <v>100</v>
      </c>
      <c r="J1138" s="778"/>
      <c r="K1138" s="777"/>
      <c r="L1138" s="779"/>
      <c r="M1138" s="720"/>
      <c r="N1138" s="698"/>
      <c r="O1138" s="702"/>
      <c r="P1138" s="698"/>
      <c r="Q1138" s="698"/>
      <c r="R1138" s="770"/>
      <c r="S1138" s="682"/>
      <c r="T1138" s="682"/>
    </row>
    <row r="1139" spans="1:20" s="756" customFormat="1" ht="24">
      <c r="A1139" s="764">
        <v>4210</v>
      </c>
      <c r="B1139" s="934" t="s">
        <v>211</v>
      </c>
      <c r="C1139" s="720">
        <v>10000</v>
      </c>
      <c r="D1139" s="698">
        <f t="shared" si="138"/>
        <v>8840</v>
      </c>
      <c r="E1139" s="698">
        <f t="shared" si="140"/>
        <v>8800</v>
      </c>
      <c r="F1139" s="967">
        <f t="shared" si="139"/>
        <v>99.5475113122172</v>
      </c>
      <c r="G1139" s="720">
        <f>10000-1160</f>
        <v>8840</v>
      </c>
      <c r="H1139" s="698">
        <v>8800</v>
      </c>
      <c r="I1139" s="1001">
        <f t="shared" si="141"/>
        <v>99.5475113122172</v>
      </c>
      <c r="J1139" s="778"/>
      <c r="K1139" s="777"/>
      <c r="L1139" s="779"/>
      <c r="M1139" s="720"/>
      <c r="N1139" s="698"/>
      <c r="O1139" s="702"/>
      <c r="P1139" s="698"/>
      <c r="Q1139" s="698"/>
      <c r="R1139" s="770"/>
      <c r="S1139" s="682"/>
      <c r="T1139" s="682"/>
    </row>
    <row r="1140" spans="1:20" s="756" customFormat="1" ht="12.75">
      <c r="A1140" s="764">
        <v>4260</v>
      </c>
      <c r="B1140" s="934" t="s">
        <v>215</v>
      </c>
      <c r="C1140" s="720">
        <v>8000</v>
      </c>
      <c r="D1140" s="698">
        <f t="shared" si="138"/>
        <v>9700</v>
      </c>
      <c r="E1140" s="698">
        <f t="shared" si="140"/>
        <v>8999</v>
      </c>
      <c r="F1140" s="967">
        <f t="shared" si="139"/>
        <v>92.77319587628867</v>
      </c>
      <c r="G1140" s="720">
        <f>8000+1700</f>
        <v>9700</v>
      </c>
      <c r="H1140" s="698">
        <v>8999</v>
      </c>
      <c r="I1140" s="1001">
        <f t="shared" si="141"/>
        <v>92.77319587628867</v>
      </c>
      <c r="J1140" s="778"/>
      <c r="K1140" s="777"/>
      <c r="L1140" s="779"/>
      <c r="M1140" s="720"/>
      <c r="N1140" s="698"/>
      <c r="O1140" s="702"/>
      <c r="P1140" s="698"/>
      <c r="Q1140" s="698"/>
      <c r="R1140" s="770"/>
      <c r="S1140" s="682"/>
      <c r="T1140" s="682"/>
    </row>
    <row r="1141" spans="1:20" s="756" customFormat="1" ht="24" hidden="1">
      <c r="A1141" s="764">
        <v>4270</v>
      </c>
      <c r="B1141" s="934" t="s">
        <v>217</v>
      </c>
      <c r="C1141" s="720"/>
      <c r="D1141" s="698">
        <f t="shared" si="138"/>
        <v>0</v>
      </c>
      <c r="E1141" s="698">
        <f t="shared" si="140"/>
        <v>0</v>
      </c>
      <c r="F1141" s="967" t="e">
        <f t="shared" si="139"/>
        <v>#DIV/0!</v>
      </c>
      <c r="G1141" s="720"/>
      <c r="H1141" s="698"/>
      <c r="I1141" s="1001" t="e">
        <f t="shared" si="141"/>
        <v>#DIV/0!</v>
      </c>
      <c r="J1141" s="778"/>
      <c r="K1141" s="777"/>
      <c r="L1141" s="779"/>
      <c r="M1141" s="720"/>
      <c r="N1141" s="698"/>
      <c r="O1141" s="702"/>
      <c r="P1141" s="698"/>
      <c r="Q1141" s="698"/>
      <c r="R1141" s="770"/>
      <c r="S1141" s="682"/>
      <c r="T1141" s="682"/>
    </row>
    <row r="1142" spans="1:20" s="756" customFormat="1" ht="15" customHeight="1">
      <c r="A1142" s="764">
        <v>4280</v>
      </c>
      <c r="B1142" s="934" t="s">
        <v>542</v>
      </c>
      <c r="C1142" s="720">
        <v>100</v>
      </c>
      <c r="D1142" s="698">
        <f t="shared" si="138"/>
        <v>100</v>
      </c>
      <c r="E1142" s="698">
        <f t="shared" si="140"/>
        <v>43</v>
      </c>
      <c r="F1142" s="967">
        <f t="shared" si="139"/>
        <v>43</v>
      </c>
      <c r="G1142" s="720">
        <v>100</v>
      </c>
      <c r="H1142" s="698">
        <v>43</v>
      </c>
      <c r="I1142" s="1001">
        <f t="shared" si="141"/>
        <v>43</v>
      </c>
      <c r="J1142" s="778"/>
      <c r="K1142" s="777"/>
      <c r="L1142" s="779"/>
      <c r="M1142" s="720"/>
      <c r="N1142" s="698"/>
      <c r="O1142" s="702"/>
      <c r="P1142" s="698"/>
      <c r="Q1142" s="698"/>
      <c r="R1142" s="770"/>
      <c r="S1142" s="682"/>
      <c r="T1142" s="682"/>
    </row>
    <row r="1143" spans="1:20" s="756" customFormat="1" ht="12" customHeight="1">
      <c r="A1143" s="764">
        <v>4300</v>
      </c>
      <c r="B1143" s="934" t="s">
        <v>219</v>
      </c>
      <c r="C1143" s="720">
        <v>21000</v>
      </c>
      <c r="D1143" s="698">
        <f t="shared" si="138"/>
        <v>21000</v>
      </c>
      <c r="E1143" s="698">
        <f t="shared" si="140"/>
        <v>15537</v>
      </c>
      <c r="F1143" s="967">
        <f t="shared" si="139"/>
        <v>73.9857142857143</v>
      </c>
      <c r="G1143" s="720">
        <v>21000</v>
      </c>
      <c r="H1143" s="698">
        <v>15537</v>
      </c>
      <c r="I1143" s="1001">
        <f t="shared" si="141"/>
        <v>73.9857142857143</v>
      </c>
      <c r="J1143" s="778"/>
      <c r="K1143" s="777"/>
      <c r="L1143" s="779"/>
      <c r="M1143" s="720"/>
      <c r="N1143" s="698"/>
      <c r="O1143" s="702"/>
      <c r="P1143" s="698"/>
      <c r="Q1143" s="698"/>
      <c r="R1143" s="770"/>
      <c r="S1143" s="682"/>
      <c r="T1143" s="682"/>
    </row>
    <row r="1144" spans="1:20" s="756" customFormat="1" ht="24">
      <c r="A1144" s="764">
        <v>4350</v>
      </c>
      <c r="B1144" s="768" t="s">
        <v>544</v>
      </c>
      <c r="C1144" s="720"/>
      <c r="D1144" s="698">
        <f t="shared" si="138"/>
        <v>560</v>
      </c>
      <c r="E1144" s="698">
        <f>SUM(H1144+K1144+N1144+Q1144)</f>
        <v>480</v>
      </c>
      <c r="F1144" s="967">
        <f>E1144/D1144*100</f>
        <v>85.71428571428571</v>
      </c>
      <c r="G1144" s="720">
        <v>560</v>
      </c>
      <c r="H1144" s="698">
        <v>480</v>
      </c>
      <c r="I1144" s="1001">
        <f t="shared" si="141"/>
        <v>85.71428571428571</v>
      </c>
      <c r="J1144" s="778"/>
      <c r="K1144" s="777"/>
      <c r="L1144" s="779"/>
      <c r="M1144" s="720"/>
      <c r="N1144" s="698"/>
      <c r="O1144" s="702"/>
      <c r="P1144" s="698"/>
      <c r="Q1144" s="698"/>
      <c r="R1144" s="770"/>
      <c r="S1144" s="682"/>
      <c r="T1144" s="682"/>
    </row>
    <row r="1145" spans="1:20" s="756" customFormat="1" ht="38.25" customHeight="1">
      <c r="A1145" s="764">
        <v>4370</v>
      </c>
      <c r="B1145" s="828" t="s">
        <v>635</v>
      </c>
      <c r="C1145" s="720">
        <v>1200</v>
      </c>
      <c r="D1145" s="698">
        <f t="shared" si="138"/>
        <v>1200</v>
      </c>
      <c r="E1145" s="698">
        <f t="shared" si="140"/>
        <v>1108</v>
      </c>
      <c r="F1145" s="967">
        <f t="shared" si="139"/>
        <v>92.33333333333333</v>
      </c>
      <c r="G1145" s="720">
        <v>1200</v>
      </c>
      <c r="H1145" s="698">
        <f>1109-1</f>
        <v>1108</v>
      </c>
      <c r="I1145" s="1001">
        <f t="shared" si="141"/>
        <v>92.33333333333333</v>
      </c>
      <c r="J1145" s="778"/>
      <c r="K1145" s="777"/>
      <c r="L1145" s="779"/>
      <c r="M1145" s="720"/>
      <c r="N1145" s="698"/>
      <c r="O1145" s="702"/>
      <c r="P1145" s="698"/>
      <c r="Q1145" s="698"/>
      <c r="R1145" s="770"/>
      <c r="S1145" s="682"/>
      <c r="T1145" s="682"/>
    </row>
    <row r="1146" spans="1:20" s="756" customFormat="1" ht="12.75">
      <c r="A1146" s="764">
        <v>4440</v>
      </c>
      <c r="B1146" s="934" t="s">
        <v>223</v>
      </c>
      <c r="C1146" s="720">
        <v>2825</v>
      </c>
      <c r="D1146" s="698">
        <f t="shared" si="138"/>
        <v>3000</v>
      </c>
      <c r="E1146" s="698">
        <f>SUM(H1146+K1146+N1146+Q1146)</f>
        <v>3000</v>
      </c>
      <c r="F1146" s="967">
        <f t="shared" si="139"/>
        <v>100</v>
      </c>
      <c r="G1146" s="720">
        <f>2825+175</f>
        <v>3000</v>
      </c>
      <c r="H1146" s="698">
        <v>3000</v>
      </c>
      <c r="I1146" s="1001">
        <f t="shared" si="141"/>
        <v>100</v>
      </c>
      <c r="J1146" s="778"/>
      <c r="K1146" s="777"/>
      <c r="L1146" s="779"/>
      <c r="M1146" s="720"/>
      <c r="N1146" s="698"/>
      <c r="O1146" s="702"/>
      <c r="P1146" s="698"/>
      <c r="Q1146" s="698"/>
      <c r="R1146" s="770"/>
      <c r="S1146" s="682"/>
      <c r="T1146" s="682"/>
    </row>
    <row r="1147" spans="1:20" s="756" customFormat="1" ht="24">
      <c r="A1147" s="764">
        <v>4480</v>
      </c>
      <c r="B1147" s="934" t="s">
        <v>225</v>
      </c>
      <c r="C1147" s="720">
        <v>1500</v>
      </c>
      <c r="D1147" s="698">
        <f t="shared" si="138"/>
        <v>850</v>
      </c>
      <c r="E1147" s="698">
        <f>SUM(H1147+K1147+N1147+Q1147)</f>
        <v>847</v>
      </c>
      <c r="F1147" s="967">
        <f t="shared" si="139"/>
        <v>99.6470588235294</v>
      </c>
      <c r="G1147" s="720">
        <f>1500-650</f>
        <v>850</v>
      </c>
      <c r="H1147" s="698">
        <v>847</v>
      </c>
      <c r="I1147" s="1001">
        <f t="shared" si="141"/>
        <v>99.6470588235294</v>
      </c>
      <c r="J1147" s="778"/>
      <c r="K1147" s="777"/>
      <c r="L1147" s="779"/>
      <c r="M1147" s="720"/>
      <c r="N1147" s="698"/>
      <c r="O1147" s="702"/>
      <c r="P1147" s="698"/>
      <c r="Q1147" s="698"/>
      <c r="R1147" s="770"/>
      <c r="S1147" s="682"/>
      <c r="T1147" s="682"/>
    </row>
    <row r="1148" spans="1:20" s="756" customFormat="1" ht="51.75" customHeight="1">
      <c r="A1148" s="764">
        <v>4740</v>
      </c>
      <c r="B1148" s="828" t="s">
        <v>235</v>
      </c>
      <c r="C1148" s="720"/>
      <c r="D1148" s="698">
        <f>G1148+J1148+P1148+M1148</f>
        <v>200</v>
      </c>
      <c r="E1148" s="698">
        <f>SUM(H1148+K1148+N1148+Q1148)</f>
        <v>200</v>
      </c>
      <c r="F1148" s="967">
        <f>E1148/D1148*100</f>
        <v>100</v>
      </c>
      <c r="G1148" s="720">
        <v>200</v>
      </c>
      <c r="H1148" s="698">
        <v>200</v>
      </c>
      <c r="I1148" s="1001">
        <f t="shared" si="141"/>
        <v>100</v>
      </c>
      <c r="J1148" s="778"/>
      <c r="K1148" s="777"/>
      <c r="L1148" s="779"/>
      <c r="M1148" s="720"/>
      <c r="N1148" s="698"/>
      <c r="O1148" s="702"/>
      <c r="P1148" s="698"/>
      <c r="Q1148" s="698"/>
      <c r="R1148" s="770"/>
      <c r="S1148" s="682"/>
      <c r="T1148" s="682"/>
    </row>
    <row r="1149" spans="1:20" s="756" customFormat="1" ht="36">
      <c r="A1149" s="764">
        <v>4750</v>
      </c>
      <c r="B1149" s="828" t="s">
        <v>551</v>
      </c>
      <c r="C1149" s="720"/>
      <c r="D1149" s="698">
        <f>G1149+J1149+P1149+M1149</f>
        <v>400</v>
      </c>
      <c r="E1149" s="698">
        <f>SUM(H1149+K1149+N1149+Q1149)</f>
        <v>400</v>
      </c>
      <c r="F1149" s="967">
        <f>E1149/D1149*100</f>
        <v>100</v>
      </c>
      <c r="G1149" s="720">
        <v>400</v>
      </c>
      <c r="H1149" s="698">
        <v>400</v>
      </c>
      <c r="I1149" s="1001">
        <f t="shared" si="141"/>
        <v>100</v>
      </c>
      <c r="J1149" s="778"/>
      <c r="K1149" s="777"/>
      <c r="L1149" s="779"/>
      <c r="M1149" s="720"/>
      <c r="N1149" s="698"/>
      <c r="O1149" s="702"/>
      <c r="P1149" s="698"/>
      <c r="Q1149" s="698"/>
      <c r="R1149" s="770"/>
      <c r="S1149" s="682"/>
      <c r="T1149" s="682"/>
    </row>
    <row r="1150" spans="1:20" s="756" customFormat="1" ht="48" hidden="1">
      <c r="A1150" s="764">
        <v>6060</v>
      </c>
      <c r="B1150" s="934" t="s">
        <v>593</v>
      </c>
      <c r="C1150" s="720"/>
      <c r="D1150" s="698">
        <f t="shared" si="138"/>
        <v>0</v>
      </c>
      <c r="E1150" s="698">
        <f t="shared" si="140"/>
        <v>0</v>
      </c>
      <c r="F1150" s="967" t="e">
        <f t="shared" si="139"/>
        <v>#DIV/0!</v>
      </c>
      <c r="G1150" s="720"/>
      <c r="H1150" s="698"/>
      <c r="I1150" s="990" t="e">
        <f t="shared" si="141"/>
        <v>#DIV/0!</v>
      </c>
      <c r="J1150" s="778"/>
      <c r="K1150" s="777"/>
      <c r="L1150" s="779"/>
      <c r="M1150" s="720"/>
      <c r="N1150" s="698"/>
      <c r="O1150" s="702"/>
      <c r="P1150" s="698"/>
      <c r="Q1150" s="698"/>
      <c r="R1150" s="770"/>
      <c r="S1150" s="682"/>
      <c r="T1150" s="682"/>
    </row>
    <row r="1151" spans="1:20" s="756" customFormat="1" ht="24">
      <c r="A1151" s="835"/>
      <c r="B1151" s="1002" t="s">
        <v>806</v>
      </c>
      <c r="C1151" s="837">
        <f>SUM(C1152:C1170)</f>
        <v>204598</v>
      </c>
      <c r="D1151" s="759">
        <f t="shared" si="138"/>
        <v>207338</v>
      </c>
      <c r="E1151" s="759">
        <f t="shared" si="140"/>
        <v>206974</v>
      </c>
      <c r="F1151" s="1003">
        <f t="shared" si="139"/>
        <v>99.82444125051848</v>
      </c>
      <c r="G1151" s="837"/>
      <c r="H1151" s="759"/>
      <c r="I1151" s="991"/>
      <c r="J1151" s="839"/>
      <c r="K1151" s="839"/>
      <c r="L1151" s="865"/>
      <c r="M1151" s="839">
        <f>SUM(M1152:M1170)</f>
        <v>207338</v>
      </c>
      <c r="N1151" s="839">
        <f>SUM(N1152:N1170)</f>
        <v>206974</v>
      </c>
      <c r="O1151" s="761">
        <f t="shared" si="137"/>
        <v>99.82444125051848</v>
      </c>
      <c r="P1151" s="759"/>
      <c r="Q1151" s="759"/>
      <c r="R1151" s="843"/>
      <c r="S1151" s="682"/>
      <c r="T1151" s="682"/>
    </row>
    <row r="1152" spans="1:20" s="756" customFormat="1" ht="29.25" customHeight="1">
      <c r="A1152" s="764">
        <v>4010</v>
      </c>
      <c r="B1152" s="768" t="s">
        <v>201</v>
      </c>
      <c r="C1152" s="723">
        <v>53907</v>
      </c>
      <c r="D1152" s="698">
        <f t="shared" si="138"/>
        <v>56647</v>
      </c>
      <c r="E1152" s="698">
        <f t="shared" si="140"/>
        <v>56632</v>
      </c>
      <c r="F1152" s="967">
        <f t="shared" si="139"/>
        <v>99.97352022172402</v>
      </c>
      <c r="G1152" s="776"/>
      <c r="H1152" s="777"/>
      <c r="I1152" s="770"/>
      <c r="J1152" s="778"/>
      <c r="K1152" s="778"/>
      <c r="L1152" s="779"/>
      <c r="M1152" s="703">
        <f>53907+2740</f>
        <v>56647</v>
      </c>
      <c r="N1152" s="698">
        <v>56632</v>
      </c>
      <c r="O1152" s="744">
        <f t="shared" si="137"/>
        <v>99.97352022172402</v>
      </c>
      <c r="P1152" s="698"/>
      <c r="Q1152" s="698"/>
      <c r="R1152" s="770"/>
      <c r="S1152" s="682"/>
      <c r="T1152" s="682"/>
    </row>
    <row r="1153" spans="1:20" s="756" customFormat="1" ht="24">
      <c r="A1153" s="764">
        <v>4040</v>
      </c>
      <c r="B1153" s="768" t="s">
        <v>280</v>
      </c>
      <c r="C1153" s="720">
        <v>4291</v>
      </c>
      <c r="D1153" s="698">
        <f aca="true" t="shared" si="142" ref="D1153:D1190">G1153+J1153+P1153+M1153</f>
        <v>4291</v>
      </c>
      <c r="E1153" s="698">
        <f t="shared" si="140"/>
        <v>4280</v>
      </c>
      <c r="F1153" s="967">
        <f t="shared" si="139"/>
        <v>99.7436494989513</v>
      </c>
      <c r="G1153" s="776"/>
      <c r="H1153" s="777"/>
      <c r="I1153" s="770"/>
      <c r="J1153" s="778"/>
      <c r="K1153" s="778"/>
      <c r="L1153" s="779"/>
      <c r="M1153" s="703">
        <v>4291</v>
      </c>
      <c r="N1153" s="698">
        <v>4280</v>
      </c>
      <c r="O1153" s="744">
        <f t="shared" si="137"/>
        <v>99.7436494989513</v>
      </c>
      <c r="P1153" s="698"/>
      <c r="Q1153" s="698"/>
      <c r="R1153" s="770"/>
      <c r="S1153" s="682"/>
      <c r="T1153" s="682"/>
    </row>
    <row r="1154" spans="1:20" s="756" customFormat="1" ht="27.75" customHeight="1">
      <c r="A1154" s="764">
        <v>4110</v>
      </c>
      <c r="B1154" s="768" t="s">
        <v>207</v>
      </c>
      <c r="C1154" s="720">
        <v>9720</v>
      </c>
      <c r="D1154" s="698">
        <f t="shared" si="142"/>
        <v>9560</v>
      </c>
      <c r="E1154" s="698">
        <f t="shared" si="140"/>
        <v>9533</v>
      </c>
      <c r="F1154" s="967">
        <f t="shared" si="139"/>
        <v>99.71757322175733</v>
      </c>
      <c r="G1154" s="776"/>
      <c r="H1154" s="777"/>
      <c r="I1154" s="770"/>
      <c r="J1154" s="778"/>
      <c r="K1154" s="778"/>
      <c r="L1154" s="779"/>
      <c r="M1154" s="703">
        <f>9720-160</f>
        <v>9560</v>
      </c>
      <c r="N1154" s="698">
        <v>9533</v>
      </c>
      <c r="O1154" s="744">
        <f t="shared" si="137"/>
        <v>99.71757322175733</v>
      </c>
      <c r="P1154" s="698"/>
      <c r="Q1154" s="698"/>
      <c r="R1154" s="770"/>
      <c r="S1154" s="682"/>
      <c r="T1154" s="682"/>
    </row>
    <row r="1155" spans="1:20" s="756" customFormat="1" ht="12.75">
      <c r="A1155" s="764">
        <v>4120</v>
      </c>
      <c r="B1155" s="768" t="s">
        <v>584</v>
      </c>
      <c r="C1155" s="720">
        <v>1480</v>
      </c>
      <c r="D1155" s="698">
        <f t="shared" si="142"/>
        <v>1480</v>
      </c>
      <c r="E1155" s="698">
        <f t="shared" si="140"/>
        <v>1463</v>
      </c>
      <c r="F1155" s="967">
        <f t="shared" si="139"/>
        <v>98.85135135135134</v>
      </c>
      <c r="G1155" s="776"/>
      <c r="H1155" s="777"/>
      <c r="I1155" s="770"/>
      <c r="J1155" s="778"/>
      <c r="K1155" s="778"/>
      <c r="L1155" s="779"/>
      <c r="M1155" s="703">
        <v>1480</v>
      </c>
      <c r="N1155" s="698">
        <v>1463</v>
      </c>
      <c r="O1155" s="744">
        <f t="shared" si="137"/>
        <v>98.85135135135134</v>
      </c>
      <c r="P1155" s="698"/>
      <c r="Q1155" s="698"/>
      <c r="R1155" s="770"/>
      <c r="S1155" s="682"/>
      <c r="T1155" s="682"/>
    </row>
    <row r="1156" spans="1:20" s="756" customFormat="1" ht="24">
      <c r="A1156" s="764">
        <v>4170</v>
      </c>
      <c r="B1156" s="768" t="s">
        <v>242</v>
      </c>
      <c r="C1156" s="720">
        <v>10600</v>
      </c>
      <c r="D1156" s="698">
        <f t="shared" si="142"/>
        <v>10600</v>
      </c>
      <c r="E1156" s="698">
        <f t="shared" si="140"/>
        <v>10600</v>
      </c>
      <c r="F1156" s="967">
        <f t="shared" si="139"/>
        <v>100</v>
      </c>
      <c r="G1156" s="776"/>
      <c r="H1156" s="777"/>
      <c r="I1156" s="770"/>
      <c r="J1156" s="778"/>
      <c r="K1156" s="778"/>
      <c r="L1156" s="779"/>
      <c r="M1156" s="703">
        <v>10600</v>
      </c>
      <c r="N1156" s="698">
        <v>10600</v>
      </c>
      <c r="O1156" s="744">
        <f t="shared" si="137"/>
        <v>100</v>
      </c>
      <c r="P1156" s="698"/>
      <c r="Q1156" s="698"/>
      <c r="R1156" s="770"/>
      <c r="S1156" s="682"/>
      <c r="T1156" s="682"/>
    </row>
    <row r="1157" spans="1:20" s="756" customFormat="1" ht="24">
      <c r="A1157" s="764">
        <v>4210</v>
      </c>
      <c r="B1157" s="768" t="s">
        <v>211</v>
      </c>
      <c r="C1157" s="720">
        <v>12800</v>
      </c>
      <c r="D1157" s="698">
        <f t="shared" si="142"/>
        <v>16200</v>
      </c>
      <c r="E1157" s="698">
        <f t="shared" si="140"/>
        <v>16199</v>
      </c>
      <c r="F1157" s="967">
        <f t="shared" si="139"/>
        <v>99.99382716049384</v>
      </c>
      <c r="G1157" s="776"/>
      <c r="H1157" s="777"/>
      <c r="I1157" s="770"/>
      <c r="J1157" s="778"/>
      <c r="K1157" s="778"/>
      <c r="L1157" s="779"/>
      <c r="M1157" s="703">
        <f>12800+3050+350</f>
        <v>16200</v>
      </c>
      <c r="N1157" s="698">
        <v>16199</v>
      </c>
      <c r="O1157" s="744">
        <f t="shared" si="137"/>
        <v>99.99382716049384</v>
      </c>
      <c r="P1157" s="698"/>
      <c r="Q1157" s="698"/>
      <c r="R1157" s="770"/>
      <c r="S1157" s="682"/>
      <c r="T1157" s="682"/>
    </row>
    <row r="1158" spans="1:20" s="756" customFormat="1" ht="25.5" customHeight="1">
      <c r="A1158" s="764">
        <v>4230</v>
      </c>
      <c r="B1158" s="768" t="s">
        <v>213</v>
      </c>
      <c r="C1158" s="720">
        <v>200</v>
      </c>
      <c r="D1158" s="698">
        <f t="shared" si="142"/>
        <v>500</v>
      </c>
      <c r="E1158" s="698">
        <f t="shared" si="140"/>
        <v>494</v>
      </c>
      <c r="F1158" s="967">
        <f t="shared" si="139"/>
        <v>98.8</v>
      </c>
      <c r="G1158" s="776"/>
      <c r="H1158" s="777"/>
      <c r="I1158" s="770"/>
      <c r="J1158" s="778"/>
      <c r="K1158" s="778"/>
      <c r="L1158" s="779"/>
      <c r="M1158" s="703">
        <f>200+300</f>
        <v>500</v>
      </c>
      <c r="N1158" s="698">
        <v>494</v>
      </c>
      <c r="O1158" s="744">
        <f t="shared" si="137"/>
        <v>98.8</v>
      </c>
      <c r="P1158" s="698"/>
      <c r="Q1158" s="698"/>
      <c r="R1158" s="770"/>
      <c r="S1158" s="682"/>
      <c r="T1158" s="682"/>
    </row>
    <row r="1159" spans="1:20" s="756" customFormat="1" ht="26.25" customHeight="1">
      <c r="A1159" s="764">
        <v>4240</v>
      </c>
      <c r="B1159" s="768" t="s">
        <v>572</v>
      </c>
      <c r="C1159" s="720">
        <v>3600</v>
      </c>
      <c r="D1159" s="698">
        <f t="shared" si="142"/>
        <v>4130</v>
      </c>
      <c r="E1159" s="698">
        <f>SUM(H1159+K1159+N1159+Q1159)</f>
        <v>4124</v>
      </c>
      <c r="F1159" s="967">
        <f>E1159/D1159*100</f>
        <v>99.8547215496368</v>
      </c>
      <c r="G1159" s="776"/>
      <c r="H1159" s="777"/>
      <c r="I1159" s="770"/>
      <c r="J1159" s="778"/>
      <c r="K1159" s="778"/>
      <c r="L1159" s="779"/>
      <c r="M1159" s="703">
        <f>3600+600-70</f>
        <v>4130</v>
      </c>
      <c r="N1159" s="698">
        <v>4124</v>
      </c>
      <c r="O1159" s="744">
        <f t="shared" si="137"/>
        <v>99.8547215496368</v>
      </c>
      <c r="P1159" s="698"/>
      <c r="Q1159" s="698"/>
      <c r="R1159" s="770"/>
      <c r="S1159" s="682"/>
      <c r="T1159" s="682"/>
    </row>
    <row r="1160" spans="1:20" s="756" customFormat="1" ht="12.75">
      <c r="A1160" s="764">
        <v>4260</v>
      </c>
      <c r="B1160" s="768" t="s">
        <v>215</v>
      </c>
      <c r="C1160" s="720">
        <v>5800</v>
      </c>
      <c r="D1160" s="698">
        <f t="shared" si="142"/>
        <v>7270</v>
      </c>
      <c r="E1160" s="698">
        <f t="shared" si="140"/>
        <v>7265</v>
      </c>
      <c r="F1160" s="967">
        <f t="shared" si="139"/>
        <v>99.93122420907841</v>
      </c>
      <c r="G1160" s="776"/>
      <c r="H1160" s="777"/>
      <c r="I1160" s="770"/>
      <c r="J1160" s="778"/>
      <c r="K1160" s="778"/>
      <c r="L1160" s="779"/>
      <c r="M1160" s="703">
        <f>5800+1700-230</f>
        <v>7270</v>
      </c>
      <c r="N1160" s="698">
        <v>7265</v>
      </c>
      <c r="O1160" s="744">
        <f t="shared" si="137"/>
        <v>99.93122420907841</v>
      </c>
      <c r="P1160" s="698"/>
      <c r="Q1160" s="698"/>
      <c r="R1160" s="770"/>
      <c r="S1160" s="682"/>
      <c r="T1160" s="682"/>
    </row>
    <row r="1161" spans="1:20" s="756" customFormat="1" ht="15.75" customHeight="1">
      <c r="A1161" s="764">
        <v>4270</v>
      </c>
      <c r="B1161" s="768" t="s">
        <v>217</v>
      </c>
      <c r="C1161" s="720">
        <v>2800</v>
      </c>
      <c r="D1161" s="698">
        <f t="shared" si="142"/>
        <v>910</v>
      </c>
      <c r="E1161" s="698">
        <f t="shared" si="140"/>
        <v>900</v>
      </c>
      <c r="F1161" s="967">
        <f t="shared" si="139"/>
        <v>98.9010989010989</v>
      </c>
      <c r="G1161" s="776"/>
      <c r="H1161" s="777"/>
      <c r="I1161" s="770"/>
      <c r="J1161" s="778"/>
      <c r="K1161" s="778"/>
      <c r="L1161" s="779"/>
      <c r="M1161" s="703">
        <f>2800-1890</f>
        <v>910</v>
      </c>
      <c r="N1161" s="698">
        <v>900</v>
      </c>
      <c r="O1161" s="744">
        <f t="shared" si="137"/>
        <v>98.9010989010989</v>
      </c>
      <c r="P1161" s="698"/>
      <c r="Q1161" s="698"/>
      <c r="R1161" s="770"/>
      <c r="S1161" s="682"/>
      <c r="T1161" s="682"/>
    </row>
    <row r="1162" spans="1:20" s="756" customFormat="1" ht="17.25" customHeight="1">
      <c r="A1162" s="764">
        <v>4280</v>
      </c>
      <c r="B1162" s="768" t="s">
        <v>807</v>
      </c>
      <c r="C1162" s="720">
        <v>2100</v>
      </c>
      <c r="D1162" s="698">
        <f t="shared" si="142"/>
        <v>1200</v>
      </c>
      <c r="E1162" s="698">
        <f t="shared" si="140"/>
        <v>1100</v>
      </c>
      <c r="F1162" s="967">
        <f t="shared" si="139"/>
        <v>91.66666666666666</v>
      </c>
      <c r="G1162" s="776"/>
      <c r="H1162" s="777"/>
      <c r="I1162" s="770"/>
      <c r="J1162" s="778"/>
      <c r="K1162" s="778"/>
      <c r="L1162" s="779"/>
      <c r="M1162" s="703">
        <f>2100-900</f>
        <v>1200</v>
      </c>
      <c r="N1162" s="698">
        <v>1100</v>
      </c>
      <c r="O1162" s="744">
        <f t="shared" si="137"/>
        <v>91.66666666666666</v>
      </c>
      <c r="P1162" s="698"/>
      <c r="Q1162" s="698"/>
      <c r="R1162" s="770"/>
      <c r="S1162" s="682"/>
      <c r="T1162" s="682"/>
    </row>
    <row r="1163" spans="1:20" s="756" customFormat="1" ht="12" customHeight="1">
      <c r="A1163" s="764">
        <v>4300</v>
      </c>
      <c r="B1163" s="768" t="s">
        <v>219</v>
      </c>
      <c r="C1163" s="720">
        <v>91000</v>
      </c>
      <c r="D1163" s="698">
        <f t="shared" si="142"/>
        <v>88000</v>
      </c>
      <c r="E1163" s="698">
        <f t="shared" si="140"/>
        <v>87997</v>
      </c>
      <c r="F1163" s="967">
        <f t="shared" si="139"/>
        <v>99.99659090909091</v>
      </c>
      <c r="G1163" s="776"/>
      <c r="H1163" s="777"/>
      <c r="I1163" s="770"/>
      <c r="J1163" s="778"/>
      <c r="K1163" s="778"/>
      <c r="L1163" s="779"/>
      <c r="M1163" s="703">
        <f>91000-3000</f>
        <v>88000</v>
      </c>
      <c r="N1163" s="698">
        <v>87997</v>
      </c>
      <c r="O1163" s="744">
        <f t="shared" si="137"/>
        <v>99.99659090909091</v>
      </c>
      <c r="P1163" s="698"/>
      <c r="Q1163" s="698"/>
      <c r="R1163" s="770"/>
      <c r="S1163" s="682"/>
      <c r="T1163" s="682"/>
    </row>
    <row r="1164" spans="1:20" s="756" customFormat="1" ht="24">
      <c r="A1164" s="764">
        <v>4350</v>
      </c>
      <c r="B1164" s="768" t="s">
        <v>544</v>
      </c>
      <c r="C1164" s="720">
        <v>800</v>
      </c>
      <c r="D1164" s="698">
        <f t="shared" si="142"/>
        <v>700</v>
      </c>
      <c r="E1164" s="698">
        <f t="shared" si="140"/>
        <v>670</v>
      </c>
      <c r="F1164" s="967">
        <f t="shared" si="139"/>
        <v>95.71428571428572</v>
      </c>
      <c r="G1164" s="776"/>
      <c r="H1164" s="777"/>
      <c r="I1164" s="770"/>
      <c r="J1164" s="778"/>
      <c r="K1164" s="778"/>
      <c r="L1164" s="779"/>
      <c r="M1164" s="703">
        <f>800-100</f>
        <v>700</v>
      </c>
      <c r="N1164" s="698">
        <v>670</v>
      </c>
      <c r="O1164" s="744">
        <f t="shared" si="137"/>
        <v>95.71428571428572</v>
      </c>
      <c r="P1164" s="698"/>
      <c r="Q1164" s="698"/>
      <c r="R1164" s="770"/>
      <c r="S1164" s="682"/>
      <c r="T1164" s="682"/>
    </row>
    <row r="1165" spans="1:20" s="756" customFormat="1" ht="36.75" customHeight="1">
      <c r="A1165" s="764">
        <v>4370</v>
      </c>
      <c r="B1165" s="768" t="s">
        <v>635</v>
      </c>
      <c r="C1165" s="720">
        <v>1400</v>
      </c>
      <c r="D1165" s="698">
        <f t="shared" si="142"/>
        <v>1300</v>
      </c>
      <c r="E1165" s="698">
        <f t="shared" si="140"/>
        <v>1280</v>
      </c>
      <c r="F1165" s="967">
        <f t="shared" si="139"/>
        <v>98.46153846153847</v>
      </c>
      <c r="G1165" s="776"/>
      <c r="H1165" s="777"/>
      <c r="I1165" s="770"/>
      <c r="J1165" s="778"/>
      <c r="K1165" s="778"/>
      <c r="L1165" s="779"/>
      <c r="M1165" s="703">
        <f>1400-100</f>
        <v>1300</v>
      </c>
      <c r="N1165" s="698">
        <v>1280</v>
      </c>
      <c r="O1165" s="744">
        <f t="shared" si="137"/>
        <v>98.46153846153847</v>
      </c>
      <c r="P1165" s="698"/>
      <c r="Q1165" s="698"/>
      <c r="R1165" s="770"/>
      <c r="S1165" s="682"/>
      <c r="T1165" s="682"/>
    </row>
    <row r="1166" spans="1:20" s="756" customFormat="1" ht="18" customHeight="1">
      <c r="A1166" s="764">
        <v>4410</v>
      </c>
      <c r="B1166" s="768" t="s">
        <v>193</v>
      </c>
      <c r="C1166" s="720">
        <v>3000</v>
      </c>
      <c r="D1166" s="698">
        <f t="shared" si="142"/>
        <v>2700</v>
      </c>
      <c r="E1166" s="698">
        <f t="shared" si="140"/>
        <v>2587</v>
      </c>
      <c r="F1166" s="967">
        <f t="shared" si="139"/>
        <v>95.81481481481482</v>
      </c>
      <c r="G1166" s="776"/>
      <c r="H1166" s="777"/>
      <c r="I1166" s="770"/>
      <c r="J1166" s="778"/>
      <c r="K1166" s="778"/>
      <c r="L1166" s="779"/>
      <c r="M1166" s="703">
        <f>3000-300</f>
        <v>2700</v>
      </c>
      <c r="N1166" s="698">
        <v>2587</v>
      </c>
      <c r="O1166" s="744">
        <f t="shared" si="137"/>
        <v>95.81481481481482</v>
      </c>
      <c r="P1166" s="698"/>
      <c r="Q1166" s="698"/>
      <c r="R1166" s="770"/>
      <c r="S1166" s="682"/>
      <c r="T1166" s="682"/>
    </row>
    <row r="1167" spans="1:20" s="756" customFormat="1" ht="12" customHeight="1" hidden="1">
      <c r="A1167" s="764">
        <v>4440</v>
      </c>
      <c r="B1167" s="934" t="s">
        <v>223</v>
      </c>
      <c r="C1167" s="703"/>
      <c r="D1167" s="698">
        <f t="shared" si="142"/>
        <v>0</v>
      </c>
      <c r="E1167" s="698">
        <f t="shared" si="140"/>
        <v>0</v>
      </c>
      <c r="F1167" s="967" t="e">
        <f t="shared" si="139"/>
        <v>#DIV/0!</v>
      </c>
      <c r="G1167" s="776"/>
      <c r="H1167" s="777"/>
      <c r="I1167" s="770"/>
      <c r="J1167" s="778"/>
      <c r="K1167" s="778"/>
      <c r="L1167" s="779"/>
      <c r="M1167" s="703"/>
      <c r="N1167" s="698"/>
      <c r="O1167" s="744" t="e">
        <f t="shared" si="137"/>
        <v>#DIV/0!</v>
      </c>
      <c r="P1167" s="698"/>
      <c r="Q1167" s="698"/>
      <c r="R1167" s="770"/>
      <c r="S1167" s="682"/>
      <c r="T1167" s="682"/>
    </row>
    <row r="1168" spans="1:20" s="756" customFormat="1" ht="41.25" customHeight="1">
      <c r="A1168" s="764">
        <v>4700</v>
      </c>
      <c r="B1168" s="828" t="s">
        <v>550</v>
      </c>
      <c r="C1168" s="703">
        <v>500</v>
      </c>
      <c r="D1168" s="698">
        <f>G1168+J1168+P1168+M1168</f>
        <v>550</v>
      </c>
      <c r="E1168" s="698">
        <f>SUM(H1168+K1168+N1168+Q1168)</f>
        <v>550</v>
      </c>
      <c r="F1168" s="967">
        <f>E1168/D1168*100</f>
        <v>100</v>
      </c>
      <c r="G1168" s="776"/>
      <c r="H1168" s="777"/>
      <c r="I1168" s="770"/>
      <c r="J1168" s="778"/>
      <c r="K1168" s="778"/>
      <c r="L1168" s="779"/>
      <c r="M1168" s="703">
        <f>500+100-50</f>
        <v>550</v>
      </c>
      <c r="N1168" s="698">
        <v>550</v>
      </c>
      <c r="O1168" s="744">
        <f t="shared" si="137"/>
        <v>100</v>
      </c>
      <c r="P1168" s="698"/>
      <c r="Q1168" s="698"/>
      <c r="R1168" s="770"/>
      <c r="S1168" s="682"/>
      <c r="T1168" s="682"/>
    </row>
    <row r="1169" spans="1:20" s="756" customFormat="1" ht="50.25" customHeight="1">
      <c r="A1169" s="764">
        <v>4740</v>
      </c>
      <c r="B1169" s="828" t="s">
        <v>235</v>
      </c>
      <c r="C1169" s="703">
        <v>200</v>
      </c>
      <c r="D1169" s="698">
        <f t="shared" si="142"/>
        <v>200</v>
      </c>
      <c r="E1169" s="698">
        <f t="shared" si="140"/>
        <v>200</v>
      </c>
      <c r="F1169" s="967">
        <f t="shared" si="139"/>
        <v>100</v>
      </c>
      <c r="G1169" s="776"/>
      <c r="H1169" s="777"/>
      <c r="I1169" s="770"/>
      <c r="J1169" s="778"/>
      <c r="K1169" s="778"/>
      <c r="L1169" s="779"/>
      <c r="M1169" s="703">
        <v>200</v>
      </c>
      <c r="N1169" s="698">
        <v>200</v>
      </c>
      <c r="O1169" s="744">
        <f t="shared" si="137"/>
        <v>100</v>
      </c>
      <c r="P1169" s="698"/>
      <c r="Q1169" s="698"/>
      <c r="R1169" s="770"/>
      <c r="S1169" s="682"/>
      <c r="T1169" s="682"/>
    </row>
    <row r="1170" spans="1:20" s="756" customFormat="1" ht="36">
      <c r="A1170" s="764">
        <v>4750</v>
      </c>
      <c r="B1170" s="828" t="s">
        <v>551</v>
      </c>
      <c r="C1170" s="703">
        <v>400</v>
      </c>
      <c r="D1170" s="698">
        <f t="shared" si="142"/>
        <v>1100</v>
      </c>
      <c r="E1170" s="698">
        <f t="shared" si="140"/>
        <v>1100</v>
      </c>
      <c r="F1170" s="967">
        <f t="shared" si="139"/>
        <v>100</v>
      </c>
      <c r="G1170" s="776"/>
      <c r="H1170" s="777"/>
      <c r="I1170" s="770"/>
      <c r="J1170" s="778"/>
      <c r="K1170" s="778"/>
      <c r="L1170" s="779"/>
      <c r="M1170" s="703">
        <f>400+700</f>
        <v>1100</v>
      </c>
      <c r="N1170" s="698">
        <v>1100</v>
      </c>
      <c r="O1170" s="744">
        <f t="shared" si="137"/>
        <v>100</v>
      </c>
      <c r="P1170" s="698"/>
      <c r="Q1170" s="698"/>
      <c r="R1170" s="770"/>
      <c r="S1170" s="682"/>
      <c r="T1170" s="682"/>
    </row>
    <row r="1171" spans="1:20" s="756" customFormat="1" ht="24">
      <c r="A1171" s="835"/>
      <c r="B1171" s="1002" t="s">
        <v>808</v>
      </c>
      <c r="C1171" s="837">
        <f>SUM(C1172:C1190)</f>
        <v>202478</v>
      </c>
      <c r="D1171" s="759">
        <f t="shared" si="142"/>
        <v>204948</v>
      </c>
      <c r="E1171" s="759">
        <f t="shared" si="140"/>
        <v>204856</v>
      </c>
      <c r="F1171" s="1003">
        <f t="shared" si="139"/>
        <v>99.95511056463103</v>
      </c>
      <c r="G1171" s="837"/>
      <c r="H1171" s="759"/>
      <c r="I1171" s="797"/>
      <c r="J1171" s="839"/>
      <c r="K1171" s="839"/>
      <c r="L1171" s="865"/>
      <c r="M1171" s="839">
        <f>SUM(M1172:M1190)</f>
        <v>204948</v>
      </c>
      <c r="N1171" s="839">
        <f>SUM(N1172:N1190)</f>
        <v>204856</v>
      </c>
      <c r="O1171" s="761">
        <f t="shared" si="137"/>
        <v>99.95511056463103</v>
      </c>
      <c r="P1171" s="759"/>
      <c r="Q1171" s="759"/>
      <c r="R1171" s="843"/>
      <c r="S1171" s="682"/>
      <c r="T1171" s="682"/>
    </row>
    <row r="1172" spans="1:20" ht="27" customHeight="1">
      <c r="A1172" s="764">
        <v>4010</v>
      </c>
      <c r="B1172" s="934" t="s">
        <v>201</v>
      </c>
      <c r="C1172" s="720">
        <v>59943</v>
      </c>
      <c r="D1172" s="698">
        <f t="shared" si="142"/>
        <v>62413</v>
      </c>
      <c r="E1172" s="698">
        <f t="shared" si="140"/>
        <v>62402</v>
      </c>
      <c r="F1172" s="967">
        <f t="shared" si="139"/>
        <v>99.98237546664957</v>
      </c>
      <c r="G1172" s="720"/>
      <c r="H1172" s="698"/>
      <c r="I1172" s="770"/>
      <c r="J1172" s="703"/>
      <c r="K1172" s="703"/>
      <c r="L1172" s="704"/>
      <c r="M1172" s="703">
        <f>59943+2470</f>
        <v>62413</v>
      </c>
      <c r="N1172" s="698">
        <v>62402</v>
      </c>
      <c r="O1172" s="744">
        <f t="shared" si="137"/>
        <v>99.98237546664957</v>
      </c>
      <c r="P1172" s="698"/>
      <c r="Q1172" s="698"/>
      <c r="R1172" s="770"/>
      <c r="S1172" s="682"/>
      <c r="T1172" s="682"/>
    </row>
    <row r="1173" spans="1:20" ht="24">
      <c r="A1173" s="764">
        <v>4040</v>
      </c>
      <c r="B1173" s="934" t="s">
        <v>280</v>
      </c>
      <c r="C1173" s="720">
        <v>4515</v>
      </c>
      <c r="D1173" s="698">
        <f t="shared" si="142"/>
        <v>4515</v>
      </c>
      <c r="E1173" s="698">
        <f t="shared" si="140"/>
        <v>4496</v>
      </c>
      <c r="F1173" s="967">
        <f t="shared" si="139"/>
        <v>99.57918050941306</v>
      </c>
      <c r="G1173" s="720"/>
      <c r="H1173" s="698"/>
      <c r="I1173" s="770"/>
      <c r="J1173" s="703"/>
      <c r="K1173" s="703"/>
      <c r="L1173" s="704"/>
      <c r="M1173" s="703">
        <v>4515</v>
      </c>
      <c r="N1173" s="698">
        <v>4496</v>
      </c>
      <c r="O1173" s="744">
        <f t="shared" si="137"/>
        <v>99.57918050941306</v>
      </c>
      <c r="P1173" s="698"/>
      <c r="Q1173" s="698"/>
      <c r="R1173" s="770"/>
      <c r="S1173" s="682"/>
      <c r="T1173" s="682"/>
    </row>
    <row r="1174" spans="1:20" ht="25.5" customHeight="1">
      <c r="A1174" s="764">
        <v>4110</v>
      </c>
      <c r="B1174" s="768" t="s">
        <v>207</v>
      </c>
      <c r="C1174" s="720">
        <v>11210</v>
      </c>
      <c r="D1174" s="698">
        <f t="shared" si="142"/>
        <v>10460</v>
      </c>
      <c r="E1174" s="698">
        <f t="shared" si="140"/>
        <v>10449</v>
      </c>
      <c r="F1174" s="967">
        <f t="shared" si="139"/>
        <v>99.89483747609943</v>
      </c>
      <c r="G1174" s="720"/>
      <c r="H1174" s="698"/>
      <c r="I1174" s="770"/>
      <c r="J1174" s="703"/>
      <c r="K1174" s="703"/>
      <c r="L1174" s="704"/>
      <c r="M1174" s="703">
        <f>11210-750</f>
        <v>10460</v>
      </c>
      <c r="N1174" s="698">
        <v>10449</v>
      </c>
      <c r="O1174" s="744">
        <f t="shared" si="137"/>
        <v>99.89483747609943</v>
      </c>
      <c r="P1174" s="698"/>
      <c r="Q1174" s="698"/>
      <c r="R1174" s="770"/>
      <c r="S1174" s="682"/>
      <c r="T1174" s="682"/>
    </row>
    <row r="1175" spans="1:20" ht="12.75">
      <c r="A1175" s="764">
        <v>4120</v>
      </c>
      <c r="B1175" s="768" t="s">
        <v>584</v>
      </c>
      <c r="C1175" s="720">
        <v>1710</v>
      </c>
      <c r="D1175" s="698">
        <f t="shared" si="142"/>
        <v>1530</v>
      </c>
      <c r="E1175" s="698">
        <f t="shared" si="140"/>
        <v>1527</v>
      </c>
      <c r="F1175" s="967">
        <f t="shared" si="139"/>
        <v>99.80392156862746</v>
      </c>
      <c r="G1175" s="720"/>
      <c r="H1175" s="698"/>
      <c r="I1175" s="770"/>
      <c r="J1175" s="703"/>
      <c r="K1175" s="703"/>
      <c r="L1175" s="704"/>
      <c r="M1175" s="703">
        <f>1710-180</f>
        <v>1530</v>
      </c>
      <c r="N1175" s="698">
        <v>1527</v>
      </c>
      <c r="O1175" s="744">
        <f t="shared" si="137"/>
        <v>99.80392156862746</v>
      </c>
      <c r="P1175" s="698"/>
      <c r="Q1175" s="698"/>
      <c r="R1175" s="770"/>
      <c r="S1175" s="682"/>
      <c r="T1175" s="682"/>
    </row>
    <row r="1176" spans="1:20" ht="24">
      <c r="A1176" s="764">
        <v>4170</v>
      </c>
      <c r="B1176" s="768" t="s">
        <v>242</v>
      </c>
      <c r="C1176" s="720">
        <v>10600</v>
      </c>
      <c r="D1176" s="698">
        <f t="shared" si="142"/>
        <v>10600</v>
      </c>
      <c r="E1176" s="698">
        <f t="shared" si="140"/>
        <v>10600</v>
      </c>
      <c r="F1176" s="967">
        <f t="shared" si="139"/>
        <v>100</v>
      </c>
      <c r="G1176" s="720"/>
      <c r="H1176" s="698"/>
      <c r="I1176" s="770"/>
      <c r="J1176" s="703"/>
      <c r="K1176" s="703"/>
      <c r="L1176" s="704"/>
      <c r="M1176" s="703">
        <v>10600</v>
      </c>
      <c r="N1176" s="698">
        <v>10600</v>
      </c>
      <c r="O1176" s="744">
        <f t="shared" si="137"/>
        <v>100</v>
      </c>
      <c r="P1176" s="698"/>
      <c r="Q1176" s="698"/>
      <c r="R1176" s="770"/>
      <c r="S1176" s="682"/>
      <c r="T1176" s="682"/>
    </row>
    <row r="1177" spans="1:18" ht="24">
      <c r="A1177" s="764">
        <v>4210</v>
      </c>
      <c r="B1177" s="768" t="s">
        <v>211</v>
      </c>
      <c r="C1177" s="720">
        <v>10700</v>
      </c>
      <c r="D1177" s="698">
        <f t="shared" si="142"/>
        <v>17170</v>
      </c>
      <c r="E1177" s="698">
        <f t="shared" si="140"/>
        <v>17163</v>
      </c>
      <c r="F1177" s="967">
        <f t="shared" si="139"/>
        <v>99.95923121723938</v>
      </c>
      <c r="G1177" s="720"/>
      <c r="H1177" s="698"/>
      <c r="I1177" s="770"/>
      <c r="J1177" s="703"/>
      <c r="K1177" s="703"/>
      <c r="L1177" s="704"/>
      <c r="M1177" s="703">
        <f>10700+4590+1880</f>
        <v>17170</v>
      </c>
      <c r="N1177" s="698">
        <v>17163</v>
      </c>
      <c r="O1177" s="744">
        <f t="shared" si="137"/>
        <v>99.95923121723938</v>
      </c>
      <c r="P1177" s="698"/>
      <c r="Q1177" s="698"/>
      <c r="R1177" s="770"/>
    </row>
    <row r="1178" spans="1:18" ht="27.75" customHeight="1">
      <c r="A1178" s="764">
        <v>4230</v>
      </c>
      <c r="B1178" s="768" t="s">
        <v>213</v>
      </c>
      <c r="C1178" s="720">
        <v>200</v>
      </c>
      <c r="D1178" s="698">
        <f t="shared" si="142"/>
        <v>200</v>
      </c>
      <c r="E1178" s="698">
        <f t="shared" si="140"/>
        <v>199</v>
      </c>
      <c r="F1178" s="967">
        <f t="shared" si="139"/>
        <v>99.5</v>
      </c>
      <c r="G1178" s="720"/>
      <c r="H1178" s="698"/>
      <c r="I1178" s="770"/>
      <c r="J1178" s="703"/>
      <c r="K1178" s="703"/>
      <c r="L1178" s="704"/>
      <c r="M1178" s="703">
        <v>200</v>
      </c>
      <c r="N1178" s="698">
        <v>199</v>
      </c>
      <c r="O1178" s="744">
        <f t="shared" si="137"/>
        <v>99.5</v>
      </c>
      <c r="P1178" s="698"/>
      <c r="Q1178" s="698"/>
      <c r="R1178" s="770"/>
    </row>
    <row r="1179" spans="1:18" ht="28.5" customHeight="1">
      <c r="A1179" s="764">
        <v>4240</v>
      </c>
      <c r="B1179" s="768" t="s">
        <v>572</v>
      </c>
      <c r="C1179" s="720">
        <v>4000</v>
      </c>
      <c r="D1179" s="698">
        <f t="shared" si="142"/>
        <v>2700</v>
      </c>
      <c r="E1179" s="698">
        <f>SUM(H1179+K1179+N1179+Q1179)</f>
        <v>2698</v>
      </c>
      <c r="F1179" s="967">
        <f>E1179/D1179*100</f>
        <v>99.92592592592592</v>
      </c>
      <c r="G1179" s="720"/>
      <c r="H1179" s="698"/>
      <c r="I1179" s="770"/>
      <c r="J1179" s="703"/>
      <c r="K1179" s="703"/>
      <c r="L1179" s="704"/>
      <c r="M1179" s="703">
        <f>4000-1300</f>
        <v>2700</v>
      </c>
      <c r="N1179" s="698">
        <v>2698</v>
      </c>
      <c r="O1179" s="744">
        <f t="shared" si="137"/>
        <v>99.92592592592592</v>
      </c>
      <c r="P1179" s="698"/>
      <c r="Q1179" s="698"/>
      <c r="R1179" s="770"/>
    </row>
    <row r="1180" spans="1:18" ht="12.75">
      <c r="A1180" s="764">
        <v>4260</v>
      </c>
      <c r="B1180" s="768" t="s">
        <v>215</v>
      </c>
      <c r="C1180" s="720">
        <v>4800</v>
      </c>
      <c r="D1180" s="698">
        <f t="shared" si="142"/>
        <v>4970</v>
      </c>
      <c r="E1180" s="698">
        <f t="shared" si="140"/>
        <v>4966</v>
      </c>
      <c r="F1180" s="967">
        <f t="shared" si="139"/>
        <v>99.9195171026157</v>
      </c>
      <c r="G1180" s="720"/>
      <c r="H1180" s="698"/>
      <c r="I1180" s="770"/>
      <c r="J1180" s="703"/>
      <c r="K1180" s="703"/>
      <c r="L1180" s="704"/>
      <c r="M1180" s="703">
        <f>4800+300-130</f>
        <v>4970</v>
      </c>
      <c r="N1180" s="698">
        <v>4966</v>
      </c>
      <c r="O1180" s="744">
        <f t="shared" si="137"/>
        <v>99.9195171026157</v>
      </c>
      <c r="P1180" s="698"/>
      <c r="Q1180" s="698"/>
      <c r="R1180" s="770"/>
    </row>
    <row r="1181" spans="1:18" ht="11.25" customHeight="1">
      <c r="A1181" s="764">
        <v>4270</v>
      </c>
      <c r="B1181" s="768" t="s">
        <v>217</v>
      </c>
      <c r="C1181" s="720">
        <v>800</v>
      </c>
      <c r="D1181" s="698">
        <f t="shared" si="142"/>
        <v>4660</v>
      </c>
      <c r="E1181" s="698">
        <f t="shared" si="140"/>
        <v>4653</v>
      </c>
      <c r="F1181" s="967">
        <f t="shared" si="139"/>
        <v>99.84978540772532</v>
      </c>
      <c r="G1181" s="720"/>
      <c r="H1181" s="698"/>
      <c r="I1181" s="770"/>
      <c r="J1181" s="703"/>
      <c r="K1181" s="703"/>
      <c r="L1181" s="704"/>
      <c r="M1181" s="703">
        <f>800+5500-1640</f>
        <v>4660</v>
      </c>
      <c r="N1181" s="698">
        <v>4653</v>
      </c>
      <c r="O1181" s="744">
        <f t="shared" si="137"/>
        <v>99.84978540772532</v>
      </c>
      <c r="P1181" s="698"/>
      <c r="Q1181" s="698"/>
      <c r="R1181" s="770"/>
    </row>
    <row r="1182" spans="1:18" ht="12" customHeight="1">
      <c r="A1182" s="764">
        <v>4280</v>
      </c>
      <c r="B1182" s="768" t="s">
        <v>807</v>
      </c>
      <c r="C1182" s="720">
        <v>1200</v>
      </c>
      <c r="D1182" s="698">
        <f t="shared" si="142"/>
        <v>0</v>
      </c>
      <c r="E1182" s="698">
        <f t="shared" si="140"/>
        <v>0</v>
      </c>
      <c r="F1182" s="967"/>
      <c r="G1182" s="720"/>
      <c r="H1182" s="698"/>
      <c r="I1182" s="770"/>
      <c r="J1182" s="703"/>
      <c r="K1182" s="703"/>
      <c r="L1182" s="704"/>
      <c r="M1182" s="703">
        <f>1200-1200</f>
        <v>0</v>
      </c>
      <c r="N1182" s="698"/>
      <c r="O1182" s="744"/>
      <c r="P1182" s="698"/>
      <c r="Q1182" s="698"/>
      <c r="R1182" s="770"/>
    </row>
    <row r="1183" spans="1:18" ht="12" customHeight="1">
      <c r="A1183" s="764">
        <v>4300</v>
      </c>
      <c r="B1183" s="768" t="s">
        <v>219</v>
      </c>
      <c r="C1183" s="720">
        <v>86800</v>
      </c>
      <c r="D1183" s="698">
        <f t="shared" si="142"/>
        <v>79650</v>
      </c>
      <c r="E1183" s="698">
        <f t="shared" si="140"/>
        <v>79646</v>
      </c>
      <c r="F1183" s="967">
        <f t="shared" si="139"/>
        <v>99.99497802887633</v>
      </c>
      <c r="G1183" s="720"/>
      <c r="H1183" s="698"/>
      <c r="I1183" s="770"/>
      <c r="J1183" s="703"/>
      <c r="K1183" s="703"/>
      <c r="L1183" s="704"/>
      <c r="M1183" s="703">
        <f>86800-7100-50</f>
        <v>79650</v>
      </c>
      <c r="N1183" s="698">
        <v>79646</v>
      </c>
      <c r="O1183" s="744">
        <f t="shared" si="137"/>
        <v>99.99497802887633</v>
      </c>
      <c r="P1183" s="698"/>
      <c r="Q1183" s="698"/>
      <c r="R1183" s="770"/>
    </row>
    <row r="1184" spans="1:18" ht="12" customHeight="1">
      <c r="A1184" s="764">
        <v>4350</v>
      </c>
      <c r="B1184" s="768" t="s">
        <v>544</v>
      </c>
      <c r="C1184" s="720">
        <v>900</v>
      </c>
      <c r="D1184" s="698">
        <f t="shared" si="142"/>
        <v>740</v>
      </c>
      <c r="E1184" s="698">
        <f t="shared" si="140"/>
        <v>735</v>
      </c>
      <c r="F1184" s="967">
        <f t="shared" si="139"/>
        <v>99.32432432432432</v>
      </c>
      <c r="G1184" s="720"/>
      <c r="H1184" s="698"/>
      <c r="I1184" s="770"/>
      <c r="J1184" s="703"/>
      <c r="K1184" s="703"/>
      <c r="L1184" s="704"/>
      <c r="M1184" s="703">
        <f>900-160</f>
        <v>740</v>
      </c>
      <c r="N1184" s="698">
        <v>735</v>
      </c>
      <c r="O1184" s="744">
        <f t="shared" si="137"/>
        <v>99.32432432432432</v>
      </c>
      <c r="P1184" s="698"/>
      <c r="Q1184" s="698"/>
      <c r="R1184" s="770"/>
    </row>
    <row r="1185" spans="1:18" ht="37.5" customHeight="1">
      <c r="A1185" s="764">
        <v>4370</v>
      </c>
      <c r="B1185" s="768" t="s">
        <v>635</v>
      </c>
      <c r="C1185" s="720">
        <v>1000</v>
      </c>
      <c r="D1185" s="698">
        <f t="shared" si="142"/>
        <v>960</v>
      </c>
      <c r="E1185" s="698">
        <f t="shared" si="140"/>
        <v>960</v>
      </c>
      <c r="F1185" s="967">
        <f t="shared" si="139"/>
        <v>100</v>
      </c>
      <c r="G1185" s="720"/>
      <c r="H1185" s="698"/>
      <c r="I1185" s="770"/>
      <c r="J1185" s="703"/>
      <c r="K1185" s="703"/>
      <c r="L1185" s="704"/>
      <c r="M1185" s="703">
        <f>1000-40</f>
        <v>960</v>
      </c>
      <c r="N1185" s="698">
        <v>960</v>
      </c>
      <c r="O1185" s="744">
        <f t="shared" si="137"/>
        <v>100</v>
      </c>
      <c r="P1185" s="698"/>
      <c r="Q1185" s="698"/>
      <c r="R1185" s="770"/>
    </row>
    <row r="1186" spans="1:18" ht="12" customHeight="1">
      <c r="A1186" s="764">
        <v>4410</v>
      </c>
      <c r="B1186" s="768" t="s">
        <v>193</v>
      </c>
      <c r="C1186" s="720">
        <v>3000</v>
      </c>
      <c r="D1186" s="698">
        <f t="shared" si="142"/>
        <v>2720</v>
      </c>
      <c r="E1186" s="698">
        <f t="shared" si="140"/>
        <v>2713</v>
      </c>
      <c r="F1186" s="967">
        <f t="shared" si="139"/>
        <v>99.74264705882354</v>
      </c>
      <c r="G1186" s="720"/>
      <c r="H1186" s="698"/>
      <c r="I1186" s="770"/>
      <c r="J1186" s="703"/>
      <c r="K1186" s="703"/>
      <c r="L1186" s="704"/>
      <c r="M1186" s="703">
        <f>3000-300+20</f>
        <v>2720</v>
      </c>
      <c r="N1186" s="698">
        <v>2713</v>
      </c>
      <c r="O1186" s="744">
        <f t="shared" si="137"/>
        <v>99.74264705882354</v>
      </c>
      <c r="P1186" s="698"/>
      <c r="Q1186" s="698"/>
      <c r="R1186" s="770"/>
    </row>
    <row r="1187" spans="1:18" ht="12" customHeight="1" hidden="1">
      <c r="A1187" s="764">
        <v>4440</v>
      </c>
      <c r="B1187" s="768" t="s">
        <v>223</v>
      </c>
      <c r="C1187" s="720"/>
      <c r="D1187" s="698">
        <f t="shared" si="142"/>
        <v>0</v>
      </c>
      <c r="E1187" s="698">
        <f t="shared" si="140"/>
        <v>0</v>
      </c>
      <c r="F1187" s="967" t="e">
        <f t="shared" si="139"/>
        <v>#DIV/0!</v>
      </c>
      <c r="G1187" s="720"/>
      <c r="H1187" s="698"/>
      <c r="I1187" s="770"/>
      <c r="J1187" s="703"/>
      <c r="K1187" s="703"/>
      <c r="L1187" s="704"/>
      <c r="M1187" s="703"/>
      <c r="N1187" s="698"/>
      <c r="O1187" s="744" t="e">
        <f t="shared" si="137"/>
        <v>#DIV/0!</v>
      </c>
      <c r="P1187" s="698"/>
      <c r="Q1187" s="698"/>
      <c r="R1187" s="770"/>
    </row>
    <row r="1188" spans="1:18" ht="42" customHeight="1">
      <c r="A1188" s="764">
        <v>4700</v>
      </c>
      <c r="B1188" s="768" t="s">
        <v>550</v>
      </c>
      <c r="C1188" s="720">
        <v>500</v>
      </c>
      <c r="D1188" s="698">
        <f>G1188+J1188+P1188+M1188</f>
        <v>550</v>
      </c>
      <c r="E1188" s="698">
        <f>SUM(H1188+K1188+N1188+Q1188)</f>
        <v>550</v>
      </c>
      <c r="F1188" s="967">
        <f>E1188/D1188*100</f>
        <v>100</v>
      </c>
      <c r="G1188" s="720"/>
      <c r="H1188" s="698"/>
      <c r="I1188" s="770"/>
      <c r="J1188" s="703"/>
      <c r="K1188" s="703"/>
      <c r="L1188" s="704"/>
      <c r="M1188" s="703">
        <f>500+100-50</f>
        <v>550</v>
      </c>
      <c r="N1188" s="698">
        <v>550</v>
      </c>
      <c r="O1188" s="744">
        <f t="shared" si="137"/>
        <v>100</v>
      </c>
      <c r="P1188" s="698"/>
      <c r="Q1188" s="698"/>
      <c r="R1188" s="770"/>
    </row>
    <row r="1189" spans="1:18" ht="49.5" customHeight="1">
      <c r="A1189" s="764">
        <v>4740</v>
      </c>
      <c r="B1189" s="768" t="s">
        <v>235</v>
      </c>
      <c r="C1189" s="720">
        <v>200</v>
      </c>
      <c r="D1189" s="698">
        <f t="shared" si="142"/>
        <v>200</v>
      </c>
      <c r="E1189" s="698">
        <f t="shared" si="140"/>
        <v>192</v>
      </c>
      <c r="F1189" s="967">
        <f t="shared" si="139"/>
        <v>96</v>
      </c>
      <c r="G1189" s="720"/>
      <c r="H1189" s="698"/>
      <c r="I1189" s="770"/>
      <c r="J1189" s="703"/>
      <c r="K1189" s="703"/>
      <c r="L1189" s="704"/>
      <c r="M1189" s="703">
        <v>200</v>
      </c>
      <c r="N1189" s="698">
        <v>192</v>
      </c>
      <c r="O1189" s="744">
        <f t="shared" si="137"/>
        <v>96</v>
      </c>
      <c r="P1189" s="698"/>
      <c r="Q1189" s="698"/>
      <c r="R1189" s="770"/>
    </row>
    <row r="1190" spans="1:18" ht="36">
      <c r="A1190" s="789">
        <v>4750</v>
      </c>
      <c r="B1190" s="804" t="s">
        <v>551</v>
      </c>
      <c r="C1190" s="791">
        <v>400</v>
      </c>
      <c r="D1190" s="792">
        <f t="shared" si="142"/>
        <v>910</v>
      </c>
      <c r="E1190" s="792">
        <f t="shared" si="140"/>
        <v>907</v>
      </c>
      <c r="F1190" s="761">
        <f t="shared" si="139"/>
        <v>99.67032967032966</v>
      </c>
      <c r="G1190" s="791"/>
      <c r="H1190" s="792"/>
      <c r="I1190" s="797"/>
      <c r="J1190" s="793"/>
      <c r="K1190" s="793"/>
      <c r="L1190" s="794"/>
      <c r="M1190" s="793">
        <f>400+500+10</f>
        <v>910</v>
      </c>
      <c r="N1190" s="792">
        <v>907</v>
      </c>
      <c r="O1190" s="761">
        <f t="shared" si="137"/>
        <v>99.67032967032966</v>
      </c>
      <c r="P1190" s="792"/>
      <c r="Q1190" s="792"/>
      <c r="R1190" s="797"/>
    </row>
    <row r="1191" spans="1:20" s="756" customFormat="1" ht="12" customHeight="1">
      <c r="A1191" s="835">
        <v>85202</v>
      </c>
      <c r="B1191" s="1002" t="s">
        <v>809</v>
      </c>
      <c r="C1191" s="837">
        <f>SUM(C1192:C1193)</f>
        <v>1060800</v>
      </c>
      <c r="D1191" s="759">
        <f aca="true" t="shared" si="143" ref="D1191:E1193">G1191+J1191+M1191+P1191</f>
        <v>1368800</v>
      </c>
      <c r="E1191" s="759">
        <f t="shared" si="143"/>
        <v>1360633</v>
      </c>
      <c r="F1191" s="982">
        <f t="shared" si="139"/>
        <v>99.40334599649327</v>
      </c>
      <c r="G1191" s="837">
        <f>SUM(G1192:G1193)</f>
        <v>1368800</v>
      </c>
      <c r="H1191" s="759">
        <f>SUM(H1192:H1193)</f>
        <v>1360633</v>
      </c>
      <c r="I1191" s="897">
        <f>H1191/G1191*100</f>
        <v>99.40334599649327</v>
      </c>
      <c r="J1191" s="839"/>
      <c r="K1191" s="839"/>
      <c r="L1191" s="865"/>
      <c r="M1191" s="839"/>
      <c r="N1191" s="759"/>
      <c r="O1191" s="841"/>
      <c r="P1191" s="759"/>
      <c r="Q1191" s="759"/>
      <c r="R1191" s="843"/>
      <c r="S1191" s="682"/>
      <c r="T1191" s="682"/>
    </row>
    <row r="1192" spans="1:18" ht="12" customHeight="1" hidden="1">
      <c r="A1192" s="764">
        <v>4300</v>
      </c>
      <c r="B1192" s="934" t="s">
        <v>236</v>
      </c>
      <c r="C1192" s="720"/>
      <c r="D1192" s="698">
        <f t="shared" si="143"/>
        <v>0</v>
      </c>
      <c r="E1192" s="698">
        <f t="shared" si="143"/>
        <v>0</v>
      </c>
      <c r="F1192" s="967"/>
      <c r="G1192" s="720"/>
      <c r="H1192" s="698"/>
      <c r="I1192" s="831"/>
      <c r="J1192" s="703"/>
      <c r="K1192" s="703"/>
      <c r="L1192" s="704"/>
      <c r="M1192" s="703"/>
      <c r="N1192" s="698"/>
      <c r="O1192" s="702"/>
      <c r="P1192" s="698"/>
      <c r="Q1192" s="698"/>
      <c r="R1192" s="770"/>
    </row>
    <row r="1193" spans="1:18" ht="24">
      <c r="A1193" s="789">
        <v>4330</v>
      </c>
      <c r="B1193" s="981" t="s">
        <v>810</v>
      </c>
      <c r="C1193" s="791">
        <v>1060800</v>
      </c>
      <c r="D1193" s="698">
        <f t="shared" si="143"/>
        <v>1368800</v>
      </c>
      <c r="E1193" s="698">
        <f t="shared" si="143"/>
        <v>1360633</v>
      </c>
      <c r="F1193" s="967">
        <f t="shared" si="139"/>
        <v>99.40334599649327</v>
      </c>
      <c r="G1193" s="791">
        <f>1060800+288000+20000</f>
        <v>1368800</v>
      </c>
      <c r="H1193" s="792">
        <v>1360633</v>
      </c>
      <c r="I1193" s="897">
        <f aca="true" t="shared" si="144" ref="I1193:I1199">H1193/G1193*100</f>
        <v>99.40334599649327</v>
      </c>
      <c r="J1193" s="793"/>
      <c r="K1193" s="793"/>
      <c r="L1193" s="794"/>
      <c r="M1193" s="793"/>
      <c r="N1193" s="792"/>
      <c r="O1193" s="796"/>
      <c r="P1193" s="792"/>
      <c r="Q1193" s="792"/>
      <c r="R1193" s="797"/>
    </row>
    <row r="1194" spans="1:18" ht="12.75">
      <c r="A1194" s="757">
        <v>85203</v>
      </c>
      <c r="B1194" s="959" t="s">
        <v>811</v>
      </c>
      <c r="C1194" s="725">
        <f>C1201+C1221+C1247+C1224+C1268</f>
        <v>1212993</v>
      </c>
      <c r="D1194" s="712">
        <f>G1194+J1194+P1194+M1194</f>
        <v>1248639</v>
      </c>
      <c r="E1194" s="712">
        <f>H1194+K1194+Q1194+N1194</f>
        <v>1237864</v>
      </c>
      <c r="F1194" s="960">
        <f t="shared" si="139"/>
        <v>99.1370604313977</v>
      </c>
      <c r="G1194" s="725">
        <f>G1201+G1221+G1247+G1200</f>
        <v>515639</v>
      </c>
      <c r="H1194" s="712">
        <f>H1201+H1221+H1247+H1200</f>
        <v>509974</v>
      </c>
      <c r="I1194" s="854">
        <f t="shared" si="144"/>
        <v>98.90136316298805</v>
      </c>
      <c r="J1194" s="717">
        <f>J1201+J1247+J1224+J1268</f>
        <v>733000</v>
      </c>
      <c r="K1194" s="717">
        <f>K1201+K1247+K1224+K1268</f>
        <v>727890</v>
      </c>
      <c r="L1194" s="719">
        <f aca="true" t="shared" si="145" ref="L1194:L1199">K1194/J1194*100</f>
        <v>99.30286493860847</v>
      </c>
      <c r="M1194" s="712"/>
      <c r="N1194" s="712"/>
      <c r="O1194" s="719"/>
      <c r="P1194" s="712"/>
      <c r="Q1194" s="712"/>
      <c r="R1194" s="846"/>
    </row>
    <row r="1195" spans="1:18" ht="24" hidden="1">
      <c r="A1195" s="764">
        <v>4210</v>
      </c>
      <c r="B1195" s="934" t="s">
        <v>211</v>
      </c>
      <c r="C1195" s="720"/>
      <c r="D1195" s="698">
        <f>G1195+J1195+P1195+M1195</f>
        <v>0</v>
      </c>
      <c r="E1195" s="698">
        <f aca="true" t="shared" si="146" ref="D1195:E1211">H1195+K1195+Q1195+N1195</f>
        <v>0</v>
      </c>
      <c r="F1195" s="967" t="e">
        <f t="shared" si="139"/>
        <v>#DIV/0!</v>
      </c>
      <c r="G1195" s="720"/>
      <c r="H1195" s="698"/>
      <c r="I1195" s="746" t="e">
        <f t="shared" si="144"/>
        <v>#DIV/0!</v>
      </c>
      <c r="J1195" s="703"/>
      <c r="K1195" s="703"/>
      <c r="L1195" s="702" t="e">
        <f t="shared" si="145"/>
        <v>#DIV/0!</v>
      </c>
      <c r="M1195" s="698"/>
      <c r="N1195" s="698"/>
      <c r="O1195" s="702"/>
      <c r="P1195" s="698"/>
      <c r="Q1195" s="698"/>
      <c r="R1195" s="770"/>
    </row>
    <row r="1196" spans="1:18" ht="24" hidden="1">
      <c r="A1196" s="764">
        <v>4270</v>
      </c>
      <c r="B1196" s="934" t="s">
        <v>622</v>
      </c>
      <c r="C1196" s="720"/>
      <c r="D1196" s="698">
        <f t="shared" si="146"/>
        <v>0</v>
      </c>
      <c r="E1196" s="698">
        <f t="shared" si="146"/>
        <v>0</v>
      </c>
      <c r="F1196" s="967" t="e">
        <f t="shared" si="139"/>
        <v>#DIV/0!</v>
      </c>
      <c r="G1196" s="720"/>
      <c r="H1196" s="698"/>
      <c r="I1196" s="746" t="e">
        <f t="shared" si="144"/>
        <v>#DIV/0!</v>
      </c>
      <c r="J1196" s="703"/>
      <c r="K1196" s="703"/>
      <c r="L1196" s="702" t="e">
        <f t="shared" si="145"/>
        <v>#DIV/0!</v>
      </c>
      <c r="M1196" s="698"/>
      <c r="N1196" s="698"/>
      <c r="O1196" s="702"/>
      <c r="P1196" s="698"/>
      <c r="Q1196" s="698"/>
      <c r="R1196" s="770"/>
    </row>
    <row r="1197" spans="1:18" ht="24" hidden="1">
      <c r="A1197" s="764">
        <v>4300</v>
      </c>
      <c r="B1197" s="934" t="s">
        <v>219</v>
      </c>
      <c r="C1197" s="720"/>
      <c r="D1197" s="698">
        <f t="shared" si="146"/>
        <v>0</v>
      </c>
      <c r="E1197" s="698">
        <f t="shared" si="146"/>
        <v>0</v>
      </c>
      <c r="F1197" s="967" t="e">
        <f t="shared" si="139"/>
        <v>#DIV/0!</v>
      </c>
      <c r="G1197" s="720"/>
      <c r="H1197" s="698"/>
      <c r="I1197" s="746" t="e">
        <f t="shared" si="144"/>
        <v>#DIV/0!</v>
      </c>
      <c r="J1197" s="703"/>
      <c r="K1197" s="703"/>
      <c r="L1197" s="702" t="e">
        <f t="shared" si="145"/>
        <v>#DIV/0!</v>
      </c>
      <c r="M1197" s="698"/>
      <c r="N1197" s="698"/>
      <c r="O1197" s="702"/>
      <c r="P1197" s="698"/>
      <c r="Q1197" s="698"/>
      <c r="R1197" s="770"/>
    </row>
    <row r="1198" spans="1:18" ht="36" hidden="1">
      <c r="A1198" s="764">
        <v>6050</v>
      </c>
      <c r="B1198" s="934" t="s">
        <v>246</v>
      </c>
      <c r="C1198" s="720"/>
      <c r="D1198" s="698">
        <f>G1198+J1198+P1198+M1198</f>
        <v>0</v>
      </c>
      <c r="E1198" s="698">
        <f t="shared" si="146"/>
        <v>0</v>
      </c>
      <c r="F1198" s="967" t="e">
        <f t="shared" si="139"/>
        <v>#DIV/0!</v>
      </c>
      <c r="G1198" s="720"/>
      <c r="H1198" s="698"/>
      <c r="I1198" s="746" t="e">
        <f t="shared" si="144"/>
        <v>#DIV/0!</v>
      </c>
      <c r="J1198" s="703"/>
      <c r="K1198" s="703"/>
      <c r="L1198" s="702" t="e">
        <f t="shared" si="145"/>
        <v>#DIV/0!</v>
      </c>
      <c r="M1198" s="698"/>
      <c r="N1198" s="698"/>
      <c r="O1198" s="702"/>
      <c r="P1198" s="698"/>
      <c r="Q1198" s="698"/>
      <c r="R1198" s="770"/>
    </row>
    <row r="1199" spans="1:18" ht="48" hidden="1">
      <c r="A1199" s="764">
        <v>6060</v>
      </c>
      <c r="B1199" s="934" t="s">
        <v>812</v>
      </c>
      <c r="C1199" s="720"/>
      <c r="D1199" s="698">
        <f t="shared" si="146"/>
        <v>0</v>
      </c>
      <c r="E1199" s="698">
        <f t="shared" si="146"/>
        <v>0</v>
      </c>
      <c r="F1199" s="967" t="e">
        <f>E1199/D1199*100</f>
        <v>#DIV/0!</v>
      </c>
      <c r="G1199" s="720"/>
      <c r="H1199" s="698"/>
      <c r="I1199" s="746" t="e">
        <f t="shared" si="144"/>
        <v>#DIV/0!</v>
      </c>
      <c r="J1199" s="703">
        <f>10000-10000</f>
        <v>0</v>
      </c>
      <c r="K1199" s="703"/>
      <c r="L1199" s="702" t="e">
        <f t="shared" si="145"/>
        <v>#DIV/0!</v>
      </c>
      <c r="M1199" s="698"/>
      <c r="N1199" s="698"/>
      <c r="O1199" s="702"/>
      <c r="P1199" s="698"/>
      <c r="Q1199" s="698"/>
      <c r="R1199" s="770"/>
    </row>
    <row r="1200" spans="1:18" ht="12.75" hidden="1">
      <c r="A1200" s="764">
        <v>4360</v>
      </c>
      <c r="B1200" s="934"/>
      <c r="C1200" s="720"/>
      <c r="D1200" s="698"/>
      <c r="E1200" s="698">
        <f t="shared" si="146"/>
        <v>0</v>
      </c>
      <c r="F1200" s="967"/>
      <c r="G1200" s="720"/>
      <c r="H1200" s="698"/>
      <c r="I1200" s="746"/>
      <c r="J1200" s="703"/>
      <c r="K1200" s="703"/>
      <c r="L1200" s="702"/>
      <c r="M1200" s="698"/>
      <c r="N1200" s="698"/>
      <c r="O1200" s="702"/>
      <c r="P1200" s="698"/>
      <c r="Q1200" s="698"/>
      <c r="R1200" s="770"/>
    </row>
    <row r="1201" spans="1:18" ht="12.75">
      <c r="A1201" s="835"/>
      <c r="B1201" s="1002" t="s">
        <v>813</v>
      </c>
      <c r="C1201" s="837">
        <f>SUM(C1202:C1220)</f>
        <v>223793</v>
      </c>
      <c r="D1201" s="759">
        <f t="shared" si="146"/>
        <v>227439</v>
      </c>
      <c r="E1201" s="759">
        <f t="shared" si="146"/>
        <v>221774</v>
      </c>
      <c r="F1201" s="982">
        <f aca="true" t="shared" si="147" ref="F1201:F1228">E1201/D1201*100</f>
        <v>97.5092222529997</v>
      </c>
      <c r="G1201" s="837">
        <f>SUM(G1202:G1220)</f>
        <v>227439</v>
      </c>
      <c r="H1201" s="759">
        <f>SUM(H1202:H1220)</f>
        <v>221774</v>
      </c>
      <c r="I1201" s="826">
        <f>H1201/G1201*100</f>
        <v>97.5092222529997</v>
      </c>
      <c r="J1201" s="839"/>
      <c r="K1201" s="839"/>
      <c r="L1201" s="796"/>
      <c r="M1201" s="759"/>
      <c r="N1201" s="759"/>
      <c r="O1201" s="796"/>
      <c r="P1201" s="759"/>
      <c r="Q1201" s="759"/>
      <c r="R1201" s="797"/>
    </row>
    <row r="1202" spans="1:18" ht="36">
      <c r="A1202" s="764">
        <v>3020</v>
      </c>
      <c r="B1202" s="934" t="s">
        <v>279</v>
      </c>
      <c r="C1202" s="720">
        <v>400</v>
      </c>
      <c r="D1202" s="698">
        <f t="shared" si="146"/>
        <v>400</v>
      </c>
      <c r="E1202" s="698">
        <f>SUM(H1202+K1202+N1202+Q1202)</f>
        <v>0</v>
      </c>
      <c r="F1202" s="967">
        <f t="shared" si="147"/>
        <v>0</v>
      </c>
      <c r="G1202" s="720">
        <v>400</v>
      </c>
      <c r="H1202" s="698"/>
      <c r="I1202" s="746">
        <f aca="true" t="shared" si="148" ref="I1202:I1223">H1202/G1202*100</f>
        <v>0</v>
      </c>
      <c r="J1202" s="703"/>
      <c r="K1202" s="698"/>
      <c r="L1202" s="702"/>
      <c r="M1202" s="698"/>
      <c r="N1202" s="698"/>
      <c r="O1202" s="702"/>
      <c r="P1202" s="698"/>
      <c r="Q1202" s="698"/>
      <c r="R1202" s="770"/>
    </row>
    <row r="1203" spans="1:20" ht="25.5" customHeight="1">
      <c r="A1203" s="764">
        <v>4010</v>
      </c>
      <c r="B1203" s="934" t="s">
        <v>201</v>
      </c>
      <c r="C1203" s="720">
        <v>109405</v>
      </c>
      <c r="D1203" s="698">
        <f t="shared" si="146"/>
        <v>109405</v>
      </c>
      <c r="E1203" s="698">
        <f>SUM(H1203+K1203+N1203+Q1203)</f>
        <v>109156</v>
      </c>
      <c r="F1203" s="967">
        <f>E1203/D1203*100</f>
        <v>99.77240528312234</v>
      </c>
      <c r="G1203" s="720">
        <v>109405</v>
      </c>
      <c r="H1203" s="698">
        <v>109156</v>
      </c>
      <c r="I1203" s="746">
        <f t="shared" si="148"/>
        <v>99.77240528312234</v>
      </c>
      <c r="J1203" s="703"/>
      <c r="K1203" s="698"/>
      <c r="L1203" s="702"/>
      <c r="M1203" s="698"/>
      <c r="N1203" s="698"/>
      <c r="O1203" s="702"/>
      <c r="P1203" s="698"/>
      <c r="Q1203" s="698"/>
      <c r="R1203" s="770"/>
      <c r="S1203" s="682"/>
      <c r="T1203" s="682"/>
    </row>
    <row r="1204" spans="1:20" ht="24">
      <c r="A1204" s="764">
        <v>4040</v>
      </c>
      <c r="B1204" s="934" t="s">
        <v>280</v>
      </c>
      <c r="C1204" s="720">
        <v>8782</v>
      </c>
      <c r="D1204" s="698">
        <f t="shared" si="146"/>
        <v>8496</v>
      </c>
      <c r="E1204" s="698">
        <f>SUM(H1204+K1204+N1204+Q1204)</f>
        <v>8496</v>
      </c>
      <c r="F1204" s="967">
        <f t="shared" si="147"/>
        <v>100</v>
      </c>
      <c r="G1204" s="720">
        <f>8782-286</f>
        <v>8496</v>
      </c>
      <c r="H1204" s="698">
        <v>8496</v>
      </c>
      <c r="I1204" s="699">
        <f t="shared" si="148"/>
        <v>100</v>
      </c>
      <c r="J1204" s="703"/>
      <c r="K1204" s="698"/>
      <c r="L1204" s="702"/>
      <c r="M1204" s="698"/>
      <c r="N1204" s="698"/>
      <c r="O1204" s="702"/>
      <c r="P1204" s="698"/>
      <c r="Q1204" s="698"/>
      <c r="R1204" s="770"/>
      <c r="S1204" s="682"/>
      <c r="T1204" s="682"/>
    </row>
    <row r="1205" spans="1:20" ht="24" customHeight="1">
      <c r="A1205" s="764">
        <v>4110</v>
      </c>
      <c r="B1205" s="934" t="s">
        <v>207</v>
      </c>
      <c r="C1205" s="720">
        <v>17959</v>
      </c>
      <c r="D1205" s="698">
        <f t="shared" si="146"/>
        <v>18809</v>
      </c>
      <c r="E1205" s="698">
        <f aca="true" t="shared" si="149" ref="E1205:E1220">SUM(H1205+K1205+N1205+Q1205)</f>
        <v>18773</v>
      </c>
      <c r="F1205" s="967">
        <f t="shared" si="147"/>
        <v>99.8086022648732</v>
      </c>
      <c r="G1205" s="720">
        <f>17959+100+750</f>
        <v>18809</v>
      </c>
      <c r="H1205" s="698">
        <v>18773</v>
      </c>
      <c r="I1205" s="746">
        <f t="shared" si="148"/>
        <v>99.8086022648732</v>
      </c>
      <c r="J1205" s="703"/>
      <c r="K1205" s="698"/>
      <c r="L1205" s="702"/>
      <c r="M1205" s="698"/>
      <c r="N1205" s="698"/>
      <c r="O1205" s="702"/>
      <c r="P1205" s="698"/>
      <c r="Q1205" s="698"/>
      <c r="R1205" s="770"/>
      <c r="S1205" s="682"/>
      <c r="T1205" s="682"/>
    </row>
    <row r="1206" spans="1:20" ht="11.25" customHeight="1">
      <c r="A1206" s="764">
        <v>4120</v>
      </c>
      <c r="B1206" s="934" t="s">
        <v>584</v>
      </c>
      <c r="C1206" s="720">
        <v>2747</v>
      </c>
      <c r="D1206" s="698">
        <f t="shared" si="146"/>
        <v>2847</v>
      </c>
      <c r="E1206" s="698">
        <f t="shared" si="149"/>
        <v>2816</v>
      </c>
      <c r="F1206" s="967">
        <f t="shared" si="147"/>
        <v>98.91113452757288</v>
      </c>
      <c r="G1206" s="720">
        <f>2747+100</f>
        <v>2847</v>
      </c>
      <c r="H1206" s="698">
        <f>2817-1</f>
        <v>2816</v>
      </c>
      <c r="I1206" s="746">
        <f t="shared" si="148"/>
        <v>98.91113452757288</v>
      </c>
      <c r="J1206" s="703"/>
      <c r="K1206" s="698"/>
      <c r="L1206" s="702"/>
      <c r="M1206" s="698"/>
      <c r="N1206" s="698"/>
      <c r="O1206" s="702"/>
      <c r="P1206" s="698"/>
      <c r="Q1206" s="698"/>
      <c r="R1206" s="770"/>
      <c r="S1206" s="682"/>
      <c r="T1206" s="682"/>
    </row>
    <row r="1207" spans="1:18" ht="24">
      <c r="A1207" s="764">
        <v>4210</v>
      </c>
      <c r="B1207" s="934" t="s">
        <v>211</v>
      </c>
      <c r="C1207" s="720">
        <v>4800</v>
      </c>
      <c r="D1207" s="698">
        <f t="shared" si="146"/>
        <v>6800</v>
      </c>
      <c r="E1207" s="698">
        <f t="shared" si="149"/>
        <v>6790</v>
      </c>
      <c r="F1207" s="967">
        <f t="shared" si="147"/>
        <v>99.8529411764706</v>
      </c>
      <c r="G1207" s="720">
        <f>4800+2000</f>
        <v>6800</v>
      </c>
      <c r="H1207" s="698">
        <v>6790</v>
      </c>
      <c r="I1207" s="746">
        <f t="shared" si="148"/>
        <v>99.8529411764706</v>
      </c>
      <c r="J1207" s="703"/>
      <c r="K1207" s="698"/>
      <c r="L1207" s="702"/>
      <c r="M1207" s="698"/>
      <c r="N1207" s="698"/>
      <c r="O1207" s="702"/>
      <c r="P1207" s="698"/>
      <c r="Q1207" s="698"/>
      <c r="R1207" s="770"/>
    </row>
    <row r="1208" spans="1:18" ht="25.5" customHeight="1">
      <c r="A1208" s="764">
        <v>4230</v>
      </c>
      <c r="B1208" s="934" t="s">
        <v>213</v>
      </c>
      <c r="C1208" s="720">
        <v>200</v>
      </c>
      <c r="D1208" s="698">
        <f t="shared" si="146"/>
        <v>200</v>
      </c>
      <c r="E1208" s="698">
        <f t="shared" si="149"/>
        <v>197</v>
      </c>
      <c r="F1208" s="967">
        <f t="shared" si="147"/>
        <v>98.5</v>
      </c>
      <c r="G1208" s="720">
        <v>200</v>
      </c>
      <c r="H1208" s="698">
        <v>197</v>
      </c>
      <c r="I1208" s="746">
        <f t="shared" si="148"/>
        <v>98.5</v>
      </c>
      <c r="J1208" s="703"/>
      <c r="K1208" s="698"/>
      <c r="L1208" s="702"/>
      <c r="M1208" s="698"/>
      <c r="N1208" s="698"/>
      <c r="O1208" s="702"/>
      <c r="P1208" s="698"/>
      <c r="Q1208" s="698"/>
      <c r="R1208" s="770"/>
    </row>
    <row r="1209" spans="1:18" ht="12.75">
      <c r="A1209" s="764">
        <v>4260</v>
      </c>
      <c r="B1209" s="934" t="s">
        <v>215</v>
      </c>
      <c r="C1209" s="720">
        <v>15800</v>
      </c>
      <c r="D1209" s="698">
        <f t="shared" si="146"/>
        <v>15800</v>
      </c>
      <c r="E1209" s="698">
        <f t="shared" si="149"/>
        <v>14654</v>
      </c>
      <c r="F1209" s="967">
        <f t="shared" si="147"/>
        <v>92.74683544303798</v>
      </c>
      <c r="G1209" s="720">
        <v>15800</v>
      </c>
      <c r="H1209" s="698">
        <v>14654</v>
      </c>
      <c r="I1209" s="746">
        <f t="shared" si="148"/>
        <v>92.74683544303798</v>
      </c>
      <c r="J1209" s="703"/>
      <c r="K1209" s="698"/>
      <c r="L1209" s="702"/>
      <c r="M1209" s="698"/>
      <c r="N1209" s="698"/>
      <c r="O1209" s="702"/>
      <c r="P1209" s="698"/>
      <c r="Q1209" s="698"/>
      <c r="R1209" s="770"/>
    </row>
    <row r="1210" spans="1:18" ht="15.75" customHeight="1">
      <c r="A1210" s="764">
        <v>4280</v>
      </c>
      <c r="B1210" s="934" t="s">
        <v>542</v>
      </c>
      <c r="C1210" s="720">
        <v>200</v>
      </c>
      <c r="D1210" s="698">
        <f t="shared" si="146"/>
        <v>250</v>
      </c>
      <c r="E1210" s="698">
        <f t="shared" si="149"/>
        <v>240</v>
      </c>
      <c r="F1210" s="967">
        <f t="shared" si="147"/>
        <v>96</v>
      </c>
      <c r="G1210" s="720">
        <f>200+50</f>
        <v>250</v>
      </c>
      <c r="H1210" s="698">
        <v>240</v>
      </c>
      <c r="I1210" s="699">
        <f t="shared" si="148"/>
        <v>96</v>
      </c>
      <c r="J1210" s="703"/>
      <c r="K1210" s="698"/>
      <c r="L1210" s="702"/>
      <c r="M1210" s="698"/>
      <c r="N1210" s="698"/>
      <c r="O1210" s="702"/>
      <c r="P1210" s="698"/>
      <c r="Q1210" s="698"/>
      <c r="R1210" s="770"/>
    </row>
    <row r="1211" spans="1:18" ht="12.75" customHeight="1">
      <c r="A1211" s="764">
        <v>4300</v>
      </c>
      <c r="B1211" s="934" t="s">
        <v>219</v>
      </c>
      <c r="C1211" s="720">
        <v>43400</v>
      </c>
      <c r="D1211" s="698">
        <f t="shared" si="146"/>
        <v>45300</v>
      </c>
      <c r="E1211" s="698">
        <f t="shared" si="149"/>
        <v>41914</v>
      </c>
      <c r="F1211" s="967">
        <f t="shared" si="147"/>
        <v>92.52538631346579</v>
      </c>
      <c r="G1211" s="720">
        <f>43400+3900-2000</f>
        <v>45300</v>
      </c>
      <c r="H1211" s="698">
        <v>41914</v>
      </c>
      <c r="I1211" s="746">
        <f t="shared" si="148"/>
        <v>92.52538631346579</v>
      </c>
      <c r="J1211" s="703"/>
      <c r="K1211" s="698"/>
      <c r="L1211" s="702"/>
      <c r="M1211" s="698"/>
      <c r="N1211" s="698"/>
      <c r="O1211" s="702"/>
      <c r="P1211" s="698"/>
      <c r="Q1211" s="698"/>
      <c r="R1211" s="770"/>
    </row>
    <row r="1212" spans="1:18" ht="24">
      <c r="A1212" s="764">
        <v>4350</v>
      </c>
      <c r="B1212" s="768" t="s">
        <v>544</v>
      </c>
      <c r="C1212" s="720">
        <v>1100</v>
      </c>
      <c r="D1212" s="698">
        <f aca="true" t="shared" si="150" ref="D1212:E1260">G1212+J1212+P1212+M1212</f>
        <v>1100</v>
      </c>
      <c r="E1212" s="698">
        <f>SUM(H1212+K1212+N1212+Q1212)</f>
        <v>1033</v>
      </c>
      <c r="F1212" s="967">
        <f>E1212/D1212*100</f>
        <v>93.9090909090909</v>
      </c>
      <c r="G1212" s="720">
        <v>1100</v>
      </c>
      <c r="H1212" s="698">
        <v>1033</v>
      </c>
      <c r="I1212" s="746">
        <f t="shared" si="148"/>
        <v>93.9090909090909</v>
      </c>
      <c r="J1212" s="703"/>
      <c r="K1212" s="698"/>
      <c r="L1212" s="702"/>
      <c r="M1212" s="698"/>
      <c r="N1212" s="698"/>
      <c r="O1212" s="702"/>
      <c r="P1212" s="698"/>
      <c r="Q1212" s="698"/>
      <c r="R1212" s="770"/>
    </row>
    <row r="1213" spans="1:18" ht="37.5" customHeight="1">
      <c r="A1213" s="764">
        <v>4370</v>
      </c>
      <c r="B1213" s="828" t="s">
        <v>635</v>
      </c>
      <c r="C1213" s="720">
        <v>1300</v>
      </c>
      <c r="D1213" s="698">
        <f t="shared" si="150"/>
        <v>1300</v>
      </c>
      <c r="E1213" s="698">
        <f>SUM(H1213+K1213+N1213+Q1213)</f>
        <v>987</v>
      </c>
      <c r="F1213" s="967">
        <f>E1213/D1213*100</f>
        <v>75.92307692307692</v>
      </c>
      <c r="G1213" s="720">
        <v>1300</v>
      </c>
      <c r="H1213" s="698">
        <v>987</v>
      </c>
      <c r="I1213" s="746">
        <f t="shared" si="148"/>
        <v>75.92307692307692</v>
      </c>
      <c r="J1213" s="703"/>
      <c r="K1213" s="698"/>
      <c r="L1213" s="702"/>
      <c r="M1213" s="698"/>
      <c r="N1213" s="698"/>
      <c r="O1213" s="702"/>
      <c r="P1213" s="698"/>
      <c r="Q1213" s="698"/>
      <c r="R1213" s="770"/>
    </row>
    <row r="1214" spans="1:18" ht="25.5" customHeight="1">
      <c r="A1214" s="764">
        <v>4400</v>
      </c>
      <c r="B1214" s="828" t="s">
        <v>547</v>
      </c>
      <c r="C1214" s="720">
        <v>11000</v>
      </c>
      <c r="D1214" s="698">
        <f t="shared" si="150"/>
        <v>10500</v>
      </c>
      <c r="E1214" s="698">
        <f>SUM(H1214+K1214+N1214+Q1214)</f>
        <v>10490</v>
      </c>
      <c r="F1214" s="967">
        <f>E1214/D1214*100</f>
        <v>99.90476190476191</v>
      </c>
      <c r="G1214" s="720">
        <f>11000-500</f>
        <v>10500</v>
      </c>
      <c r="H1214" s="698">
        <v>10490</v>
      </c>
      <c r="I1214" s="746">
        <f t="shared" si="148"/>
        <v>99.90476190476191</v>
      </c>
      <c r="J1214" s="703"/>
      <c r="K1214" s="698"/>
      <c r="L1214" s="702"/>
      <c r="M1214" s="698"/>
      <c r="N1214" s="698"/>
      <c r="O1214" s="702"/>
      <c r="P1214" s="698"/>
      <c r="Q1214" s="698"/>
      <c r="R1214" s="770"/>
    </row>
    <row r="1215" spans="1:18" ht="12.75" customHeight="1">
      <c r="A1215" s="764">
        <v>4410</v>
      </c>
      <c r="B1215" s="934" t="s">
        <v>193</v>
      </c>
      <c r="C1215" s="720">
        <v>200</v>
      </c>
      <c r="D1215" s="698">
        <f t="shared" si="150"/>
        <v>200</v>
      </c>
      <c r="E1215" s="698">
        <f t="shared" si="149"/>
        <v>198</v>
      </c>
      <c r="F1215" s="967">
        <f t="shared" si="147"/>
        <v>99</v>
      </c>
      <c r="G1215" s="720">
        <v>200</v>
      </c>
      <c r="H1215" s="698">
        <v>198</v>
      </c>
      <c r="I1215" s="746">
        <f t="shared" si="148"/>
        <v>99</v>
      </c>
      <c r="J1215" s="703"/>
      <c r="K1215" s="698"/>
      <c r="L1215" s="702"/>
      <c r="M1215" s="698"/>
      <c r="N1215" s="698"/>
      <c r="O1215" s="702"/>
      <c r="P1215" s="698"/>
      <c r="Q1215" s="698"/>
      <c r="R1215" s="770"/>
    </row>
    <row r="1216" spans="1:18" ht="12.75" customHeight="1">
      <c r="A1216" s="764">
        <v>4430</v>
      </c>
      <c r="B1216" s="934" t="s">
        <v>221</v>
      </c>
      <c r="C1216" s="720">
        <v>100</v>
      </c>
      <c r="D1216" s="698">
        <f>G1216+J1216+P1216+M1216</f>
        <v>0</v>
      </c>
      <c r="E1216" s="698">
        <f>SUM(H1216+K1216+N1216+Q1216)</f>
        <v>0</v>
      </c>
      <c r="F1216" s="967"/>
      <c r="G1216" s="720">
        <f>100-100</f>
        <v>0</v>
      </c>
      <c r="H1216" s="698"/>
      <c r="I1216" s="746"/>
      <c r="J1216" s="703"/>
      <c r="K1216" s="698"/>
      <c r="L1216" s="702"/>
      <c r="M1216" s="698"/>
      <c r="N1216" s="698"/>
      <c r="O1216" s="702"/>
      <c r="P1216" s="698"/>
      <c r="Q1216" s="698"/>
      <c r="R1216" s="770"/>
    </row>
    <row r="1217" spans="1:18" ht="12.75" customHeight="1">
      <c r="A1217" s="764">
        <v>4440</v>
      </c>
      <c r="B1217" s="828" t="s">
        <v>223</v>
      </c>
      <c r="C1217" s="720">
        <v>3900</v>
      </c>
      <c r="D1217" s="698">
        <f>G1217+J1217+P1217+M1217</f>
        <v>4000</v>
      </c>
      <c r="E1217" s="698">
        <f>SUM(H1217+K1217+N1217+Q1217)</f>
        <v>4000</v>
      </c>
      <c r="F1217" s="967">
        <f>E1217/D1217*100</f>
        <v>100</v>
      </c>
      <c r="G1217" s="720">
        <f>3900+100</f>
        <v>4000</v>
      </c>
      <c r="H1217" s="698">
        <v>4000</v>
      </c>
      <c r="I1217" s="699">
        <f t="shared" si="148"/>
        <v>100</v>
      </c>
      <c r="J1217" s="703"/>
      <c r="K1217" s="698"/>
      <c r="L1217" s="702"/>
      <c r="M1217" s="698"/>
      <c r="N1217" s="698"/>
      <c r="O1217" s="702"/>
      <c r="P1217" s="698"/>
      <c r="Q1217" s="698"/>
      <c r="R1217" s="770"/>
    </row>
    <row r="1218" spans="1:18" ht="12.75" customHeight="1">
      <c r="A1218" s="764">
        <v>4480</v>
      </c>
      <c r="B1218" s="934" t="s">
        <v>225</v>
      </c>
      <c r="C1218" s="720">
        <v>1500</v>
      </c>
      <c r="D1218" s="698">
        <f t="shared" si="150"/>
        <v>1332</v>
      </c>
      <c r="E1218" s="698">
        <f>SUM(H1218+K1218+N1218+Q1218)</f>
        <v>1332</v>
      </c>
      <c r="F1218" s="967">
        <f t="shared" si="147"/>
        <v>100</v>
      </c>
      <c r="G1218" s="720">
        <f>1500-168</f>
        <v>1332</v>
      </c>
      <c r="H1218" s="698">
        <v>1332</v>
      </c>
      <c r="I1218" s="699">
        <f t="shared" si="148"/>
        <v>100</v>
      </c>
      <c r="J1218" s="703"/>
      <c r="K1218" s="698"/>
      <c r="L1218" s="702"/>
      <c r="M1218" s="698"/>
      <c r="N1218" s="698"/>
      <c r="O1218" s="702"/>
      <c r="P1218" s="698"/>
      <c r="Q1218" s="698"/>
      <c r="R1218" s="770"/>
    </row>
    <row r="1219" spans="1:18" ht="51.75" customHeight="1">
      <c r="A1219" s="764">
        <v>4740</v>
      </c>
      <c r="B1219" s="828" t="s">
        <v>235</v>
      </c>
      <c r="C1219" s="720">
        <v>500</v>
      </c>
      <c r="D1219" s="698">
        <f t="shared" si="150"/>
        <v>200</v>
      </c>
      <c r="E1219" s="698">
        <f>SUM(H1219+K1219+N1219+Q1219)</f>
        <v>199</v>
      </c>
      <c r="F1219" s="967">
        <f t="shared" si="147"/>
        <v>99.5</v>
      </c>
      <c r="G1219" s="720">
        <f>500-300</f>
        <v>200</v>
      </c>
      <c r="H1219" s="698">
        <v>199</v>
      </c>
      <c r="I1219" s="746">
        <f t="shared" si="148"/>
        <v>99.5</v>
      </c>
      <c r="J1219" s="703"/>
      <c r="K1219" s="698"/>
      <c r="L1219" s="702"/>
      <c r="M1219" s="698"/>
      <c r="N1219" s="698"/>
      <c r="O1219" s="702"/>
      <c r="P1219" s="698"/>
      <c r="Q1219" s="698"/>
      <c r="R1219" s="770"/>
    </row>
    <row r="1220" spans="1:20" s="756" customFormat="1" ht="36">
      <c r="A1220" s="789">
        <v>4750</v>
      </c>
      <c r="B1220" s="790" t="s">
        <v>551</v>
      </c>
      <c r="C1220" s="791">
        <v>500</v>
      </c>
      <c r="D1220" s="792">
        <f t="shared" si="150"/>
        <v>500</v>
      </c>
      <c r="E1220" s="792">
        <f t="shared" si="149"/>
        <v>499</v>
      </c>
      <c r="F1220" s="982">
        <f t="shared" si="147"/>
        <v>99.8</v>
      </c>
      <c r="G1220" s="791">
        <v>500</v>
      </c>
      <c r="H1220" s="792">
        <v>499</v>
      </c>
      <c r="I1220" s="760">
        <f t="shared" si="148"/>
        <v>99.8</v>
      </c>
      <c r="J1220" s="793"/>
      <c r="K1220" s="792"/>
      <c r="L1220" s="796"/>
      <c r="M1220" s="792"/>
      <c r="N1220" s="792"/>
      <c r="O1220" s="796"/>
      <c r="P1220" s="792"/>
      <c r="Q1220" s="792"/>
      <c r="R1220" s="797"/>
      <c r="S1220" s="682"/>
      <c r="T1220" s="682"/>
    </row>
    <row r="1221" spans="1:20" s="756" customFormat="1" ht="25.5" customHeight="1">
      <c r="A1221" s="789"/>
      <c r="B1221" s="1002" t="s">
        <v>814</v>
      </c>
      <c r="C1221" s="725">
        <f>SUM(C1222:C1223)</f>
        <v>288200</v>
      </c>
      <c r="D1221" s="712">
        <f t="shared" si="150"/>
        <v>288200</v>
      </c>
      <c r="E1221" s="712">
        <f>H1221+K1221+Q1221+N1221</f>
        <v>288200</v>
      </c>
      <c r="F1221" s="960">
        <f t="shared" si="147"/>
        <v>100</v>
      </c>
      <c r="G1221" s="725">
        <f>SUM(G1222:G1223)</f>
        <v>288200</v>
      </c>
      <c r="H1221" s="759">
        <f>SUM(H1222:H1223)</f>
        <v>288200</v>
      </c>
      <c r="I1221" s="713">
        <f t="shared" si="148"/>
        <v>100</v>
      </c>
      <c r="J1221" s="839"/>
      <c r="K1221" s="759"/>
      <c r="L1221" s="718"/>
      <c r="M1221" s="712"/>
      <c r="N1221" s="712"/>
      <c r="O1221" s="762"/>
      <c r="P1221" s="759"/>
      <c r="Q1221" s="759"/>
      <c r="R1221" s="797"/>
      <c r="S1221" s="682"/>
      <c r="T1221" s="682"/>
    </row>
    <row r="1222" spans="1:20" s="756" customFormat="1" ht="84" hidden="1">
      <c r="A1222" s="764">
        <v>2820</v>
      </c>
      <c r="B1222" s="934" t="s">
        <v>555</v>
      </c>
      <c r="C1222" s="720"/>
      <c r="D1222" s="698">
        <f t="shared" si="150"/>
        <v>0</v>
      </c>
      <c r="E1222" s="698">
        <f>SUM(H1222+K1222+N1222+Q1222)</f>
        <v>0</v>
      </c>
      <c r="F1222" s="967" t="e">
        <f t="shared" si="147"/>
        <v>#DIV/0!</v>
      </c>
      <c r="G1222" s="720"/>
      <c r="H1222" s="698"/>
      <c r="I1222" s="699" t="e">
        <f>H1222/G1222*100</f>
        <v>#DIV/0!</v>
      </c>
      <c r="J1222" s="778"/>
      <c r="K1222" s="777"/>
      <c r="L1222" s="779"/>
      <c r="M1222" s="777"/>
      <c r="N1222" s="777"/>
      <c r="O1222" s="766"/>
      <c r="P1222" s="777"/>
      <c r="Q1222" s="777"/>
      <c r="R1222" s="770"/>
      <c r="S1222" s="682"/>
      <c r="T1222" s="682"/>
    </row>
    <row r="1223" spans="1:20" s="756" customFormat="1" ht="63" customHeight="1">
      <c r="A1223" s="789">
        <v>2820</v>
      </c>
      <c r="B1223" s="790" t="s">
        <v>555</v>
      </c>
      <c r="C1223" s="791">
        <v>288200</v>
      </c>
      <c r="D1223" s="792">
        <f t="shared" si="150"/>
        <v>288200</v>
      </c>
      <c r="E1223" s="792">
        <f aca="true" t="shared" si="151" ref="E1223:E1246">SUM(H1223+K1223+N1223+Q1223)</f>
        <v>288200</v>
      </c>
      <c r="F1223" s="982">
        <f t="shared" si="147"/>
        <v>100</v>
      </c>
      <c r="G1223" s="791">
        <v>288200</v>
      </c>
      <c r="H1223" s="792">
        <v>288200</v>
      </c>
      <c r="I1223" s="760">
        <f t="shared" si="148"/>
        <v>100</v>
      </c>
      <c r="J1223" s="793"/>
      <c r="K1223" s="792"/>
      <c r="L1223" s="794"/>
      <c r="M1223" s="792"/>
      <c r="N1223" s="792"/>
      <c r="O1223" s="806"/>
      <c r="P1223" s="792"/>
      <c r="Q1223" s="792"/>
      <c r="R1223" s="797"/>
      <c r="S1223" s="682"/>
      <c r="T1223" s="682"/>
    </row>
    <row r="1224" spans="1:20" s="756" customFormat="1" ht="14.25" customHeight="1">
      <c r="A1224" s="835"/>
      <c r="B1224" s="1002" t="s">
        <v>815</v>
      </c>
      <c r="C1224" s="837">
        <f>SUM(C1225:C1246)</f>
        <v>242555</v>
      </c>
      <c r="D1224" s="759">
        <f t="shared" si="150"/>
        <v>260755</v>
      </c>
      <c r="E1224" s="759">
        <f t="shared" si="151"/>
        <v>259118</v>
      </c>
      <c r="F1224" s="982">
        <f t="shared" si="147"/>
        <v>99.37220762784989</v>
      </c>
      <c r="G1224" s="837"/>
      <c r="H1224" s="759"/>
      <c r="I1224" s="826"/>
      <c r="J1224" s="839">
        <f>SUM(J1225:J1246)</f>
        <v>260755</v>
      </c>
      <c r="K1224" s="839">
        <f>SUM(K1225:K1246)</f>
        <v>259118</v>
      </c>
      <c r="L1224" s="796">
        <f>K1224/J1224*100</f>
        <v>99.37220762784989</v>
      </c>
      <c r="M1224" s="759"/>
      <c r="N1224" s="759"/>
      <c r="O1224" s="842"/>
      <c r="P1224" s="759"/>
      <c r="Q1224" s="759"/>
      <c r="R1224" s="843"/>
      <c r="S1224" s="682"/>
      <c r="T1224" s="682"/>
    </row>
    <row r="1225" spans="1:18" ht="36" customHeight="1">
      <c r="A1225" s="764">
        <v>3020</v>
      </c>
      <c r="B1225" s="768" t="s">
        <v>279</v>
      </c>
      <c r="C1225" s="723">
        <v>200</v>
      </c>
      <c r="D1225" s="698">
        <f t="shared" si="150"/>
        <v>200</v>
      </c>
      <c r="E1225" s="698">
        <f>SUM(H1225+K1225+N1225+Q1225)</f>
        <v>0</v>
      </c>
      <c r="F1225" s="699">
        <f>E1225/D1225*100</f>
        <v>0</v>
      </c>
      <c r="G1225" s="720"/>
      <c r="H1225" s="698"/>
      <c r="I1225" s="746"/>
      <c r="J1225" s="703">
        <v>200</v>
      </c>
      <c r="K1225" s="703"/>
      <c r="L1225" s="744">
        <f>K1225/J1225*100</f>
        <v>0</v>
      </c>
      <c r="M1225" s="698"/>
      <c r="N1225" s="698"/>
      <c r="O1225" s="766"/>
      <c r="P1225" s="698"/>
      <c r="Q1225" s="698"/>
      <c r="R1225" s="770"/>
    </row>
    <row r="1226" spans="1:20" ht="30" customHeight="1">
      <c r="A1226" s="764">
        <v>4010</v>
      </c>
      <c r="B1226" s="934" t="s">
        <v>201</v>
      </c>
      <c r="C1226" s="720">
        <v>143318</v>
      </c>
      <c r="D1226" s="698">
        <f t="shared" si="150"/>
        <v>148718</v>
      </c>
      <c r="E1226" s="698">
        <f t="shared" si="151"/>
        <v>148587</v>
      </c>
      <c r="F1226" s="699">
        <f t="shared" si="147"/>
        <v>99.91191382347799</v>
      </c>
      <c r="G1226" s="720"/>
      <c r="H1226" s="698"/>
      <c r="I1226" s="746"/>
      <c r="J1226" s="720">
        <f>143318+3400+2000</f>
        <v>148718</v>
      </c>
      <c r="K1226" s="703">
        <v>148587</v>
      </c>
      <c r="L1226" s="744">
        <f>K1226/J1226*100</f>
        <v>99.91191382347799</v>
      </c>
      <c r="M1226" s="698"/>
      <c r="N1226" s="698"/>
      <c r="O1226" s="766"/>
      <c r="P1226" s="698"/>
      <c r="Q1226" s="698"/>
      <c r="R1226" s="770"/>
      <c r="S1226" s="682"/>
      <c r="T1226" s="682"/>
    </row>
    <row r="1227" spans="1:20" ht="24">
      <c r="A1227" s="764">
        <v>4040</v>
      </c>
      <c r="B1227" s="934" t="s">
        <v>280</v>
      </c>
      <c r="C1227" s="720">
        <v>11236</v>
      </c>
      <c r="D1227" s="698">
        <f t="shared" si="150"/>
        <v>11236</v>
      </c>
      <c r="E1227" s="698">
        <f t="shared" si="151"/>
        <v>10965</v>
      </c>
      <c r="F1227" s="699">
        <f t="shared" si="147"/>
        <v>97.58810964756141</v>
      </c>
      <c r="G1227" s="720"/>
      <c r="H1227" s="698"/>
      <c r="I1227" s="746"/>
      <c r="J1227" s="720">
        <v>11236</v>
      </c>
      <c r="K1227" s="703">
        <v>10965</v>
      </c>
      <c r="L1227" s="744">
        <f aca="true" t="shared" si="152" ref="L1227:L1246">K1227/J1227*100</f>
        <v>97.58810964756141</v>
      </c>
      <c r="M1227" s="698"/>
      <c r="N1227" s="698"/>
      <c r="O1227" s="766"/>
      <c r="P1227" s="698"/>
      <c r="Q1227" s="698"/>
      <c r="R1227" s="770"/>
      <c r="S1227" s="682"/>
      <c r="T1227" s="682"/>
    </row>
    <row r="1228" spans="1:20" ht="25.5" customHeight="1">
      <c r="A1228" s="764">
        <v>4110</v>
      </c>
      <c r="B1228" s="934" t="s">
        <v>207</v>
      </c>
      <c r="C1228" s="720">
        <v>21000</v>
      </c>
      <c r="D1228" s="698">
        <f t="shared" si="150"/>
        <v>25200</v>
      </c>
      <c r="E1228" s="698">
        <f t="shared" si="151"/>
        <v>25159</v>
      </c>
      <c r="F1228" s="699">
        <f t="shared" si="147"/>
        <v>99.83730158730158</v>
      </c>
      <c r="G1228" s="720"/>
      <c r="H1228" s="698"/>
      <c r="I1228" s="746"/>
      <c r="J1228" s="720">
        <f>21000+4200</f>
        <v>25200</v>
      </c>
      <c r="K1228" s="703">
        <v>25159</v>
      </c>
      <c r="L1228" s="744">
        <f t="shared" si="152"/>
        <v>99.83730158730158</v>
      </c>
      <c r="M1228" s="698"/>
      <c r="N1228" s="698"/>
      <c r="O1228" s="766"/>
      <c r="P1228" s="698"/>
      <c r="Q1228" s="698"/>
      <c r="R1228" s="770"/>
      <c r="S1228" s="682"/>
      <c r="T1228" s="682"/>
    </row>
    <row r="1229" spans="1:20" ht="14.25" customHeight="1">
      <c r="A1229" s="764">
        <v>4120</v>
      </c>
      <c r="B1229" s="934" t="s">
        <v>584</v>
      </c>
      <c r="C1229" s="720">
        <v>3415</v>
      </c>
      <c r="D1229" s="698">
        <f t="shared" si="150"/>
        <v>3775</v>
      </c>
      <c r="E1229" s="698">
        <f t="shared" si="151"/>
        <v>3773</v>
      </c>
      <c r="F1229" s="699">
        <f>E1229/D1229*100</f>
        <v>99.94701986754967</v>
      </c>
      <c r="G1229" s="720"/>
      <c r="H1229" s="698"/>
      <c r="I1229" s="746"/>
      <c r="J1229" s="720">
        <f>3415+360</f>
        <v>3775</v>
      </c>
      <c r="K1229" s="703">
        <v>3773</v>
      </c>
      <c r="L1229" s="744">
        <f t="shared" si="152"/>
        <v>99.94701986754967</v>
      </c>
      <c r="M1229" s="698"/>
      <c r="N1229" s="698"/>
      <c r="O1229" s="766"/>
      <c r="P1229" s="698"/>
      <c r="Q1229" s="698"/>
      <c r="R1229" s="770"/>
      <c r="S1229" s="682"/>
      <c r="T1229" s="682"/>
    </row>
    <row r="1230" spans="1:18" ht="24" hidden="1">
      <c r="A1230" s="764">
        <v>4170</v>
      </c>
      <c r="B1230" s="934" t="s">
        <v>242</v>
      </c>
      <c r="C1230" s="720"/>
      <c r="D1230" s="698">
        <f t="shared" si="150"/>
        <v>0</v>
      </c>
      <c r="E1230" s="698">
        <f>SUM(H1230+K1230+N1230+Q1230)</f>
        <v>0</v>
      </c>
      <c r="F1230" s="699" t="e">
        <f>E1230/D1230*100</f>
        <v>#DIV/0!</v>
      </c>
      <c r="G1230" s="720"/>
      <c r="H1230" s="698"/>
      <c r="I1230" s="746"/>
      <c r="J1230" s="720"/>
      <c r="K1230" s="703"/>
      <c r="L1230" s="744" t="e">
        <f t="shared" si="152"/>
        <v>#DIV/0!</v>
      </c>
      <c r="M1230" s="698"/>
      <c r="N1230" s="698"/>
      <c r="O1230" s="766"/>
      <c r="P1230" s="698"/>
      <c r="Q1230" s="698"/>
      <c r="R1230" s="770"/>
    </row>
    <row r="1231" spans="1:18" ht="24">
      <c r="A1231" s="764">
        <v>4210</v>
      </c>
      <c r="B1231" s="934" t="s">
        <v>211</v>
      </c>
      <c r="C1231" s="720">
        <v>3900</v>
      </c>
      <c r="D1231" s="698">
        <f t="shared" si="150"/>
        <v>8940</v>
      </c>
      <c r="E1231" s="698">
        <f t="shared" si="151"/>
        <v>8900</v>
      </c>
      <c r="F1231" s="699">
        <f aca="true" t="shared" si="153" ref="F1231:F1276">E1231/D1231*100</f>
        <v>99.55257270693512</v>
      </c>
      <c r="G1231" s="720"/>
      <c r="H1231" s="698"/>
      <c r="I1231" s="746"/>
      <c r="J1231" s="720">
        <f>3900+8240-3200</f>
        <v>8940</v>
      </c>
      <c r="K1231" s="703">
        <v>8900</v>
      </c>
      <c r="L1231" s="744">
        <f t="shared" si="152"/>
        <v>99.55257270693512</v>
      </c>
      <c r="M1231" s="698"/>
      <c r="N1231" s="698"/>
      <c r="O1231" s="766"/>
      <c r="P1231" s="698"/>
      <c r="Q1231" s="698"/>
      <c r="R1231" s="770"/>
    </row>
    <row r="1232" spans="1:18" ht="15" customHeight="1">
      <c r="A1232" s="764">
        <v>4220</v>
      </c>
      <c r="B1232" s="934" t="s">
        <v>680</v>
      </c>
      <c r="C1232" s="720">
        <v>7000</v>
      </c>
      <c r="D1232" s="698">
        <f t="shared" si="150"/>
        <v>8000</v>
      </c>
      <c r="E1232" s="698">
        <f t="shared" si="151"/>
        <v>7878</v>
      </c>
      <c r="F1232" s="699">
        <f t="shared" si="153"/>
        <v>98.475</v>
      </c>
      <c r="G1232" s="720"/>
      <c r="H1232" s="698"/>
      <c r="I1232" s="746"/>
      <c r="J1232" s="720">
        <f>7000+1000</f>
        <v>8000</v>
      </c>
      <c r="K1232" s="703">
        <v>7878</v>
      </c>
      <c r="L1232" s="744">
        <f t="shared" si="152"/>
        <v>98.475</v>
      </c>
      <c r="M1232" s="698"/>
      <c r="N1232" s="698"/>
      <c r="O1232" s="766"/>
      <c r="P1232" s="698"/>
      <c r="Q1232" s="698"/>
      <c r="R1232" s="770"/>
    </row>
    <row r="1233" spans="1:18" ht="27" customHeight="1">
      <c r="A1233" s="764">
        <v>4230</v>
      </c>
      <c r="B1233" s="934" t="s">
        <v>213</v>
      </c>
      <c r="C1233" s="720">
        <v>100</v>
      </c>
      <c r="D1233" s="698">
        <f t="shared" si="150"/>
        <v>100</v>
      </c>
      <c r="E1233" s="698">
        <f t="shared" si="151"/>
        <v>100</v>
      </c>
      <c r="F1233" s="699">
        <f t="shared" si="153"/>
        <v>100</v>
      </c>
      <c r="G1233" s="720"/>
      <c r="H1233" s="698"/>
      <c r="I1233" s="746"/>
      <c r="J1233" s="720">
        <v>100</v>
      </c>
      <c r="K1233" s="703">
        <v>100</v>
      </c>
      <c r="L1233" s="744">
        <f t="shared" si="152"/>
        <v>100</v>
      </c>
      <c r="M1233" s="698"/>
      <c r="N1233" s="698"/>
      <c r="O1233" s="766"/>
      <c r="P1233" s="698"/>
      <c r="Q1233" s="698"/>
      <c r="R1233" s="770"/>
    </row>
    <row r="1234" spans="1:18" ht="14.25" customHeight="1">
      <c r="A1234" s="764">
        <v>4260</v>
      </c>
      <c r="B1234" s="934" t="s">
        <v>215</v>
      </c>
      <c r="C1234" s="720">
        <v>12880</v>
      </c>
      <c r="D1234" s="698">
        <f t="shared" si="150"/>
        <v>19480</v>
      </c>
      <c r="E1234" s="698">
        <f t="shared" si="151"/>
        <v>19480</v>
      </c>
      <c r="F1234" s="699">
        <f t="shared" si="153"/>
        <v>100</v>
      </c>
      <c r="G1234" s="720"/>
      <c r="H1234" s="698"/>
      <c r="I1234" s="746"/>
      <c r="J1234" s="720">
        <f>12880+2500+4100</f>
        <v>19480</v>
      </c>
      <c r="K1234" s="703">
        <v>19480</v>
      </c>
      <c r="L1234" s="744">
        <f t="shared" si="152"/>
        <v>100</v>
      </c>
      <c r="M1234" s="698"/>
      <c r="N1234" s="698"/>
      <c r="O1234" s="766"/>
      <c r="P1234" s="698"/>
      <c r="Q1234" s="698"/>
      <c r="R1234" s="770"/>
    </row>
    <row r="1235" spans="1:18" ht="14.25" customHeight="1" hidden="1">
      <c r="A1235" s="764">
        <v>4270</v>
      </c>
      <c r="B1235" s="934" t="s">
        <v>217</v>
      </c>
      <c r="C1235" s="720"/>
      <c r="D1235" s="698">
        <f t="shared" si="150"/>
        <v>0</v>
      </c>
      <c r="E1235" s="698">
        <f>SUM(H1235+K1235+N1235+Q1235)</f>
        <v>0</v>
      </c>
      <c r="F1235" s="699" t="e">
        <f>E1235/D1235*100</f>
        <v>#DIV/0!</v>
      </c>
      <c r="G1235" s="720"/>
      <c r="H1235" s="698"/>
      <c r="I1235" s="746"/>
      <c r="J1235" s="720"/>
      <c r="K1235" s="703"/>
      <c r="L1235" s="744" t="e">
        <f t="shared" si="152"/>
        <v>#DIV/0!</v>
      </c>
      <c r="M1235" s="698"/>
      <c r="N1235" s="698"/>
      <c r="O1235" s="766"/>
      <c r="P1235" s="698"/>
      <c r="Q1235" s="698"/>
      <c r="R1235" s="770"/>
    </row>
    <row r="1236" spans="1:18" ht="14.25" customHeight="1">
      <c r="A1236" s="764">
        <v>4280</v>
      </c>
      <c r="B1236" s="934" t="s">
        <v>542</v>
      </c>
      <c r="C1236" s="720">
        <v>200</v>
      </c>
      <c r="D1236" s="698">
        <f t="shared" si="150"/>
        <v>200</v>
      </c>
      <c r="E1236" s="698">
        <f>SUM(H1236+K1236+N1236+Q1236)</f>
        <v>143</v>
      </c>
      <c r="F1236" s="699">
        <f>E1236/D1236*100</f>
        <v>71.5</v>
      </c>
      <c r="G1236" s="720"/>
      <c r="H1236" s="698"/>
      <c r="I1236" s="746"/>
      <c r="J1236" s="720">
        <v>200</v>
      </c>
      <c r="K1236" s="703">
        <v>143</v>
      </c>
      <c r="L1236" s="744">
        <f t="shared" si="152"/>
        <v>71.5</v>
      </c>
      <c r="M1236" s="698"/>
      <c r="N1236" s="698"/>
      <c r="O1236" s="766"/>
      <c r="P1236" s="698"/>
      <c r="Q1236" s="698"/>
      <c r="R1236" s="770"/>
    </row>
    <row r="1237" spans="1:18" ht="14.25" customHeight="1">
      <c r="A1237" s="764">
        <v>4300</v>
      </c>
      <c r="B1237" s="934" t="s">
        <v>543</v>
      </c>
      <c r="C1237" s="720">
        <v>10126</v>
      </c>
      <c r="D1237" s="698">
        <f t="shared" si="150"/>
        <v>6626</v>
      </c>
      <c r="E1237" s="698">
        <f t="shared" si="151"/>
        <v>6610</v>
      </c>
      <c r="F1237" s="699">
        <f t="shared" si="153"/>
        <v>99.75852701479022</v>
      </c>
      <c r="G1237" s="720"/>
      <c r="H1237" s="698"/>
      <c r="I1237" s="746"/>
      <c r="J1237" s="720">
        <f>10126-3500</f>
        <v>6626</v>
      </c>
      <c r="K1237" s="703">
        <v>6610</v>
      </c>
      <c r="L1237" s="744">
        <f t="shared" si="152"/>
        <v>99.75852701479022</v>
      </c>
      <c r="M1237" s="698"/>
      <c r="N1237" s="698"/>
      <c r="O1237" s="766"/>
      <c r="P1237" s="698"/>
      <c r="Q1237" s="698"/>
      <c r="R1237" s="770"/>
    </row>
    <row r="1238" spans="1:18" ht="24">
      <c r="A1238" s="764">
        <v>4350</v>
      </c>
      <c r="B1238" s="768" t="s">
        <v>544</v>
      </c>
      <c r="C1238" s="720">
        <v>1080</v>
      </c>
      <c r="D1238" s="698">
        <f t="shared" si="150"/>
        <v>1080</v>
      </c>
      <c r="E1238" s="698">
        <f>SUM(H1238+K1238+N1238+Q1238)</f>
        <v>1033</v>
      </c>
      <c r="F1238" s="699">
        <f>E1238/D1238*100</f>
        <v>95.64814814814815</v>
      </c>
      <c r="G1238" s="720"/>
      <c r="H1238" s="698"/>
      <c r="I1238" s="746"/>
      <c r="J1238" s="720">
        <v>1080</v>
      </c>
      <c r="K1238" s="703">
        <v>1033</v>
      </c>
      <c r="L1238" s="744">
        <f t="shared" si="152"/>
        <v>95.64814814814815</v>
      </c>
      <c r="M1238" s="698"/>
      <c r="N1238" s="698"/>
      <c r="O1238" s="766"/>
      <c r="P1238" s="698"/>
      <c r="Q1238" s="698"/>
      <c r="R1238" s="770"/>
    </row>
    <row r="1239" spans="1:18" ht="37.5" customHeight="1">
      <c r="A1239" s="764">
        <v>4370</v>
      </c>
      <c r="B1239" s="828" t="s">
        <v>635</v>
      </c>
      <c r="C1239" s="720">
        <v>2400</v>
      </c>
      <c r="D1239" s="698">
        <f t="shared" si="150"/>
        <v>1600</v>
      </c>
      <c r="E1239" s="698">
        <f>SUM(H1239+K1239+N1239+Q1239)</f>
        <v>1505</v>
      </c>
      <c r="F1239" s="699">
        <f>E1239/D1239*100</f>
        <v>94.0625</v>
      </c>
      <c r="G1239" s="720"/>
      <c r="H1239" s="698"/>
      <c r="I1239" s="746"/>
      <c r="J1239" s="720">
        <f>2400-800</f>
        <v>1600</v>
      </c>
      <c r="K1239" s="703">
        <v>1505</v>
      </c>
      <c r="L1239" s="744">
        <f t="shared" si="152"/>
        <v>94.0625</v>
      </c>
      <c r="M1239" s="698"/>
      <c r="N1239" s="698"/>
      <c r="O1239" s="766"/>
      <c r="P1239" s="698"/>
      <c r="Q1239" s="698"/>
      <c r="R1239" s="770"/>
    </row>
    <row r="1240" spans="1:18" ht="25.5" customHeight="1">
      <c r="A1240" s="764">
        <v>4400</v>
      </c>
      <c r="B1240" s="828" t="s">
        <v>547</v>
      </c>
      <c r="C1240" s="720">
        <v>17600</v>
      </c>
      <c r="D1240" s="698">
        <f t="shared" si="150"/>
        <v>17600</v>
      </c>
      <c r="E1240" s="698">
        <f>SUM(H1240+K1240+N1240+Q1240)</f>
        <v>17026</v>
      </c>
      <c r="F1240" s="699">
        <f>E1240/D1240*100</f>
        <v>96.73863636363636</v>
      </c>
      <c r="G1240" s="720"/>
      <c r="H1240" s="698"/>
      <c r="I1240" s="746"/>
      <c r="J1240" s="720">
        <v>17600</v>
      </c>
      <c r="K1240" s="703">
        <v>17026</v>
      </c>
      <c r="L1240" s="744">
        <f t="shared" si="152"/>
        <v>96.73863636363636</v>
      </c>
      <c r="M1240" s="698"/>
      <c r="N1240" s="698"/>
      <c r="O1240" s="766"/>
      <c r="P1240" s="698"/>
      <c r="Q1240" s="698"/>
      <c r="R1240" s="770"/>
    </row>
    <row r="1241" spans="1:18" ht="24">
      <c r="A1241" s="764">
        <v>4410</v>
      </c>
      <c r="B1241" s="768" t="s">
        <v>193</v>
      </c>
      <c r="C1241" s="720">
        <v>200</v>
      </c>
      <c r="D1241" s="698">
        <f t="shared" si="150"/>
        <v>200</v>
      </c>
      <c r="E1241" s="698">
        <f>SUM(H1241+K1241+N1241+Q1241)</f>
        <v>200</v>
      </c>
      <c r="F1241" s="699">
        <f>E1241/D1241*100</f>
        <v>100</v>
      </c>
      <c r="G1241" s="720"/>
      <c r="H1241" s="698"/>
      <c r="I1241" s="746"/>
      <c r="J1241" s="720">
        <v>200</v>
      </c>
      <c r="K1241" s="703">
        <v>200</v>
      </c>
      <c r="L1241" s="744">
        <f t="shared" si="152"/>
        <v>100</v>
      </c>
      <c r="M1241" s="698"/>
      <c r="N1241" s="698"/>
      <c r="O1241" s="766"/>
      <c r="P1241" s="698"/>
      <c r="Q1241" s="698"/>
      <c r="R1241" s="770"/>
    </row>
    <row r="1242" spans="1:18" ht="14.25" customHeight="1">
      <c r="A1242" s="764">
        <v>4430</v>
      </c>
      <c r="B1242" s="934" t="s">
        <v>221</v>
      </c>
      <c r="C1242" s="720">
        <v>100</v>
      </c>
      <c r="D1242" s="698">
        <f t="shared" si="150"/>
        <v>0</v>
      </c>
      <c r="E1242" s="698">
        <f t="shared" si="151"/>
        <v>0</v>
      </c>
      <c r="F1242" s="699"/>
      <c r="G1242" s="720"/>
      <c r="H1242" s="698"/>
      <c r="I1242" s="746"/>
      <c r="J1242" s="720">
        <f>100-100</f>
        <v>0</v>
      </c>
      <c r="K1242" s="703"/>
      <c r="L1242" s="702"/>
      <c r="M1242" s="698"/>
      <c r="N1242" s="698"/>
      <c r="O1242" s="766"/>
      <c r="P1242" s="698"/>
      <c r="Q1242" s="698"/>
      <c r="R1242" s="770"/>
    </row>
    <row r="1243" spans="1:18" ht="14.25" customHeight="1">
      <c r="A1243" s="764">
        <v>4440</v>
      </c>
      <c r="B1243" s="934" t="s">
        <v>223</v>
      </c>
      <c r="C1243" s="720">
        <v>4800</v>
      </c>
      <c r="D1243" s="698">
        <f t="shared" si="150"/>
        <v>4800</v>
      </c>
      <c r="E1243" s="698">
        <f t="shared" si="151"/>
        <v>4800</v>
      </c>
      <c r="F1243" s="699">
        <f t="shared" si="153"/>
        <v>100</v>
      </c>
      <c r="G1243" s="720"/>
      <c r="H1243" s="698"/>
      <c r="I1243" s="746"/>
      <c r="J1243" s="720">
        <v>4800</v>
      </c>
      <c r="K1243" s="703">
        <v>4800</v>
      </c>
      <c r="L1243" s="744">
        <f t="shared" si="152"/>
        <v>100</v>
      </c>
      <c r="M1243" s="698"/>
      <c r="N1243" s="698"/>
      <c r="O1243" s="766"/>
      <c r="P1243" s="698"/>
      <c r="Q1243" s="698"/>
      <c r="R1243" s="770"/>
    </row>
    <row r="1244" spans="1:18" ht="13.5" customHeight="1">
      <c r="A1244" s="764">
        <v>4480</v>
      </c>
      <c r="B1244" s="828" t="s">
        <v>225</v>
      </c>
      <c r="C1244" s="720">
        <v>2100</v>
      </c>
      <c r="D1244" s="698">
        <f t="shared" si="150"/>
        <v>2100</v>
      </c>
      <c r="E1244" s="698">
        <f t="shared" si="151"/>
        <v>2059</v>
      </c>
      <c r="F1244" s="699">
        <f t="shared" si="153"/>
        <v>98.04761904761905</v>
      </c>
      <c r="G1244" s="720"/>
      <c r="H1244" s="698"/>
      <c r="I1244" s="746"/>
      <c r="J1244" s="720">
        <v>2100</v>
      </c>
      <c r="K1244" s="703">
        <v>2059</v>
      </c>
      <c r="L1244" s="744">
        <f t="shared" si="152"/>
        <v>98.04761904761905</v>
      </c>
      <c r="M1244" s="698"/>
      <c r="N1244" s="698"/>
      <c r="O1244" s="766"/>
      <c r="P1244" s="698"/>
      <c r="Q1244" s="698"/>
      <c r="R1244" s="770"/>
    </row>
    <row r="1245" spans="1:18" ht="48" customHeight="1">
      <c r="A1245" s="764">
        <v>4740</v>
      </c>
      <c r="B1245" s="828" t="s">
        <v>235</v>
      </c>
      <c r="C1245" s="720">
        <v>300</v>
      </c>
      <c r="D1245" s="698">
        <f t="shared" si="150"/>
        <v>300</v>
      </c>
      <c r="E1245" s="698">
        <f>SUM(H1245+K1245+N1245+Q1245)</f>
        <v>300</v>
      </c>
      <c r="F1245" s="699">
        <f>E1245/D1245*100</f>
        <v>100</v>
      </c>
      <c r="G1245" s="720"/>
      <c r="H1245" s="698"/>
      <c r="I1245" s="746"/>
      <c r="J1245" s="720">
        <v>300</v>
      </c>
      <c r="K1245" s="703">
        <v>300</v>
      </c>
      <c r="L1245" s="744">
        <f t="shared" si="152"/>
        <v>100</v>
      </c>
      <c r="M1245" s="698"/>
      <c r="N1245" s="698"/>
      <c r="O1245" s="766"/>
      <c r="P1245" s="698"/>
      <c r="Q1245" s="698"/>
      <c r="R1245" s="770"/>
    </row>
    <row r="1246" spans="1:18" ht="36">
      <c r="A1246" s="789">
        <v>4750</v>
      </c>
      <c r="B1246" s="790" t="s">
        <v>551</v>
      </c>
      <c r="C1246" s="791">
        <v>600</v>
      </c>
      <c r="D1246" s="792">
        <f t="shared" si="150"/>
        <v>600</v>
      </c>
      <c r="E1246" s="792">
        <f t="shared" si="151"/>
        <v>600</v>
      </c>
      <c r="F1246" s="760">
        <f t="shared" si="153"/>
        <v>100</v>
      </c>
      <c r="G1246" s="791"/>
      <c r="H1246" s="792"/>
      <c r="I1246" s="826"/>
      <c r="J1246" s="791">
        <v>600</v>
      </c>
      <c r="K1246" s="793">
        <v>600</v>
      </c>
      <c r="L1246" s="744">
        <f t="shared" si="152"/>
        <v>100</v>
      </c>
      <c r="M1246" s="792"/>
      <c r="N1246" s="792"/>
      <c r="O1246" s="806"/>
      <c r="P1246" s="792"/>
      <c r="Q1246" s="792"/>
      <c r="R1246" s="797"/>
    </row>
    <row r="1247" spans="1:20" s="756" customFormat="1" ht="24">
      <c r="A1247" s="757"/>
      <c r="B1247" s="959" t="s">
        <v>816</v>
      </c>
      <c r="C1247" s="725">
        <f>SUM(C1248:C1267)</f>
        <v>239445</v>
      </c>
      <c r="D1247" s="712">
        <f t="shared" si="150"/>
        <v>253245</v>
      </c>
      <c r="E1247" s="712">
        <f>H1247+K1247+Q1247+N1247</f>
        <v>249855</v>
      </c>
      <c r="F1247" s="960">
        <f t="shared" si="153"/>
        <v>98.66137534798318</v>
      </c>
      <c r="G1247" s="725"/>
      <c r="H1247" s="712"/>
      <c r="I1247" s="854"/>
      <c r="J1247" s="717">
        <f>SUM(J1248:J1267)</f>
        <v>253245</v>
      </c>
      <c r="K1247" s="717">
        <f>SUM(K1248:K1267)</f>
        <v>249855</v>
      </c>
      <c r="L1247" s="719">
        <f>K1247/J1247*100</f>
        <v>98.66137534798318</v>
      </c>
      <c r="M1247" s="712"/>
      <c r="N1247" s="712"/>
      <c r="O1247" s="801"/>
      <c r="P1247" s="712"/>
      <c r="Q1247" s="712"/>
      <c r="R1247" s="802"/>
      <c r="S1247" s="682"/>
      <c r="T1247" s="682"/>
    </row>
    <row r="1248" spans="1:18" ht="36" customHeight="1">
      <c r="A1248" s="764">
        <v>3020</v>
      </c>
      <c r="B1248" s="768" t="s">
        <v>279</v>
      </c>
      <c r="C1248" s="723">
        <v>200</v>
      </c>
      <c r="D1248" s="698">
        <f t="shared" si="150"/>
        <v>200</v>
      </c>
      <c r="E1248" s="698">
        <f>SUM(H1248+K1248+N1248+Q1248)</f>
        <v>0</v>
      </c>
      <c r="F1248" s="699">
        <f t="shared" si="153"/>
        <v>0</v>
      </c>
      <c r="G1248" s="720"/>
      <c r="H1248" s="698"/>
      <c r="I1248" s="746"/>
      <c r="J1248" s="703">
        <v>200</v>
      </c>
      <c r="K1248" s="703"/>
      <c r="L1248" s="744">
        <f aca="true" t="shared" si="154" ref="L1248:L1269">K1248/J1248*100</f>
        <v>0</v>
      </c>
      <c r="M1248" s="698"/>
      <c r="N1248" s="698"/>
      <c r="O1248" s="766"/>
      <c r="P1248" s="698"/>
      <c r="Q1248" s="698"/>
      <c r="R1248" s="770"/>
    </row>
    <row r="1249" spans="1:20" s="756" customFormat="1" ht="24.75" customHeight="1">
      <c r="A1249" s="764">
        <v>4010</v>
      </c>
      <c r="B1249" s="934" t="s">
        <v>201</v>
      </c>
      <c r="C1249" s="720">
        <v>137686</v>
      </c>
      <c r="D1249" s="698">
        <f t="shared" si="150"/>
        <v>144786</v>
      </c>
      <c r="E1249" s="698">
        <f>H1249+K1249+Q1249+N1249</f>
        <v>144513</v>
      </c>
      <c r="F1249" s="967">
        <f t="shared" si="153"/>
        <v>99.81144585802495</v>
      </c>
      <c r="G1249" s="720"/>
      <c r="H1249" s="698"/>
      <c r="I1249" s="746"/>
      <c r="J1249" s="720">
        <f>137686+4600+2500</f>
        <v>144786</v>
      </c>
      <c r="K1249" s="698">
        <v>144513</v>
      </c>
      <c r="L1249" s="744">
        <f t="shared" si="154"/>
        <v>99.81144585802495</v>
      </c>
      <c r="M1249" s="698"/>
      <c r="N1249" s="698"/>
      <c r="O1249" s="766"/>
      <c r="P1249" s="698"/>
      <c r="Q1249" s="698"/>
      <c r="R1249" s="770"/>
      <c r="S1249" s="682"/>
      <c r="T1249" s="682"/>
    </row>
    <row r="1250" spans="1:20" s="756" customFormat="1" ht="27" customHeight="1">
      <c r="A1250" s="764">
        <v>4040</v>
      </c>
      <c r="B1250" s="934" t="s">
        <v>280</v>
      </c>
      <c r="C1250" s="720">
        <v>11201</v>
      </c>
      <c r="D1250" s="698">
        <f t="shared" si="150"/>
        <v>11201</v>
      </c>
      <c r="E1250" s="698">
        <f>H1250+K1250+Q1250+N1250</f>
        <v>11113</v>
      </c>
      <c r="F1250" s="967">
        <f t="shared" si="153"/>
        <v>99.21435586108383</v>
      </c>
      <c r="G1250" s="720"/>
      <c r="H1250" s="698"/>
      <c r="I1250" s="746"/>
      <c r="J1250" s="720">
        <v>11201</v>
      </c>
      <c r="K1250" s="698">
        <f>11113</f>
        <v>11113</v>
      </c>
      <c r="L1250" s="744">
        <f t="shared" si="154"/>
        <v>99.21435586108383</v>
      </c>
      <c r="M1250" s="698"/>
      <c r="N1250" s="698"/>
      <c r="O1250" s="766"/>
      <c r="P1250" s="698"/>
      <c r="Q1250" s="698"/>
      <c r="R1250" s="770"/>
      <c r="S1250" s="682"/>
      <c r="T1250" s="682"/>
    </row>
    <row r="1251" spans="1:20" s="756" customFormat="1" ht="24" customHeight="1">
      <c r="A1251" s="764">
        <v>4110</v>
      </c>
      <c r="B1251" s="934" t="s">
        <v>207</v>
      </c>
      <c r="C1251" s="720">
        <v>21000</v>
      </c>
      <c r="D1251" s="698">
        <f t="shared" si="150"/>
        <v>25400</v>
      </c>
      <c r="E1251" s="698">
        <f t="shared" si="150"/>
        <v>25239</v>
      </c>
      <c r="F1251" s="967">
        <f t="shared" si="153"/>
        <v>99.36614173228347</v>
      </c>
      <c r="G1251" s="720"/>
      <c r="H1251" s="698"/>
      <c r="I1251" s="746"/>
      <c r="J1251" s="720">
        <f>21000+4400</f>
        <v>25400</v>
      </c>
      <c r="K1251" s="698">
        <v>25239</v>
      </c>
      <c r="L1251" s="744">
        <f t="shared" si="154"/>
        <v>99.36614173228347</v>
      </c>
      <c r="M1251" s="698"/>
      <c r="N1251" s="698"/>
      <c r="O1251" s="766"/>
      <c r="P1251" s="698"/>
      <c r="Q1251" s="698"/>
      <c r="R1251" s="770"/>
      <c r="S1251" s="682"/>
      <c r="T1251" s="682"/>
    </row>
    <row r="1252" spans="1:20" s="756" customFormat="1" ht="14.25" customHeight="1">
      <c r="A1252" s="764">
        <v>4120</v>
      </c>
      <c r="B1252" s="934" t="s">
        <v>584</v>
      </c>
      <c r="C1252" s="720">
        <v>3503</v>
      </c>
      <c r="D1252" s="698">
        <f t="shared" si="150"/>
        <v>3803</v>
      </c>
      <c r="E1252" s="698">
        <f t="shared" si="150"/>
        <v>3784</v>
      </c>
      <c r="F1252" s="967">
        <f t="shared" si="153"/>
        <v>99.50039442545359</v>
      </c>
      <c r="G1252" s="720"/>
      <c r="H1252" s="698"/>
      <c r="I1252" s="746"/>
      <c r="J1252" s="720">
        <f>3503+300</f>
        <v>3803</v>
      </c>
      <c r="K1252" s="698">
        <v>3784</v>
      </c>
      <c r="L1252" s="744">
        <f t="shared" si="154"/>
        <v>99.50039442545359</v>
      </c>
      <c r="M1252" s="698"/>
      <c r="N1252" s="698"/>
      <c r="O1252" s="766"/>
      <c r="P1252" s="698"/>
      <c r="Q1252" s="698"/>
      <c r="R1252" s="770"/>
      <c r="S1252" s="682"/>
      <c r="T1252" s="682"/>
    </row>
    <row r="1253" spans="1:20" s="756" customFormat="1" ht="24" hidden="1">
      <c r="A1253" s="764">
        <v>4170</v>
      </c>
      <c r="B1253" s="934" t="s">
        <v>242</v>
      </c>
      <c r="C1253" s="720"/>
      <c r="D1253" s="698">
        <f>G1253+J1253+P1253+M1253</f>
        <v>0</v>
      </c>
      <c r="E1253" s="698">
        <f>H1253+K1253+Q1253+N1253</f>
        <v>0</v>
      </c>
      <c r="F1253" s="967" t="e">
        <f>E1253/D1253*100</f>
        <v>#DIV/0!</v>
      </c>
      <c r="G1253" s="720"/>
      <c r="H1253" s="698"/>
      <c r="I1253" s="746"/>
      <c r="J1253" s="720"/>
      <c r="K1253" s="698"/>
      <c r="L1253" s="744" t="e">
        <f t="shared" si="154"/>
        <v>#DIV/0!</v>
      </c>
      <c r="M1253" s="698"/>
      <c r="N1253" s="698"/>
      <c r="O1253" s="766"/>
      <c r="P1253" s="698"/>
      <c r="Q1253" s="698"/>
      <c r="R1253" s="770"/>
      <c r="S1253" s="682"/>
      <c r="T1253" s="682"/>
    </row>
    <row r="1254" spans="1:20" s="756" customFormat="1" ht="24" customHeight="1">
      <c r="A1254" s="764">
        <v>4210</v>
      </c>
      <c r="B1254" s="934" t="s">
        <v>211</v>
      </c>
      <c r="C1254" s="720">
        <v>3000</v>
      </c>
      <c r="D1254" s="698">
        <f t="shared" si="150"/>
        <v>11100</v>
      </c>
      <c r="E1254" s="698">
        <f t="shared" si="150"/>
        <v>11005</v>
      </c>
      <c r="F1254" s="967">
        <f t="shared" si="153"/>
        <v>99.14414414414414</v>
      </c>
      <c r="G1254" s="720"/>
      <c r="H1254" s="698"/>
      <c r="I1254" s="746"/>
      <c r="J1254" s="720">
        <f>3000+2000+6100</f>
        <v>11100</v>
      </c>
      <c r="K1254" s="698">
        <v>11005</v>
      </c>
      <c r="L1254" s="744">
        <f t="shared" si="154"/>
        <v>99.14414414414414</v>
      </c>
      <c r="M1254" s="698"/>
      <c r="N1254" s="698"/>
      <c r="O1254" s="766"/>
      <c r="P1254" s="698"/>
      <c r="Q1254" s="698"/>
      <c r="R1254" s="770"/>
      <c r="S1254" s="682"/>
      <c r="T1254" s="682"/>
    </row>
    <row r="1255" spans="1:20" s="756" customFormat="1" ht="14.25" customHeight="1">
      <c r="A1255" s="764">
        <v>4220</v>
      </c>
      <c r="B1255" s="934" t="s">
        <v>680</v>
      </c>
      <c r="C1255" s="720">
        <v>6100</v>
      </c>
      <c r="D1255" s="698">
        <f t="shared" si="150"/>
        <v>6100</v>
      </c>
      <c r="E1255" s="698">
        <f t="shared" si="150"/>
        <v>4619</v>
      </c>
      <c r="F1255" s="967">
        <f t="shared" si="153"/>
        <v>75.72131147540983</v>
      </c>
      <c r="G1255" s="720"/>
      <c r="H1255" s="698"/>
      <c r="I1255" s="746"/>
      <c r="J1255" s="720">
        <v>6100</v>
      </c>
      <c r="K1255" s="698">
        <v>4619</v>
      </c>
      <c r="L1255" s="744">
        <f t="shared" si="154"/>
        <v>75.72131147540983</v>
      </c>
      <c r="M1255" s="698"/>
      <c r="N1255" s="698"/>
      <c r="O1255" s="766"/>
      <c r="P1255" s="698"/>
      <c r="Q1255" s="698"/>
      <c r="R1255" s="770"/>
      <c r="S1255" s="682"/>
      <c r="T1255" s="682"/>
    </row>
    <row r="1256" spans="1:20" s="756" customFormat="1" ht="23.25" customHeight="1">
      <c r="A1256" s="764">
        <v>4230</v>
      </c>
      <c r="B1256" s="934" t="s">
        <v>213</v>
      </c>
      <c r="C1256" s="720">
        <v>250</v>
      </c>
      <c r="D1256" s="698">
        <f t="shared" si="150"/>
        <v>250</v>
      </c>
      <c r="E1256" s="698">
        <f t="shared" si="150"/>
        <v>250</v>
      </c>
      <c r="F1256" s="967">
        <f t="shared" si="153"/>
        <v>100</v>
      </c>
      <c r="G1256" s="720"/>
      <c r="H1256" s="698"/>
      <c r="I1256" s="746"/>
      <c r="J1256" s="720">
        <v>250</v>
      </c>
      <c r="K1256" s="698">
        <v>250</v>
      </c>
      <c r="L1256" s="744">
        <f t="shared" si="154"/>
        <v>100</v>
      </c>
      <c r="M1256" s="698"/>
      <c r="N1256" s="698"/>
      <c r="O1256" s="766"/>
      <c r="P1256" s="698"/>
      <c r="Q1256" s="698"/>
      <c r="R1256" s="770"/>
      <c r="S1256" s="682"/>
      <c r="T1256" s="682"/>
    </row>
    <row r="1257" spans="1:20" s="756" customFormat="1" ht="13.5" customHeight="1">
      <c r="A1257" s="764">
        <v>4260</v>
      </c>
      <c r="B1257" s="934" t="s">
        <v>215</v>
      </c>
      <c r="C1257" s="720">
        <v>21000</v>
      </c>
      <c r="D1257" s="698">
        <f t="shared" si="150"/>
        <v>20200</v>
      </c>
      <c r="E1257" s="698">
        <f t="shared" si="150"/>
        <v>20200</v>
      </c>
      <c r="F1257" s="967">
        <f t="shared" si="153"/>
        <v>100</v>
      </c>
      <c r="G1257" s="720"/>
      <c r="H1257" s="698"/>
      <c r="I1257" s="746"/>
      <c r="J1257" s="720">
        <f>21000-800</f>
        <v>20200</v>
      </c>
      <c r="K1257" s="698">
        <v>20200</v>
      </c>
      <c r="L1257" s="744">
        <f t="shared" si="154"/>
        <v>100</v>
      </c>
      <c r="M1257" s="698"/>
      <c r="N1257" s="698"/>
      <c r="O1257" s="766"/>
      <c r="P1257" s="698"/>
      <c r="Q1257" s="698"/>
      <c r="R1257" s="770"/>
      <c r="S1257" s="682"/>
      <c r="T1257" s="682"/>
    </row>
    <row r="1258" spans="1:18" ht="14.25" customHeight="1">
      <c r="A1258" s="764">
        <v>4280</v>
      </c>
      <c r="B1258" s="934" t="s">
        <v>542</v>
      </c>
      <c r="C1258" s="720">
        <v>230</v>
      </c>
      <c r="D1258" s="698">
        <f t="shared" si="150"/>
        <v>230</v>
      </c>
      <c r="E1258" s="698">
        <f>SUM(H1258+K1258+N1258+Q1258)</f>
        <v>43</v>
      </c>
      <c r="F1258" s="699">
        <f t="shared" si="153"/>
        <v>18.695652173913043</v>
      </c>
      <c r="G1258" s="720"/>
      <c r="H1258" s="698"/>
      <c r="I1258" s="746"/>
      <c r="J1258" s="720">
        <v>230</v>
      </c>
      <c r="K1258" s="703">
        <v>43</v>
      </c>
      <c r="L1258" s="744">
        <f t="shared" si="154"/>
        <v>18.695652173913043</v>
      </c>
      <c r="M1258" s="698"/>
      <c r="N1258" s="698"/>
      <c r="O1258" s="766"/>
      <c r="P1258" s="698"/>
      <c r="Q1258" s="698"/>
      <c r="R1258" s="770"/>
    </row>
    <row r="1259" spans="1:20" s="756" customFormat="1" ht="13.5" customHeight="1">
      <c r="A1259" s="764">
        <v>4300</v>
      </c>
      <c r="B1259" s="934" t="s">
        <v>543</v>
      </c>
      <c r="C1259" s="720">
        <v>11600</v>
      </c>
      <c r="D1259" s="698">
        <f t="shared" si="150"/>
        <v>6600</v>
      </c>
      <c r="E1259" s="698">
        <f t="shared" si="150"/>
        <v>6127</v>
      </c>
      <c r="F1259" s="967">
        <f t="shared" si="153"/>
        <v>92.83333333333333</v>
      </c>
      <c r="G1259" s="720"/>
      <c r="H1259" s="698"/>
      <c r="I1259" s="746"/>
      <c r="J1259" s="720">
        <f>11600-5000</f>
        <v>6600</v>
      </c>
      <c r="K1259" s="698">
        <v>6127</v>
      </c>
      <c r="L1259" s="744">
        <f t="shared" si="154"/>
        <v>92.83333333333333</v>
      </c>
      <c r="M1259" s="698"/>
      <c r="N1259" s="698"/>
      <c r="O1259" s="766"/>
      <c r="P1259" s="698"/>
      <c r="Q1259" s="698"/>
      <c r="R1259" s="770"/>
      <c r="S1259" s="682"/>
      <c r="T1259" s="682"/>
    </row>
    <row r="1260" spans="1:20" s="756" customFormat="1" ht="24">
      <c r="A1260" s="764">
        <v>4350</v>
      </c>
      <c r="B1260" s="934" t="s">
        <v>544</v>
      </c>
      <c r="C1260" s="720">
        <v>700</v>
      </c>
      <c r="D1260" s="698">
        <f t="shared" si="150"/>
        <v>700</v>
      </c>
      <c r="E1260" s="698">
        <f t="shared" si="150"/>
        <v>700</v>
      </c>
      <c r="F1260" s="967">
        <f t="shared" si="153"/>
        <v>100</v>
      </c>
      <c r="G1260" s="720"/>
      <c r="H1260" s="698"/>
      <c r="I1260" s="746"/>
      <c r="J1260" s="720">
        <v>700</v>
      </c>
      <c r="K1260" s="698">
        <v>700</v>
      </c>
      <c r="L1260" s="744">
        <f t="shared" si="154"/>
        <v>100</v>
      </c>
      <c r="M1260" s="698"/>
      <c r="N1260" s="698"/>
      <c r="O1260" s="766"/>
      <c r="P1260" s="698"/>
      <c r="Q1260" s="698"/>
      <c r="R1260" s="770"/>
      <c r="S1260" s="682"/>
      <c r="T1260" s="682"/>
    </row>
    <row r="1261" spans="1:20" s="756" customFormat="1" ht="36" customHeight="1">
      <c r="A1261" s="764">
        <v>4370</v>
      </c>
      <c r="B1261" s="828" t="s">
        <v>635</v>
      </c>
      <c r="C1261" s="720">
        <v>1800</v>
      </c>
      <c r="D1261" s="698">
        <f aca="true" t="shared" si="155" ref="D1261:E1278">G1261+J1261+P1261+M1261</f>
        <v>1800</v>
      </c>
      <c r="E1261" s="698">
        <f t="shared" si="155"/>
        <v>1456</v>
      </c>
      <c r="F1261" s="967">
        <f>E1261/D1261*100</f>
        <v>80.88888888888889</v>
      </c>
      <c r="G1261" s="720"/>
      <c r="H1261" s="698"/>
      <c r="I1261" s="746"/>
      <c r="J1261" s="720">
        <v>1800</v>
      </c>
      <c r="K1261" s="698">
        <v>1456</v>
      </c>
      <c r="L1261" s="744">
        <f t="shared" si="154"/>
        <v>80.88888888888889</v>
      </c>
      <c r="M1261" s="698"/>
      <c r="N1261" s="698"/>
      <c r="O1261" s="766"/>
      <c r="P1261" s="698"/>
      <c r="Q1261" s="698"/>
      <c r="R1261" s="770"/>
      <c r="S1261" s="682"/>
      <c r="T1261" s="682"/>
    </row>
    <row r="1262" spans="1:20" s="756" customFormat="1" ht="25.5" customHeight="1">
      <c r="A1262" s="764">
        <v>4400</v>
      </c>
      <c r="B1262" s="828" t="s">
        <v>547</v>
      </c>
      <c r="C1262" s="720">
        <v>14700</v>
      </c>
      <c r="D1262" s="698">
        <f t="shared" si="155"/>
        <v>14700</v>
      </c>
      <c r="E1262" s="698">
        <f t="shared" si="155"/>
        <v>14640</v>
      </c>
      <c r="F1262" s="967">
        <f>E1262/D1262*100</f>
        <v>99.59183673469387</v>
      </c>
      <c r="G1262" s="720"/>
      <c r="H1262" s="698"/>
      <c r="I1262" s="746"/>
      <c r="J1262" s="720">
        <v>14700</v>
      </c>
      <c r="K1262" s="698">
        <v>14640</v>
      </c>
      <c r="L1262" s="744">
        <f t="shared" si="154"/>
        <v>99.59183673469387</v>
      </c>
      <c r="M1262" s="698"/>
      <c r="N1262" s="698"/>
      <c r="O1262" s="766"/>
      <c r="P1262" s="698"/>
      <c r="Q1262" s="698"/>
      <c r="R1262" s="770"/>
      <c r="S1262" s="682"/>
      <c r="T1262" s="682"/>
    </row>
    <row r="1263" spans="1:20" s="756" customFormat="1" ht="13.5" customHeight="1">
      <c r="A1263" s="764">
        <v>4410</v>
      </c>
      <c r="B1263" s="934" t="s">
        <v>193</v>
      </c>
      <c r="C1263" s="720">
        <v>800</v>
      </c>
      <c r="D1263" s="698">
        <f t="shared" si="155"/>
        <v>500</v>
      </c>
      <c r="E1263" s="698">
        <f t="shared" si="155"/>
        <v>491</v>
      </c>
      <c r="F1263" s="967">
        <f>E1263/D1263*100</f>
        <v>98.2</v>
      </c>
      <c r="G1263" s="720"/>
      <c r="H1263" s="698"/>
      <c r="I1263" s="746"/>
      <c r="J1263" s="720">
        <f>800-300</f>
        <v>500</v>
      </c>
      <c r="K1263" s="698">
        <v>491</v>
      </c>
      <c r="L1263" s="744">
        <f t="shared" si="154"/>
        <v>98.2</v>
      </c>
      <c r="M1263" s="698"/>
      <c r="N1263" s="698"/>
      <c r="O1263" s="766"/>
      <c r="P1263" s="698"/>
      <c r="Q1263" s="698"/>
      <c r="R1263" s="770"/>
      <c r="S1263" s="682"/>
      <c r="T1263" s="682"/>
    </row>
    <row r="1264" spans="1:20" s="756" customFormat="1" ht="13.5" customHeight="1" hidden="1">
      <c r="A1264" s="764">
        <v>4430</v>
      </c>
      <c r="B1264" s="934" t="s">
        <v>221</v>
      </c>
      <c r="C1264" s="720"/>
      <c r="D1264" s="698">
        <f t="shared" si="155"/>
        <v>0</v>
      </c>
      <c r="E1264" s="698">
        <f t="shared" si="155"/>
        <v>0</v>
      </c>
      <c r="F1264" s="967" t="e">
        <f t="shared" si="153"/>
        <v>#DIV/0!</v>
      </c>
      <c r="G1264" s="720"/>
      <c r="H1264" s="698"/>
      <c r="I1264" s="746"/>
      <c r="J1264" s="720"/>
      <c r="K1264" s="698"/>
      <c r="L1264" s="744" t="e">
        <f t="shared" si="154"/>
        <v>#DIV/0!</v>
      </c>
      <c r="M1264" s="698"/>
      <c r="N1264" s="698"/>
      <c r="O1264" s="766"/>
      <c r="P1264" s="698"/>
      <c r="Q1264" s="698"/>
      <c r="R1264" s="770"/>
      <c r="S1264" s="682"/>
      <c r="T1264" s="682"/>
    </row>
    <row r="1265" spans="1:20" s="756" customFormat="1" ht="13.5" customHeight="1">
      <c r="A1265" s="764">
        <v>4440</v>
      </c>
      <c r="B1265" s="934" t="s">
        <v>223</v>
      </c>
      <c r="C1265" s="720">
        <v>4875</v>
      </c>
      <c r="D1265" s="698">
        <f t="shared" si="155"/>
        <v>4875</v>
      </c>
      <c r="E1265" s="698">
        <f t="shared" si="155"/>
        <v>4875</v>
      </c>
      <c r="F1265" s="967">
        <f t="shared" si="153"/>
        <v>100</v>
      </c>
      <c r="G1265" s="720"/>
      <c r="H1265" s="698"/>
      <c r="I1265" s="746"/>
      <c r="J1265" s="720">
        <v>4875</v>
      </c>
      <c r="K1265" s="698">
        <v>4875</v>
      </c>
      <c r="L1265" s="744">
        <f t="shared" si="154"/>
        <v>100</v>
      </c>
      <c r="M1265" s="698"/>
      <c r="N1265" s="698"/>
      <c r="O1265" s="766"/>
      <c r="P1265" s="698"/>
      <c r="Q1265" s="698"/>
      <c r="R1265" s="770"/>
      <c r="S1265" s="682"/>
      <c r="T1265" s="682"/>
    </row>
    <row r="1266" spans="1:20" s="756" customFormat="1" ht="48.75" customHeight="1">
      <c r="A1266" s="764">
        <v>4740</v>
      </c>
      <c r="B1266" s="828" t="s">
        <v>235</v>
      </c>
      <c r="C1266" s="703">
        <v>300</v>
      </c>
      <c r="D1266" s="698">
        <f t="shared" si="155"/>
        <v>300</v>
      </c>
      <c r="E1266" s="698">
        <f t="shared" si="155"/>
        <v>300</v>
      </c>
      <c r="F1266" s="967">
        <f>E1266/D1266*100</f>
        <v>100</v>
      </c>
      <c r="G1266" s="720"/>
      <c r="H1266" s="698"/>
      <c r="I1266" s="746"/>
      <c r="J1266" s="703">
        <v>300</v>
      </c>
      <c r="K1266" s="698">
        <v>300</v>
      </c>
      <c r="L1266" s="744">
        <f t="shared" si="154"/>
        <v>100</v>
      </c>
      <c r="M1266" s="698"/>
      <c r="N1266" s="698"/>
      <c r="O1266" s="766"/>
      <c r="P1266" s="698"/>
      <c r="Q1266" s="698"/>
      <c r="R1266" s="770"/>
      <c r="S1266" s="682"/>
      <c r="T1266" s="682"/>
    </row>
    <row r="1267" spans="1:20" s="756" customFormat="1" ht="36">
      <c r="A1267" s="764">
        <v>4750</v>
      </c>
      <c r="B1267" s="828" t="s">
        <v>551</v>
      </c>
      <c r="C1267" s="703">
        <v>500</v>
      </c>
      <c r="D1267" s="698">
        <f t="shared" si="155"/>
        <v>500</v>
      </c>
      <c r="E1267" s="698">
        <f t="shared" si="155"/>
        <v>500</v>
      </c>
      <c r="F1267" s="967">
        <f>E1267/D1267*100</f>
        <v>100</v>
      </c>
      <c r="G1267" s="720"/>
      <c r="H1267" s="698"/>
      <c r="I1267" s="746"/>
      <c r="J1267" s="703">
        <v>500</v>
      </c>
      <c r="K1267" s="698">
        <v>500</v>
      </c>
      <c r="L1267" s="744">
        <f t="shared" si="154"/>
        <v>100</v>
      </c>
      <c r="M1267" s="698"/>
      <c r="N1267" s="698"/>
      <c r="O1267" s="766"/>
      <c r="P1267" s="698"/>
      <c r="Q1267" s="698"/>
      <c r="R1267" s="770"/>
      <c r="S1267" s="682"/>
      <c r="T1267" s="682"/>
    </row>
    <row r="1268" spans="1:20" s="756" customFormat="1" ht="36">
      <c r="A1268" s="757"/>
      <c r="B1268" s="959" t="s">
        <v>326</v>
      </c>
      <c r="C1268" s="725">
        <f>SUM(C1269)</f>
        <v>219000</v>
      </c>
      <c r="D1268" s="712">
        <f t="shared" si="155"/>
        <v>219000</v>
      </c>
      <c r="E1268" s="712">
        <f t="shared" si="155"/>
        <v>218917</v>
      </c>
      <c r="F1268" s="726">
        <f>E1268/D1268*100</f>
        <v>99.962100456621</v>
      </c>
      <c r="G1268" s="725"/>
      <c r="H1268" s="712"/>
      <c r="I1268" s="729"/>
      <c r="J1268" s="717">
        <f>SUM(J1269)</f>
        <v>219000</v>
      </c>
      <c r="K1268" s="712">
        <f>SUM(K1269)</f>
        <v>218917</v>
      </c>
      <c r="L1268" s="925">
        <f t="shared" si="154"/>
        <v>99.962100456621</v>
      </c>
      <c r="M1268" s="712"/>
      <c r="N1268" s="712"/>
      <c r="O1268" s="801"/>
      <c r="P1268" s="712"/>
      <c r="Q1268" s="712"/>
      <c r="R1268" s="802"/>
      <c r="S1268" s="682"/>
      <c r="T1268" s="682"/>
    </row>
    <row r="1269" spans="1:20" s="756" customFormat="1" ht="63.75" customHeight="1">
      <c r="A1269" s="789">
        <v>2820</v>
      </c>
      <c r="B1269" s="790" t="s">
        <v>555</v>
      </c>
      <c r="C1269" s="793">
        <v>219000</v>
      </c>
      <c r="D1269" s="698">
        <f t="shared" si="155"/>
        <v>219000</v>
      </c>
      <c r="E1269" s="698">
        <f t="shared" si="155"/>
        <v>218917</v>
      </c>
      <c r="F1269" s="967">
        <f>E1269/D1269*100</f>
        <v>99.962100456621</v>
      </c>
      <c r="G1269" s="791"/>
      <c r="H1269" s="792"/>
      <c r="I1269" s="746"/>
      <c r="J1269" s="793">
        <v>219000</v>
      </c>
      <c r="K1269" s="792">
        <f>219000-84+1</f>
        <v>218917</v>
      </c>
      <c r="L1269" s="744">
        <f t="shared" si="154"/>
        <v>99.962100456621</v>
      </c>
      <c r="M1269" s="792"/>
      <c r="N1269" s="792"/>
      <c r="O1269" s="806"/>
      <c r="P1269" s="792"/>
      <c r="Q1269" s="792"/>
      <c r="R1269" s="797"/>
      <c r="S1269" s="682"/>
      <c r="T1269" s="682"/>
    </row>
    <row r="1270" spans="1:20" s="756" customFormat="1" ht="15.75" customHeight="1">
      <c r="A1270" s="757">
        <v>85204</v>
      </c>
      <c r="B1270" s="959" t="s">
        <v>817</v>
      </c>
      <c r="C1270" s="725">
        <f>SUM(C1271:C1277)</f>
        <v>3640252</v>
      </c>
      <c r="D1270" s="712">
        <f t="shared" si="155"/>
        <v>3606242</v>
      </c>
      <c r="E1270" s="712">
        <f t="shared" si="155"/>
        <v>2847951</v>
      </c>
      <c r="F1270" s="960">
        <f t="shared" si="153"/>
        <v>78.97281990504243</v>
      </c>
      <c r="G1270" s="725"/>
      <c r="H1270" s="712"/>
      <c r="I1270" s="846"/>
      <c r="J1270" s="717"/>
      <c r="K1270" s="712"/>
      <c r="L1270" s="718"/>
      <c r="M1270" s="712">
        <f>SUM(M1271:M1277)</f>
        <v>3606242</v>
      </c>
      <c r="N1270" s="712">
        <f>SUM(N1271:N1277)</f>
        <v>2847951</v>
      </c>
      <c r="O1270" s="719">
        <f>N1270/M1270*100</f>
        <v>78.97281990504243</v>
      </c>
      <c r="P1270" s="712"/>
      <c r="Q1270" s="712"/>
      <c r="R1270" s="846"/>
      <c r="S1270" s="682"/>
      <c r="T1270" s="682"/>
    </row>
    <row r="1271" spans="1:18" ht="63" customHeight="1">
      <c r="A1271" s="764">
        <v>2320</v>
      </c>
      <c r="B1271" s="934" t="s">
        <v>599</v>
      </c>
      <c r="C1271" s="720">
        <v>123500</v>
      </c>
      <c r="D1271" s="698">
        <f t="shared" si="155"/>
        <v>133800</v>
      </c>
      <c r="E1271" s="698">
        <f aca="true" t="shared" si="156" ref="E1271:E1301">SUM(H1271+K1271+N1271+Q1271)</f>
        <v>131558</v>
      </c>
      <c r="F1271" s="967">
        <f t="shared" si="153"/>
        <v>98.32436472346787</v>
      </c>
      <c r="G1271" s="720"/>
      <c r="H1271" s="698"/>
      <c r="I1271" s="770"/>
      <c r="J1271" s="703"/>
      <c r="K1271" s="698"/>
      <c r="L1271" s="704"/>
      <c r="M1271" s="720">
        <f>123500+6300+4000</f>
        <v>133800</v>
      </c>
      <c r="N1271" s="732">
        <v>131558</v>
      </c>
      <c r="O1271" s="702">
        <f aca="true" t="shared" si="157" ref="O1271:O1277">N1271/M1271*100</f>
        <v>98.32436472346787</v>
      </c>
      <c r="P1271" s="698"/>
      <c r="Q1271" s="698"/>
      <c r="R1271" s="770"/>
    </row>
    <row r="1272" spans="1:20" s="756" customFormat="1" ht="13.5" customHeight="1">
      <c r="A1272" s="764">
        <v>3110</v>
      </c>
      <c r="B1272" s="934" t="s">
        <v>713</v>
      </c>
      <c r="C1272" s="720">
        <v>3047578</v>
      </c>
      <c r="D1272" s="698">
        <f t="shared" si="155"/>
        <v>3003268</v>
      </c>
      <c r="E1272" s="698">
        <f t="shared" si="156"/>
        <v>2302713</v>
      </c>
      <c r="F1272" s="967">
        <f t="shared" si="153"/>
        <v>76.67357691687855</v>
      </c>
      <c r="G1272" s="720"/>
      <c r="H1272" s="698"/>
      <c r="I1272" s="770"/>
      <c r="J1272" s="703"/>
      <c r="K1272" s="698"/>
      <c r="L1272" s="704"/>
      <c r="M1272" s="720">
        <f>3047578-10000-5300-29010</f>
        <v>3003268</v>
      </c>
      <c r="N1272" s="698">
        <v>2302713</v>
      </c>
      <c r="O1272" s="702">
        <f t="shared" si="157"/>
        <v>76.67357691687855</v>
      </c>
      <c r="P1272" s="698"/>
      <c r="Q1272" s="698"/>
      <c r="R1272" s="770"/>
      <c r="S1272" s="682"/>
      <c r="T1272" s="682"/>
    </row>
    <row r="1273" spans="1:20" s="756" customFormat="1" ht="27" customHeight="1">
      <c r="A1273" s="764">
        <v>4110</v>
      </c>
      <c r="B1273" s="934" t="s">
        <v>207</v>
      </c>
      <c r="C1273" s="720">
        <v>57325</v>
      </c>
      <c r="D1273" s="698">
        <f t="shared" si="155"/>
        <v>57325</v>
      </c>
      <c r="E1273" s="698">
        <f t="shared" si="156"/>
        <v>49098</v>
      </c>
      <c r="F1273" s="967">
        <f t="shared" si="153"/>
        <v>85.64849542084605</v>
      </c>
      <c r="G1273" s="720"/>
      <c r="H1273" s="698"/>
      <c r="I1273" s="770"/>
      <c r="J1273" s="703"/>
      <c r="K1273" s="698"/>
      <c r="L1273" s="704"/>
      <c r="M1273" s="720">
        <v>57325</v>
      </c>
      <c r="N1273" s="698">
        <f>49097+1</f>
        <v>49098</v>
      </c>
      <c r="O1273" s="702">
        <f t="shared" si="157"/>
        <v>85.64849542084605</v>
      </c>
      <c r="P1273" s="698"/>
      <c r="Q1273" s="698"/>
      <c r="R1273" s="770"/>
      <c r="S1273" s="682"/>
      <c r="T1273" s="682"/>
    </row>
    <row r="1274" spans="1:20" s="756" customFormat="1" ht="15" customHeight="1">
      <c r="A1274" s="764">
        <v>4120</v>
      </c>
      <c r="B1274" s="934" t="s">
        <v>588</v>
      </c>
      <c r="C1274" s="720">
        <v>9849</v>
      </c>
      <c r="D1274" s="698">
        <f t="shared" si="155"/>
        <v>9849</v>
      </c>
      <c r="E1274" s="698">
        <f t="shared" si="156"/>
        <v>7367</v>
      </c>
      <c r="F1274" s="967">
        <f t="shared" si="153"/>
        <v>74.79947202761701</v>
      </c>
      <c r="G1274" s="720"/>
      <c r="H1274" s="698"/>
      <c r="I1274" s="770"/>
      <c r="J1274" s="703"/>
      <c r="K1274" s="698"/>
      <c r="L1274" s="704"/>
      <c r="M1274" s="720">
        <v>9849</v>
      </c>
      <c r="N1274" s="698">
        <v>7367</v>
      </c>
      <c r="O1274" s="702">
        <f t="shared" si="157"/>
        <v>74.79947202761701</v>
      </c>
      <c r="P1274" s="698"/>
      <c r="Q1274" s="698"/>
      <c r="R1274" s="770"/>
      <c r="S1274" s="682"/>
      <c r="T1274" s="682"/>
    </row>
    <row r="1275" spans="1:20" s="756" customFormat="1" ht="24">
      <c r="A1275" s="764">
        <v>4170</v>
      </c>
      <c r="B1275" s="934" t="s">
        <v>242</v>
      </c>
      <c r="C1275" s="720">
        <v>402000</v>
      </c>
      <c r="D1275" s="698">
        <f t="shared" si="155"/>
        <v>402000</v>
      </c>
      <c r="E1275" s="698">
        <f t="shared" si="156"/>
        <v>357215</v>
      </c>
      <c r="F1275" s="699">
        <f t="shared" si="153"/>
        <v>88.85945273631842</v>
      </c>
      <c r="G1275" s="720"/>
      <c r="H1275" s="698"/>
      <c r="I1275" s="770"/>
      <c r="J1275" s="703"/>
      <c r="K1275" s="698"/>
      <c r="L1275" s="704"/>
      <c r="M1275" s="720">
        <v>402000</v>
      </c>
      <c r="N1275" s="698">
        <v>357215</v>
      </c>
      <c r="O1275" s="702">
        <f t="shared" si="157"/>
        <v>88.85945273631842</v>
      </c>
      <c r="P1275" s="698"/>
      <c r="Q1275" s="698"/>
      <c r="R1275" s="770"/>
      <c r="S1275" s="682"/>
      <c r="T1275" s="682"/>
    </row>
    <row r="1276" spans="1:20" s="756" customFormat="1" ht="12.75" hidden="1">
      <c r="A1276" s="764">
        <v>4580</v>
      </c>
      <c r="B1276" s="828" t="s">
        <v>244</v>
      </c>
      <c r="C1276" s="720"/>
      <c r="D1276" s="792">
        <f t="shared" si="155"/>
        <v>0</v>
      </c>
      <c r="E1276" s="792">
        <f t="shared" si="156"/>
        <v>0</v>
      </c>
      <c r="F1276" s="761" t="e">
        <f t="shared" si="153"/>
        <v>#DIV/0!</v>
      </c>
      <c r="G1276" s="720"/>
      <c r="H1276" s="698"/>
      <c r="I1276" s="770"/>
      <c r="J1276" s="703"/>
      <c r="K1276" s="698"/>
      <c r="L1276" s="704"/>
      <c r="M1276" s="720"/>
      <c r="N1276" s="698"/>
      <c r="O1276" s="702" t="e">
        <f t="shared" si="157"/>
        <v>#DIV/0!</v>
      </c>
      <c r="P1276" s="698"/>
      <c r="Q1276" s="698"/>
      <c r="R1276" s="770"/>
      <c r="S1276" s="682"/>
      <c r="T1276" s="682"/>
    </row>
    <row r="1277" spans="1:20" s="756" customFormat="1" ht="24" hidden="1">
      <c r="A1277" s="789">
        <v>4330</v>
      </c>
      <c r="B1277" s="981" t="s">
        <v>810</v>
      </c>
      <c r="C1277" s="791"/>
      <c r="D1277" s="792">
        <f t="shared" si="155"/>
        <v>0</v>
      </c>
      <c r="E1277" s="792">
        <f t="shared" si="156"/>
        <v>0</v>
      </c>
      <c r="F1277" s="1005" t="e">
        <f>E1277/D1277*100</f>
        <v>#DIV/0!</v>
      </c>
      <c r="G1277" s="791"/>
      <c r="H1277" s="792"/>
      <c r="I1277" s="797"/>
      <c r="J1277" s="793"/>
      <c r="K1277" s="792"/>
      <c r="L1277" s="794"/>
      <c r="M1277" s="791"/>
      <c r="N1277" s="792"/>
      <c r="O1277" s="702" t="e">
        <f t="shared" si="157"/>
        <v>#DIV/0!</v>
      </c>
      <c r="P1277" s="792"/>
      <c r="Q1277" s="792"/>
      <c r="R1277" s="797"/>
      <c r="S1277" s="682"/>
      <c r="T1277" s="682"/>
    </row>
    <row r="1278" spans="1:18" ht="84">
      <c r="A1278" s="757">
        <v>85212</v>
      </c>
      <c r="B1278" s="959" t="s">
        <v>327</v>
      </c>
      <c r="C1278" s="725">
        <f>SUM(C1279:C1301)</f>
        <v>20236635</v>
      </c>
      <c r="D1278" s="712">
        <f t="shared" si="155"/>
        <v>17443518</v>
      </c>
      <c r="E1278" s="712">
        <f t="shared" si="156"/>
        <v>17386531</v>
      </c>
      <c r="F1278" s="1006">
        <f aca="true" t="shared" si="158" ref="F1278:F1307">E1278/D1278*100</f>
        <v>99.67330557975748</v>
      </c>
      <c r="G1278" s="725">
        <f>SUM(G1279:G1301)</f>
        <v>474518</v>
      </c>
      <c r="H1278" s="712">
        <f>SUM(H1279:H1301)</f>
        <v>464030</v>
      </c>
      <c r="I1278" s="854">
        <f>H1278/G1278*100</f>
        <v>97.7897571851858</v>
      </c>
      <c r="J1278" s="717">
        <f>SUM(J1279:J1301)</f>
        <v>16969000</v>
      </c>
      <c r="K1278" s="712">
        <f>SUM(K1279:K1301)</f>
        <v>16922501</v>
      </c>
      <c r="L1278" s="742">
        <f>K1278/J1278*100</f>
        <v>99.72597678118923</v>
      </c>
      <c r="M1278" s="712"/>
      <c r="N1278" s="712"/>
      <c r="O1278" s="801"/>
      <c r="P1278" s="712"/>
      <c r="Q1278" s="712"/>
      <c r="R1278" s="802"/>
    </row>
    <row r="1279" spans="1:20" s="756" customFormat="1" ht="36">
      <c r="A1279" s="764">
        <v>3020</v>
      </c>
      <c r="B1279" s="934" t="s">
        <v>279</v>
      </c>
      <c r="C1279" s="723">
        <v>2000</v>
      </c>
      <c r="D1279" s="732">
        <f aca="true" t="shared" si="159" ref="D1279:E1310">G1279+J1279+P1279+M1279</f>
        <v>2000</v>
      </c>
      <c r="E1279" s="732">
        <f t="shared" si="156"/>
        <v>438</v>
      </c>
      <c r="F1279" s="786">
        <f t="shared" si="158"/>
        <v>21.9</v>
      </c>
      <c r="G1279" s="723"/>
      <c r="H1279" s="732"/>
      <c r="I1279" s="740"/>
      <c r="J1279" s="723">
        <v>2000</v>
      </c>
      <c r="K1279" s="732">
        <f>438</f>
        <v>438</v>
      </c>
      <c r="L1279" s="745">
        <f>K1279/J1279*100</f>
        <v>21.9</v>
      </c>
      <c r="M1279" s="732"/>
      <c r="N1279" s="732"/>
      <c r="O1279" s="803"/>
      <c r="P1279" s="732"/>
      <c r="Q1279" s="732"/>
      <c r="R1279" s="788"/>
      <c r="S1279" s="682"/>
      <c r="T1279" s="682"/>
    </row>
    <row r="1280" spans="1:20" s="756" customFormat="1" ht="16.5" customHeight="1">
      <c r="A1280" s="764">
        <v>3110</v>
      </c>
      <c r="B1280" s="934" t="s">
        <v>713</v>
      </c>
      <c r="C1280" s="720">
        <v>19177250</v>
      </c>
      <c r="D1280" s="698">
        <f t="shared" si="159"/>
        <v>16309930</v>
      </c>
      <c r="E1280" s="698">
        <f>SUM(H1280+K1280+N1280+Q1280)</f>
        <v>16265163</v>
      </c>
      <c r="F1280" s="744">
        <f>E1280/D1280*100</f>
        <v>99.7255230402583</v>
      </c>
      <c r="G1280" s="720"/>
      <c r="H1280" s="698"/>
      <c r="I1280" s="746"/>
      <c r="J1280" s="720">
        <f>19177250-1703320-1164000</f>
        <v>16309930</v>
      </c>
      <c r="K1280" s="703">
        <v>16265163</v>
      </c>
      <c r="L1280" s="745">
        <f>K1280/J1280*100</f>
        <v>99.7255230402583</v>
      </c>
      <c r="M1280" s="698"/>
      <c r="N1280" s="698"/>
      <c r="O1280" s="766"/>
      <c r="P1280" s="698"/>
      <c r="Q1280" s="698"/>
      <c r="R1280" s="770"/>
      <c r="S1280" s="682"/>
      <c r="T1280" s="682"/>
    </row>
    <row r="1281" spans="1:20" s="756" customFormat="1" ht="26.25" customHeight="1">
      <c r="A1281" s="764">
        <v>4010</v>
      </c>
      <c r="B1281" s="934" t="s">
        <v>201</v>
      </c>
      <c r="C1281" s="720">
        <v>626005</v>
      </c>
      <c r="D1281" s="698">
        <f t="shared" si="159"/>
        <v>657135</v>
      </c>
      <c r="E1281" s="698">
        <f t="shared" si="156"/>
        <v>657135</v>
      </c>
      <c r="F1281" s="744">
        <f t="shared" si="158"/>
        <v>100</v>
      </c>
      <c r="G1281" s="720">
        <f>176005+52680+31130</f>
        <v>259815</v>
      </c>
      <c r="H1281" s="698">
        <v>259815</v>
      </c>
      <c r="I1281" s="699">
        <f aca="true" t="shared" si="160" ref="I1281:I1288">H1281/G1281*100</f>
        <v>100</v>
      </c>
      <c r="J1281" s="720">
        <f>450000-52680</f>
        <v>397320</v>
      </c>
      <c r="K1281" s="703">
        <v>397320</v>
      </c>
      <c r="L1281" s="745">
        <f>K1281/J1281*100</f>
        <v>100</v>
      </c>
      <c r="M1281" s="698"/>
      <c r="N1281" s="698"/>
      <c r="O1281" s="766"/>
      <c r="P1281" s="698"/>
      <c r="Q1281" s="698"/>
      <c r="R1281" s="770"/>
      <c r="S1281" s="682"/>
      <c r="T1281" s="682"/>
    </row>
    <row r="1282" spans="1:20" s="756" customFormat="1" ht="24">
      <c r="A1282" s="764">
        <v>4040</v>
      </c>
      <c r="B1282" s="934" t="s">
        <v>818</v>
      </c>
      <c r="C1282" s="720">
        <v>41800</v>
      </c>
      <c r="D1282" s="698">
        <f t="shared" si="159"/>
        <v>32453</v>
      </c>
      <c r="E1282" s="698">
        <f t="shared" si="156"/>
        <v>32453</v>
      </c>
      <c r="F1282" s="744">
        <f t="shared" si="158"/>
        <v>100</v>
      </c>
      <c r="G1282" s="720">
        <f>41800-9347</f>
        <v>32453</v>
      </c>
      <c r="H1282" s="698">
        <f>32454-1</f>
        <v>32453</v>
      </c>
      <c r="I1282" s="699">
        <f t="shared" si="160"/>
        <v>100</v>
      </c>
      <c r="J1282" s="720"/>
      <c r="K1282" s="703"/>
      <c r="L1282" s="745"/>
      <c r="M1282" s="698"/>
      <c r="N1282" s="698"/>
      <c r="O1282" s="766"/>
      <c r="P1282" s="698"/>
      <c r="Q1282" s="698"/>
      <c r="R1282" s="770"/>
      <c r="S1282" s="682"/>
      <c r="T1282" s="682"/>
    </row>
    <row r="1283" spans="1:20" s="756" customFormat="1" ht="24" customHeight="1">
      <c r="A1283" s="764">
        <v>4110</v>
      </c>
      <c r="B1283" s="934" t="s">
        <v>207</v>
      </c>
      <c r="C1283" s="720">
        <v>246500</v>
      </c>
      <c r="D1283" s="698">
        <f t="shared" si="159"/>
        <v>257165</v>
      </c>
      <c r="E1283" s="698">
        <f t="shared" si="156"/>
        <v>257165</v>
      </c>
      <c r="F1283" s="744">
        <f t="shared" si="158"/>
        <v>100</v>
      </c>
      <c r="G1283" s="720">
        <f>24400+10665</f>
        <v>35065</v>
      </c>
      <c r="H1283" s="698">
        <v>35065</v>
      </c>
      <c r="I1283" s="699">
        <f t="shared" si="160"/>
        <v>100</v>
      </c>
      <c r="J1283" s="720">
        <v>222100</v>
      </c>
      <c r="K1283" s="703">
        <v>222100</v>
      </c>
      <c r="L1283" s="745">
        <f aca="true" t="shared" si="161" ref="L1283:L1306">K1283/J1283*100</f>
        <v>100</v>
      </c>
      <c r="M1283" s="698"/>
      <c r="N1283" s="698"/>
      <c r="O1283" s="766"/>
      <c r="P1283" s="698"/>
      <c r="Q1283" s="698"/>
      <c r="R1283" s="770"/>
      <c r="S1283" s="682"/>
      <c r="T1283" s="682"/>
    </row>
    <row r="1284" spans="1:20" s="756" customFormat="1" ht="12.75">
      <c r="A1284" s="764">
        <v>4120</v>
      </c>
      <c r="B1284" s="934" t="s">
        <v>584</v>
      </c>
      <c r="C1284" s="720">
        <v>14730</v>
      </c>
      <c r="D1284" s="698">
        <f t="shared" si="159"/>
        <v>16075</v>
      </c>
      <c r="E1284" s="698">
        <f t="shared" si="156"/>
        <v>14140</v>
      </c>
      <c r="F1284" s="744">
        <f t="shared" si="158"/>
        <v>87.96267496111975</v>
      </c>
      <c r="G1284" s="720">
        <f>3730+1345</f>
        <v>5075</v>
      </c>
      <c r="H1284" s="698">
        <v>3140</v>
      </c>
      <c r="I1284" s="699">
        <f t="shared" si="160"/>
        <v>61.87192118226601</v>
      </c>
      <c r="J1284" s="720">
        <v>11000</v>
      </c>
      <c r="K1284" s="703">
        <v>11000</v>
      </c>
      <c r="L1284" s="745">
        <f t="shared" si="161"/>
        <v>100</v>
      </c>
      <c r="M1284" s="698"/>
      <c r="N1284" s="698"/>
      <c r="O1284" s="766"/>
      <c r="P1284" s="698"/>
      <c r="Q1284" s="698"/>
      <c r="R1284" s="770"/>
      <c r="S1284" s="682"/>
      <c r="T1284" s="682"/>
    </row>
    <row r="1285" spans="1:20" s="756" customFormat="1" ht="24" hidden="1">
      <c r="A1285" s="764">
        <v>4170</v>
      </c>
      <c r="B1285" s="934" t="s">
        <v>242</v>
      </c>
      <c r="C1285" s="720"/>
      <c r="D1285" s="698">
        <f t="shared" si="159"/>
        <v>0</v>
      </c>
      <c r="E1285" s="698">
        <f t="shared" si="156"/>
        <v>0</v>
      </c>
      <c r="F1285" s="744" t="e">
        <f t="shared" si="158"/>
        <v>#DIV/0!</v>
      </c>
      <c r="G1285" s="720">
        <f>8000-8000</f>
        <v>0</v>
      </c>
      <c r="H1285" s="698"/>
      <c r="I1285" s="699" t="e">
        <f t="shared" si="160"/>
        <v>#DIV/0!</v>
      </c>
      <c r="J1285" s="720"/>
      <c r="K1285" s="703"/>
      <c r="L1285" s="745"/>
      <c r="M1285" s="698"/>
      <c r="N1285" s="698"/>
      <c r="O1285" s="766"/>
      <c r="P1285" s="698"/>
      <c r="Q1285" s="698"/>
      <c r="R1285" s="770"/>
      <c r="S1285" s="682"/>
      <c r="T1285" s="682"/>
    </row>
    <row r="1286" spans="1:20" s="756" customFormat="1" ht="24">
      <c r="A1286" s="764">
        <v>4210</v>
      </c>
      <c r="B1286" s="934" t="s">
        <v>211</v>
      </c>
      <c r="C1286" s="720">
        <v>16250</v>
      </c>
      <c r="D1286" s="698">
        <f t="shared" si="159"/>
        <v>16250</v>
      </c>
      <c r="E1286" s="698">
        <f t="shared" si="156"/>
        <v>11884</v>
      </c>
      <c r="F1286" s="744">
        <f t="shared" si="158"/>
        <v>73.13230769230769</v>
      </c>
      <c r="G1286" s="720">
        <v>11500</v>
      </c>
      <c r="H1286" s="698">
        <v>7134</v>
      </c>
      <c r="I1286" s="699">
        <f t="shared" si="160"/>
        <v>62.03478260869565</v>
      </c>
      <c r="J1286" s="720">
        <v>4750</v>
      </c>
      <c r="K1286" s="703">
        <v>4750</v>
      </c>
      <c r="L1286" s="745">
        <f t="shared" si="161"/>
        <v>100</v>
      </c>
      <c r="M1286" s="698"/>
      <c r="N1286" s="698"/>
      <c r="O1286" s="766"/>
      <c r="P1286" s="698"/>
      <c r="Q1286" s="698"/>
      <c r="R1286" s="770"/>
      <c r="S1286" s="682"/>
      <c r="T1286" s="682"/>
    </row>
    <row r="1287" spans="1:20" s="756" customFormat="1" ht="12.75">
      <c r="A1287" s="764">
        <v>4260</v>
      </c>
      <c r="B1287" s="934" t="s">
        <v>215</v>
      </c>
      <c r="C1287" s="720">
        <v>24070</v>
      </c>
      <c r="D1287" s="698">
        <f t="shared" si="159"/>
        <v>28900</v>
      </c>
      <c r="E1287" s="698">
        <f t="shared" si="156"/>
        <v>28900</v>
      </c>
      <c r="F1287" s="744">
        <f t="shared" si="158"/>
        <v>100</v>
      </c>
      <c r="G1287" s="720">
        <f>4070+4830+16950</f>
        <v>25850</v>
      </c>
      <c r="H1287" s="698">
        <v>25850</v>
      </c>
      <c r="I1287" s="699">
        <f t="shared" si="160"/>
        <v>100</v>
      </c>
      <c r="J1287" s="720">
        <f>20000-16950</f>
        <v>3050</v>
      </c>
      <c r="K1287" s="703">
        <v>3050</v>
      </c>
      <c r="L1287" s="745">
        <f t="shared" si="161"/>
        <v>100</v>
      </c>
      <c r="M1287" s="698"/>
      <c r="N1287" s="698"/>
      <c r="O1287" s="766"/>
      <c r="P1287" s="698"/>
      <c r="Q1287" s="698"/>
      <c r="R1287" s="770"/>
      <c r="S1287" s="682"/>
      <c r="T1287" s="682"/>
    </row>
    <row r="1288" spans="1:20" s="756" customFormat="1" ht="24" hidden="1">
      <c r="A1288" s="764">
        <v>4270</v>
      </c>
      <c r="B1288" s="934" t="s">
        <v>217</v>
      </c>
      <c r="C1288" s="720"/>
      <c r="D1288" s="698">
        <f t="shared" si="159"/>
        <v>0</v>
      </c>
      <c r="E1288" s="698">
        <f>SUM(H1288+K1288+N1288+Q1288)</f>
        <v>0</v>
      </c>
      <c r="F1288" s="744" t="e">
        <f>E1288/D1288*100</f>
        <v>#DIV/0!</v>
      </c>
      <c r="G1288" s="720"/>
      <c r="H1288" s="698"/>
      <c r="I1288" s="699" t="e">
        <f t="shared" si="160"/>
        <v>#DIV/0!</v>
      </c>
      <c r="J1288" s="720"/>
      <c r="K1288" s="703"/>
      <c r="L1288" s="745" t="e">
        <f t="shared" si="161"/>
        <v>#DIV/0!</v>
      </c>
      <c r="M1288" s="698"/>
      <c r="N1288" s="698"/>
      <c r="O1288" s="766"/>
      <c r="P1288" s="698"/>
      <c r="Q1288" s="698"/>
      <c r="R1288" s="770"/>
      <c r="S1288" s="682"/>
      <c r="T1288" s="682"/>
    </row>
    <row r="1289" spans="1:20" s="756" customFormat="1" ht="15.75" customHeight="1">
      <c r="A1289" s="764">
        <v>4280</v>
      </c>
      <c r="B1289" s="934" t="s">
        <v>542</v>
      </c>
      <c r="C1289" s="720">
        <v>1000</v>
      </c>
      <c r="D1289" s="698">
        <f t="shared" si="159"/>
        <v>1000</v>
      </c>
      <c r="E1289" s="698">
        <f t="shared" si="156"/>
        <v>842</v>
      </c>
      <c r="F1289" s="744">
        <f t="shared" si="158"/>
        <v>84.2</v>
      </c>
      <c r="G1289" s="720"/>
      <c r="H1289" s="698"/>
      <c r="I1289" s="746"/>
      <c r="J1289" s="720">
        <v>1000</v>
      </c>
      <c r="K1289" s="703">
        <v>842</v>
      </c>
      <c r="L1289" s="745">
        <f t="shared" si="161"/>
        <v>84.2</v>
      </c>
      <c r="M1289" s="698"/>
      <c r="N1289" s="698"/>
      <c r="O1289" s="766"/>
      <c r="P1289" s="698"/>
      <c r="Q1289" s="698"/>
      <c r="R1289" s="770"/>
      <c r="S1289" s="682"/>
      <c r="T1289" s="682"/>
    </row>
    <row r="1290" spans="1:20" s="756" customFormat="1" ht="18.75" customHeight="1">
      <c r="A1290" s="764">
        <v>4300</v>
      </c>
      <c r="B1290" s="934" t="s">
        <v>543</v>
      </c>
      <c r="C1290" s="720">
        <v>45880</v>
      </c>
      <c r="D1290" s="698">
        <f t="shared" si="159"/>
        <v>72510</v>
      </c>
      <c r="E1290" s="698">
        <f t="shared" si="156"/>
        <v>70209</v>
      </c>
      <c r="F1290" s="744">
        <f t="shared" si="158"/>
        <v>96.82664460074473</v>
      </c>
      <c r="G1290" s="720">
        <f>32580+26630</f>
        <v>59210</v>
      </c>
      <c r="H1290" s="698">
        <f>56910-1</f>
        <v>56909</v>
      </c>
      <c r="I1290" s="699">
        <f>H1290/G1290*100</f>
        <v>96.1138321229522</v>
      </c>
      <c r="J1290" s="720">
        <v>13300</v>
      </c>
      <c r="K1290" s="703">
        <v>13300</v>
      </c>
      <c r="L1290" s="745">
        <f t="shared" si="161"/>
        <v>100</v>
      </c>
      <c r="M1290" s="698"/>
      <c r="N1290" s="698"/>
      <c r="O1290" s="766"/>
      <c r="P1290" s="698"/>
      <c r="Q1290" s="698"/>
      <c r="R1290" s="770"/>
      <c r="S1290" s="682"/>
      <c r="T1290" s="682"/>
    </row>
    <row r="1291" spans="1:20" s="756" customFormat="1" ht="24" hidden="1">
      <c r="A1291" s="764">
        <v>4350</v>
      </c>
      <c r="B1291" s="934" t="s">
        <v>544</v>
      </c>
      <c r="C1291" s="720"/>
      <c r="D1291" s="698">
        <f t="shared" si="159"/>
        <v>0</v>
      </c>
      <c r="E1291" s="698">
        <f t="shared" si="156"/>
        <v>0</v>
      </c>
      <c r="F1291" s="744" t="e">
        <f t="shared" si="158"/>
        <v>#DIV/0!</v>
      </c>
      <c r="G1291" s="720"/>
      <c r="H1291" s="698"/>
      <c r="I1291" s="746" t="e">
        <f>H1291/G1291*100</f>
        <v>#DIV/0!</v>
      </c>
      <c r="J1291" s="720"/>
      <c r="K1291" s="703"/>
      <c r="L1291" s="745" t="e">
        <f t="shared" si="161"/>
        <v>#DIV/0!</v>
      </c>
      <c r="M1291" s="698"/>
      <c r="N1291" s="698"/>
      <c r="O1291" s="766"/>
      <c r="P1291" s="698"/>
      <c r="Q1291" s="698"/>
      <c r="R1291" s="770"/>
      <c r="S1291" s="682"/>
      <c r="T1291" s="682"/>
    </row>
    <row r="1292" spans="1:20" s="756" customFormat="1" ht="48" hidden="1">
      <c r="A1292" s="764">
        <v>4370</v>
      </c>
      <c r="B1292" s="934" t="s">
        <v>546</v>
      </c>
      <c r="C1292" s="720"/>
      <c r="D1292" s="698">
        <f t="shared" si="159"/>
        <v>0</v>
      </c>
      <c r="E1292" s="698">
        <f t="shared" si="156"/>
        <v>0</v>
      </c>
      <c r="F1292" s="744" t="e">
        <f t="shared" si="158"/>
        <v>#DIV/0!</v>
      </c>
      <c r="G1292" s="720"/>
      <c r="H1292" s="698"/>
      <c r="I1292" s="746" t="e">
        <f>H1292/G1292*100</f>
        <v>#DIV/0!</v>
      </c>
      <c r="J1292" s="720"/>
      <c r="K1292" s="703"/>
      <c r="L1292" s="745" t="e">
        <f t="shared" si="161"/>
        <v>#DIV/0!</v>
      </c>
      <c r="M1292" s="698"/>
      <c r="N1292" s="698"/>
      <c r="O1292" s="766"/>
      <c r="P1292" s="698"/>
      <c r="Q1292" s="698"/>
      <c r="R1292" s="770"/>
      <c r="S1292" s="682"/>
      <c r="T1292" s="682"/>
    </row>
    <row r="1293" spans="1:20" s="756" customFormat="1" ht="14.25" customHeight="1">
      <c r="A1293" s="764">
        <v>4410</v>
      </c>
      <c r="B1293" s="934" t="s">
        <v>193</v>
      </c>
      <c r="C1293" s="720">
        <v>1500</v>
      </c>
      <c r="D1293" s="698">
        <f t="shared" si="159"/>
        <v>1500</v>
      </c>
      <c r="E1293" s="698">
        <f t="shared" si="156"/>
        <v>1488</v>
      </c>
      <c r="F1293" s="744">
        <f t="shared" si="158"/>
        <v>99.2</v>
      </c>
      <c r="G1293" s="720"/>
      <c r="H1293" s="698"/>
      <c r="I1293" s="746"/>
      <c r="J1293" s="720">
        <v>1500</v>
      </c>
      <c r="K1293" s="703">
        <v>1488</v>
      </c>
      <c r="L1293" s="745">
        <f t="shared" si="161"/>
        <v>99.2</v>
      </c>
      <c r="M1293" s="698"/>
      <c r="N1293" s="698"/>
      <c r="O1293" s="766"/>
      <c r="P1293" s="698"/>
      <c r="Q1293" s="698"/>
      <c r="R1293" s="770"/>
      <c r="S1293" s="682"/>
      <c r="T1293" s="682"/>
    </row>
    <row r="1294" spans="1:20" s="756" customFormat="1" ht="15" customHeight="1">
      <c r="A1294" s="764">
        <v>4440</v>
      </c>
      <c r="B1294" s="934" t="s">
        <v>683</v>
      </c>
      <c r="C1294" s="720">
        <v>17550</v>
      </c>
      <c r="D1294" s="698">
        <f t="shared" si="159"/>
        <v>25000</v>
      </c>
      <c r="E1294" s="698">
        <f t="shared" si="156"/>
        <v>25000</v>
      </c>
      <c r="F1294" s="744">
        <f t="shared" si="158"/>
        <v>100</v>
      </c>
      <c r="G1294" s="720">
        <f>17550+7450</f>
        <v>25000</v>
      </c>
      <c r="H1294" s="698">
        <v>25000</v>
      </c>
      <c r="I1294" s="699">
        <f>H1294/G1294*100</f>
        <v>100</v>
      </c>
      <c r="J1294" s="720"/>
      <c r="K1294" s="703"/>
      <c r="L1294" s="745"/>
      <c r="M1294" s="698"/>
      <c r="N1294" s="698"/>
      <c r="O1294" s="766"/>
      <c r="P1294" s="698"/>
      <c r="Q1294" s="698"/>
      <c r="R1294" s="770"/>
      <c r="S1294" s="682"/>
      <c r="T1294" s="682"/>
    </row>
    <row r="1295" spans="1:20" s="756" customFormat="1" ht="13.5" customHeight="1">
      <c r="A1295" s="764">
        <v>4480</v>
      </c>
      <c r="B1295" s="934" t="s">
        <v>225</v>
      </c>
      <c r="C1295" s="720">
        <v>2050</v>
      </c>
      <c r="D1295" s="698">
        <f t="shared" si="159"/>
        <v>2050</v>
      </c>
      <c r="E1295" s="698">
        <f t="shared" si="156"/>
        <v>2050</v>
      </c>
      <c r="F1295" s="744">
        <f t="shared" si="158"/>
        <v>100</v>
      </c>
      <c r="G1295" s="720"/>
      <c r="H1295" s="698"/>
      <c r="I1295" s="699"/>
      <c r="J1295" s="720">
        <v>2050</v>
      </c>
      <c r="K1295" s="703">
        <v>2050</v>
      </c>
      <c r="L1295" s="745">
        <f t="shared" si="161"/>
        <v>100</v>
      </c>
      <c r="M1295" s="698"/>
      <c r="N1295" s="698"/>
      <c r="O1295" s="766"/>
      <c r="P1295" s="698"/>
      <c r="Q1295" s="698"/>
      <c r="R1295" s="770"/>
      <c r="S1295" s="682"/>
      <c r="T1295" s="682"/>
    </row>
    <row r="1296" spans="1:20" s="756" customFormat="1" ht="36">
      <c r="A1296" s="764">
        <v>4610</v>
      </c>
      <c r="B1296" s="934" t="s">
        <v>826</v>
      </c>
      <c r="C1296" s="720"/>
      <c r="D1296" s="698">
        <f>G1296+J1296+P1296+M1296</f>
        <v>500</v>
      </c>
      <c r="E1296" s="698">
        <f>SUM(H1296+K1296+N1296+Q1296)</f>
        <v>0</v>
      </c>
      <c r="F1296" s="744">
        <f>E1296/D1296*100</f>
        <v>0</v>
      </c>
      <c r="G1296" s="720">
        <f>4500-4000</f>
        <v>500</v>
      </c>
      <c r="H1296" s="698"/>
      <c r="I1296" s="699">
        <f>H1296/G1296*100</f>
        <v>0</v>
      </c>
      <c r="J1296" s="720"/>
      <c r="K1296" s="703"/>
      <c r="L1296" s="745"/>
      <c r="M1296" s="698"/>
      <c r="N1296" s="698"/>
      <c r="O1296" s="766"/>
      <c r="P1296" s="698"/>
      <c r="Q1296" s="698"/>
      <c r="R1296" s="770"/>
      <c r="S1296" s="682"/>
      <c r="T1296" s="682"/>
    </row>
    <row r="1297" spans="1:20" s="756" customFormat="1" ht="39" customHeight="1">
      <c r="A1297" s="764">
        <v>4700</v>
      </c>
      <c r="B1297" s="934" t="s">
        <v>550</v>
      </c>
      <c r="C1297" s="720">
        <v>1000</v>
      </c>
      <c r="D1297" s="698">
        <f t="shared" si="159"/>
        <v>2000</v>
      </c>
      <c r="E1297" s="698">
        <f t="shared" si="156"/>
        <v>1160</v>
      </c>
      <c r="F1297" s="744">
        <f t="shared" si="158"/>
        <v>57.99999999999999</v>
      </c>
      <c r="G1297" s="720">
        <v>1000</v>
      </c>
      <c r="H1297" s="698">
        <v>160</v>
      </c>
      <c r="I1297" s="699">
        <f>H1297/G1297*100</f>
        <v>16</v>
      </c>
      <c r="J1297" s="720">
        <v>1000</v>
      </c>
      <c r="K1297" s="703">
        <v>1000</v>
      </c>
      <c r="L1297" s="745">
        <f t="shared" si="161"/>
        <v>100</v>
      </c>
      <c r="M1297" s="698"/>
      <c r="N1297" s="698"/>
      <c r="O1297" s="766"/>
      <c r="P1297" s="698"/>
      <c r="Q1297" s="698"/>
      <c r="R1297" s="770"/>
      <c r="S1297" s="682"/>
      <c r="T1297" s="682"/>
    </row>
    <row r="1298" spans="1:20" s="756" customFormat="1" ht="51.75" customHeight="1">
      <c r="A1298" s="764">
        <v>4740</v>
      </c>
      <c r="B1298" s="828" t="s">
        <v>235</v>
      </c>
      <c r="C1298" s="720">
        <v>7050</v>
      </c>
      <c r="D1298" s="698">
        <f t="shared" si="159"/>
        <v>7050</v>
      </c>
      <c r="E1298" s="698">
        <f>SUM(H1298+K1298+N1298+Q1298)</f>
        <v>7024</v>
      </c>
      <c r="F1298" s="744">
        <f>E1298/D1298*100</f>
        <v>99.63120567375886</v>
      </c>
      <c r="G1298" s="720">
        <v>7050</v>
      </c>
      <c r="H1298" s="698">
        <v>7024</v>
      </c>
      <c r="I1298" s="699">
        <f>H1298/G1298*100</f>
        <v>99.63120567375886</v>
      </c>
      <c r="J1298" s="720">
        <f>7050-7050</f>
        <v>0</v>
      </c>
      <c r="K1298" s="703"/>
      <c r="L1298" s="745"/>
      <c r="M1298" s="698"/>
      <c r="N1298" s="698"/>
      <c r="O1298" s="766"/>
      <c r="P1298" s="698"/>
      <c r="Q1298" s="698"/>
      <c r="R1298" s="770"/>
      <c r="S1298" s="682"/>
      <c r="T1298" s="682"/>
    </row>
    <row r="1299" spans="1:20" s="756" customFormat="1" ht="36">
      <c r="A1299" s="764">
        <v>4750</v>
      </c>
      <c r="B1299" s="828" t="s">
        <v>551</v>
      </c>
      <c r="C1299" s="720">
        <v>12000</v>
      </c>
      <c r="D1299" s="698">
        <f>G1299+J1299+P1299+M1299</f>
        <v>12000</v>
      </c>
      <c r="E1299" s="698">
        <f>SUM(H1299+K1299+N1299+Q1299)</f>
        <v>11480</v>
      </c>
      <c r="F1299" s="744">
        <f>E1299/D1299*100</f>
        <v>95.66666666666667</v>
      </c>
      <c r="G1299" s="720">
        <v>12000</v>
      </c>
      <c r="H1299" s="698">
        <v>11480</v>
      </c>
      <c r="I1299" s="699">
        <f>H1299/G1299*100</f>
        <v>95.66666666666667</v>
      </c>
      <c r="J1299" s="720">
        <f>12000-12000</f>
        <v>0</v>
      </c>
      <c r="K1299" s="703"/>
      <c r="L1299" s="745"/>
      <c r="M1299" s="698"/>
      <c r="N1299" s="698"/>
      <c r="O1299" s="766"/>
      <c r="P1299" s="698"/>
      <c r="Q1299" s="698"/>
      <c r="R1299" s="770"/>
      <c r="S1299" s="682"/>
      <c r="T1299" s="682"/>
    </row>
    <row r="1300" spans="1:20" s="756" customFormat="1" ht="36" hidden="1">
      <c r="A1300" s="764">
        <v>6050</v>
      </c>
      <c r="B1300" s="934" t="s">
        <v>246</v>
      </c>
      <c r="C1300" s="720"/>
      <c r="D1300" s="698">
        <f>G1300+J1300+P1300+M1300</f>
        <v>0</v>
      </c>
      <c r="E1300" s="698">
        <f>SUM(H1300+K1300+N1300+Q1300)</f>
        <v>0</v>
      </c>
      <c r="F1300" s="744" t="e">
        <f>E1300/D1300*100</f>
        <v>#DIV/0!</v>
      </c>
      <c r="G1300" s="720"/>
      <c r="H1300" s="698"/>
      <c r="I1300" s="746"/>
      <c r="J1300" s="720"/>
      <c r="K1300" s="703"/>
      <c r="L1300" s="745" t="e">
        <f t="shared" si="161"/>
        <v>#DIV/0!</v>
      </c>
      <c r="M1300" s="698"/>
      <c r="N1300" s="698"/>
      <c r="O1300" s="766"/>
      <c r="P1300" s="698"/>
      <c r="Q1300" s="698"/>
      <c r="R1300" s="770"/>
      <c r="S1300" s="682"/>
      <c r="T1300" s="682"/>
    </row>
    <row r="1301" spans="1:20" s="756" customFormat="1" ht="48" hidden="1">
      <c r="A1301" s="764">
        <v>6060</v>
      </c>
      <c r="B1301" s="934" t="s">
        <v>593</v>
      </c>
      <c r="C1301" s="791"/>
      <c r="D1301" s="792">
        <f t="shared" si="159"/>
        <v>0</v>
      </c>
      <c r="E1301" s="792">
        <f t="shared" si="156"/>
        <v>0</v>
      </c>
      <c r="F1301" s="761" t="e">
        <f t="shared" si="158"/>
        <v>#DIV/0!</v>
      </c>
      <c r="G1301" s="791">
        <f>200-200</f>
        <v>0</v>
      </c>
      <c r="H1301" s="792"/>
      <c r="I1301" s="826" t="e">
        <f>H1301/G1301*100</f>
        <v>#DIV/0!</v>
      </c>
      <c r="J1301" s="791"/>
      <c r="K1301" s="793"/>
      <c r="L1301" s="1007" t="e">
        <f t="shared" si="161"/>
        <v>#DIV/0!</v>
      </c>
      <c r="M1301" s="792"/>
      <c r="N1301" s="792"/>
      <c r="O1301" s="806"/>
      <c r="P1301" s="792"/>
      <c r="Q1301" s="792"/>
      <c r="R1301" s="797"/>
      <c r="S1301" s="682"/>
      <c r="T1301" s="682"/>
    </row>
    <row r="1302" spans="1:20" s="756" customFormat="1" ht="86.25" customHeight="1">
      <c r="A1302" s="757">
        <v>85213</v>
      </c>
      <c r="B1302" s="959" t="s">
        <v>819</v>
      </c>
      <c r="C1302" s="725">
        <f>SUM(C1303)</f>
        <v>192000</v>
      </c>
      <c r="D1302" s="712">
        <f t="shared" si="159"/>
        <v>174914</v>
      </c>
      <c r="E1302" s="712">
        <f>H1302+K1302+Q1302+N1302</f>
        <v>172250</v>
      </c>
      <c r="F1302" s="1008">
        <f t="shared" si="158"/>
        <v>98.47696582320454</v>
      </c>
      <c r="G1302" s="725">
        <f>SUM(G1303)</f>
        <v>60566</v>
      </c>
      <c r="H1302" s="712">
        <f>SUM(H1303)</f>
        <v>57902</v>
      </c>
      <c r="I1302" s="854">
        <f>H1302/G1302*100</f>
        <v>95.60149258659975</v>
      </c>
      <c r="J1302" s="717">
        <f>SUM(J1303+J1304)</f>
        <v>114348</v>
      </c>
      <c r="K1302" s="717">
        <f>SUM(K1303+K1304)</f>
        <v>114348</v>
      </c>
      <c r="L1302" s="741">
        <f t="shared" si="161"/>
        <v>100</v>
      </c>
      <c r="M1302" s="712"/>
      <c r="N1302" s="712"/>
      <c r="O1302" s="801"/>
      <c r="P1302" s="712"/>
      <c r="Q1302" s="712"/>
      <c r="R1302" s="802"/>
      <c r="S1302" s="682"/>
      <c r="T1302" s="682"/>
    </row>
    <row r="1303" spans="1:20" s="756" customFormat="1" ht="26.25" customHeight="1">
      <c r="A1303" s="784">
        <v>4130</v>
      </c>
      <c r="B1303" s="979" t="s">
        <v>714</v>
      </c>
      <c r="C1303" s="723">
        <v>192000</v>
      </c>
      <c r="D1303" s="732">
        <f t="shared" si="159"/>
        <v>174914</v>
      </c>
      <c r="E1303" s="732">
        <f t="shared" si="159"/>
        <v>172250</v>
      </c>
      <c r="F1303" s="1009">
        <f t="shared" si="158"/>
        <v>98.47696582320454</v>
      </c>
      <c r="G1303" s="723">
        <f>62444-1878</f>
        <v>60566</v>
      </c>
      <c r="H1303" s="732">
        <f>57903-1</f>
        <v>57902</v>
      </c>
      <c r="I1303" s="740">
        <f>H1303/G1303*100</f>
        <v>95.60149258659975</v>
      </c>
      <c r="J1303" s="732">
        <f>192000-62444-15208</f>
        <v>114348</v>
      </c>
      <c r="K1303" s="732">
        <f>114347+1</f>
        <v>114348</v>
      </c>
      <c r="L1303" s="786">
        <f t="shared" si="161"/>
        <v>100</v>
      </c>
      <c r="M1303" s="732"/>
      <c r="N1303" s="732"/>
      <c r="O1303" s="803"/>
      <c r="P1303" s="732"/>
      <c r="Q1303" s="732"/>
      <c r="R1303" s="788"/>
      <c r="S1303" s="682"/>
      <c r="T1303" s="682"/>
    </row>
    <row r="1304" spans="1:20" s="756" customFormat="1" ht="12.75" hidden="1">
      <c r="A1304" s="789">
        <v>4580</v>
      </c>
      <c r="B1304" s="981" t="s">
        <v>244</v>
      </c>
      <c r="C1304" s="791"/>
      <c r="D1304" s="792">
        <f t="shared" si="159"/>
        <v>0</v>
      </c>
      <c r="E1304" s="792">
        <f t="shared" si="159"/>
        <v>0</v>
      </c>
      <c r="F1304" s="1005"/>
      <c r="G1304" s="791"/>
      <c r="H1304" s="792"/>
      <c r="I1304" s="826"/>
      <c r="J1304" s="903"/>
      <c r="K1304" s="792"/>
      <c r="L1304" s="796" t="e">
        <f t="shared" si="161"/>
        <v>#DIV/0!</v>
      </c>
      <c r="M1304" s="792"/>
      <c r="N1304" s="792"/>
      <c r="O1304" s="806"/>
      <c r="P1304" s="792"/>
      <c r="Q1304" s="792"/>
      <c r="R1304" s="797"/>
      <c r="S1304" s="682"/>
      <c r="T1304" s="682"/>
    </row>
    <row r="1305" spans="1:18" ht="48">
      <c r="A1305" s="757">
        <v>85214</v>
      </c>
      <c r="B1305" s="959" t="s">
        <v>820</v>
      </c>
      <c r="C1305" s="725">
        <f>SUM(C1306:C1307)</f>
        <v>6247000</v>
      </c>
      <c r="D1305" s="712">
        <f t="shared" si="159"/>
        <v>5920858</v>
      </c>
      <c r="E1305" s="712">
        <f t="shared" si="159"/>
        <v>5730612</v>
      </c>
      <c r="F1305" s="1008">
        <f t="shared" si="158"/>
        <v>96.78685082466089</v>
      </c>
      <c r="G1305" s="725">
        <f>SUM(G1306:G1307)</f>
        <v>4975587</v>
      </c>
      <c r="H1305" s="712">
        <f>SUM(H1306:H1307)</f>
        <v>4785341</v>
      </c>
      <c r="I1305" s="854">
        <f aca="true" t="shared" si="162" ref="I1305:I1310">H1305/G1305*100</f>
        <v>96.17641094407554</v>
      </c>
      <c r="J1305" s="717">
        <f>SUM(J1306:J1307)</f>
        <v>945271</v>
      </c>
      <c r="K1305" s="712">
        <f>SUM(K1306:K1307)</f>
        <v>945271</v>
      </c>
      <c r="L1305" s="741">
        <f t="shared" si="161"/>
        <v>100</v>
      </c>
      <c r="M1305" s="712"/>
      <c r="N1305" s="712"/>
      <c r="O1305" s="762"/>
      <c r="P1305" s="712"/>
      <c r="Q1305" s="712"/>
      <c r="R1305" s="846"/>
    </row>
    <row r="1306" spans="1:18" ht="19.5" customHeight="1">
      <c r="A1306" s="764">
        <v>3110</v>
      </c>
      <c r="B1306" s="934" t="s">
        <v>713</v>
      </c>
      <c r="C1306" s="720">
        <v>6247000</v>
      </c>
      <c r="D1306" s="698">
        <f t="shared" si="159"/>
        <v>5919908</v>
      </c>
      <c r="E1306" s="698">
        <f t="shared" si="159"/>
        <v>5730485</v>
      </c>
      <c r="F1306" s="980">
        <f t="shared" si="158"/>
        <v>96.80023743612232</v>
      </c>
      <c r="G1306" s="720">
        <f>2000+4578000-950+694587-299000</f>
        <v>4974637</v>
      </c>
      <c r="H1306" s="698">
        <v>4785214</v>
      </c>
      <c r="I1306" s="746">
        <f t="shared" si="162"/>
        <v>96.19222467890623</v>
      </c>
      <c r="J1306" s="703">
        <f>1667000-694587-27142</f>
        <v>945271</v>
      </c>
      <c r="K1306" s="698">
        <v>945271</v>
      </c>
      <c r="L1306" s="744">
        <f t="shared" si="161"/>
        <v>100</v>
      </c>
      <c r="M1306" s="698"/>
      <c r="N1306" s="698"/>
      <c r="O1306" s="766"/>
      <c r="P1306" s="698"/>
      <c r="Q1306" s="698"/>
      <c r="R1306" s="770"/>
    </row>
    <row r="1307" spans="1:19" ht="24.75" customHeight="1">
      <c r="A1307" s="764">
        <v>4110</v>
      </c>
      <c r="B1307" s="934" t="s">
        <v>207</v>
      </c>
      <c r="C1307" s="720"/>
      <c r="D1307" s="698">
        <f t="shared" si="159"/>
        <v>950</v>
      </c>
      <c r="E1307" s="698">
        <f>SUM(H1307+K1307+N1307+Q1307)</f>
        <v>127</v>
      </c>
      <c r="F1307" s="980">
        <f t="shared" si="158"/>
        <v>13.368421052631579</v>
      </c>
      <c r="G1307" s="720">
        <v>950</v>
      </c>
      <c r="H1307" s="698">
        <v>127</v>
      </c>
      <c r="I1307" s="746">
        <f t="shared" si="162"/>
        <v>13.368421052631579</v>
      </c>
      <c r="J1307" s="703"/>
      <c r="K1307" s="698"/>
      <c r="L1307" s="702"/>
      <c r="M1307" s="698"/>
      <c r="N1307" s="698"/>
      <c r="O1307" s="702"/>
      <c r="P1307" s="698"/>
      <c r="Q1307" s="698"/>
      <c r="R1307" s="770"/>
      <c r="S1307" s="682"/>
    </row>
    <row r="1308" spans="1:18" ht="16.5" customHeight="1">
      <c r="A1308" s="757">
        <v>85215</v>
      </c>
      <c r="B1308" s="959" t="s">
        <v>821</v>
      </c>
      <c r="C1308" s="725">
        <f>SUM(C1310)</f>
        <v>3500000</v>
      </c>
      <c r="D1308" s="712">
        <f t="shared" si="159"/>
        <v>3106960</v>
      </c>
      <c r="E1308" s="712">
        <f>H1308+K1308+Q1308+N1308</f>
        <v>3099461</v>
      </c>
      <c r="F1308" s="1008">
        <f>E1308/D1308*100</f>
        <v>99.7586386693102</v>
      </c>
      <c r="G1308" s="845">
        <f>SUM(G1309:G1310)</f>
        <v>3106960</v>
      </c>
      <c r="H1308" s="712">
        <f>SUM(H1309:H1310)</f>
        <v>3099461</v>
      </c>
      <c r="I1308" s="854">
        <f t="shared" si="162"/>
        <v>99.7586386693102</v>
      </c>
      <c r="J1308" s="717"/>
      <c r="K1308" s="712"/>
      <c r="L1308" s="718"/>
      <c r="M1308" s="712"/>
      <c r="N1308" s="712"/>
      <c r="O1308" s="762"/>
      <c r="P1308" s="712"/>
      <c r="Q1308" s="712"/>
      <c r="R1308" s="846"/>
    </row>
    <row r="1309" spans="1:18" ht="78" customHeight="1" hidden="1">
      <c r="A1309" s="784">
        <v>2910</v>
      </c>
      <c r="B1309" s="979" t="s">
        <v>822</v>
      </c>
      <c r="C1309" s="723"/>
      <c r="D1309" s="732">
        <f t="shared" si="159"/>
        <v>0</v>
      </c>
      <c r="E1309" s="732">
        <f>SUM(H1309+K1309+N1309+Q1309)</f>
        <v>0</v>
      </c>
      <c r="F1309" s="1009" t="e">
        <f>E1309/D1309*100</f>
        <v>#DIV/0!</v>
      </c>
      <c r="G1309" s="723"/>
      <c r="H1309" s="732"/>
      <c r="I1309" s="740" t="e">
        <f t="shared" si="162"/>
        <v>#DIV/0!</v>
      </c>
      <c r="J1309" s="735"/>
      <c r="K1309" s="732"/>
      <c r="L1309" s="736"/>
      <c r="M1309" s="732"/>
      <c r="N1309" s="732"/>
      <c r="O1309" s="803"/>
      <c r="P1309" s="732"/>
      <c r="Q1309" s="732"/>
      <c r="R1309" s="788"/>
    </row>
    <row r="1310" spans="1:20" s="756" customFormat="1" ht="15.75" customHeight="1">
      <c r="A1310" s="764">
        <v>3110</v>
      </c>
      <c r="B1310" s="934" t="s">
        <v>713</v>
      </c>
      <c r="C1310" s="791">
        <v>3500000</v>
      </c>
      <c r="D1310" s="792">
        <f t="shared" si="159"/>
        <v>3106960</v>
      </c>
      <c r="E1310" s="792">
        <f>SUM(H1310+K1310+N1310+Q1310)</f>
        <v>3099461</v>
      </c>
      <c r="F1310" s="1005">
        <f aca="true" t="shared" si="163" ref="F1310:F1372">E1310/D1310*100</f>
        <v>99.7586386693102</v>
      </c>
      <c r="G1310" s="791">
        <f>3500000-288000-52680-52360</f>
        <v>3106960</v>
      </c>
      <c r="H1310" s="792">
        <v>3099461</v>
      </c>
      <c r="I1310" s="826">
        <f t="shared" si="162"/>
        <v>99.7586386693102</v>
      </c>
      <c r="J1310" s="793"/>
      <c r="K1310" s="792"/>
      <c r="L1310" s="794"/>
      <c r="M1310" s="792"/>
      <c r="N1310" s="792"/>
      <c r="O1310" s="806"/>
      <c r="P1310" s="792"/>
      <c r="Q1310" s="792"/>
      <c r="R1310" s="797"/>
      <c r="S1310" s="682"/>
      <c r="T1310" s="682"/>
    </row>
    <row r="1311" spans="1:20" s="756" customFormat="1" ht="35.25" customHeight="1" hidden="1">
      <c r="A1311" s="757">
        <v>85216</v>
      </c>
      <c r="B1311" s="959" t="s">
        <v>823</v>
      </c>
      <c r="C1311" s="725">
        <f>SUM(C1312)</f>
        <v>0</v>
      </c>
      <c r="D1311" s="712">
        <f aca="true" t="shared" si="164" ref="D1311:D1382">G1311+J1311+P1311+M1311</f>
        <v>0</v>
      </c>
      <c r="E1311" s="712">
        <f>H1311+K1311+Q1311+N1311</f>
        <v>0</v>
      </c>
      <c r="F1311" s="1008" t="e">
        <f t="shared" si="163"/>
        <v>#DIV/0!</v>
      </c>
      <c r="G1311" s="725"/>
      <c r="H1311" s="712"/>
      <c r="I1311" s="854"/>
      <c r="J1311" s="717">
        <f>J1312</f>
        <v>0</v>
      </c>
      <c r="K1311" s="717">
        <f>K1312</f>
        <v>0</v>
      </c>
      <c r="L1311" s="799" t="e">
        <f>K1311/J1311*100</f>
        <v>#DIV/0!</v>
      </c>
      <c r="M1311" s="712"/>
      <c r="N1311" s="712"/>
      <c r="O1311" s="762"/>
      <c r="P1311" s="712">
        <f>P1312</f>
        <v>0</v>
      </c>
      <c r="Q1311" s="712">
        <f>Q1312</f>
        <v>0</v>
      </c>
      <c r="R1311" s="719" t="e">
        <f>Q1311/P1311*100</f>
        <v>#DIV/0!</v>
      </c>
      <c r="S1311" s="682"/>
      <c r="T1311" s="682"/>
    </row>
    <row r="1312" spans="1:20" s="756" customFormat="1" ht="15.75" customHeight="1" hidden="1">
      <c r="A1312" s="871">
        <v>3110</v>
      </c>
      <c r="B1312" s="1010" t="s">
        <v>713</v>
      </c>
      <c r="C1312" s="720"/>
      <c r="D1312" s="874">
        <f t="shared" si="164"/>
        <v>0</v>
      </c>
      <c r="E1312" s="698">
        <f>SUM(H1312+K1312+N1312+Q1312)</f>
        <v>0</v>
      </c>
      <c r="F1312" s="1008" t="e">
        <f t="shared" si="163"/>
        <v>#DIV/0!</v>
      </c>
      <c r="G1312" s="873"/>
      <c r="H1312" s="874"/>
      <c r="I1312" s="854"/>
      <c r="J1312" s="875"/>
      <c r="K1312" s="874"/>
      <c r="L1312" s="719" t="e">
        <f>K1312/J1312*100</f>
        <v>#DIV/0!</v>
      </c>
      <c r="M1312" s="874"/>
      <c r="N1312" s="874"/>
      <c r="O1312" s="762"/>
      <c r="P1312" s="874"/>
      <c r="Q1312" s="874"/>
      <c r="R1312" s="719" t="e">
        <f>Q1312/P1312*100</f>
        <v>#DIV/0!</v>
      </c>
      <c r="S1312" s="682"/>
      <c r="T1312" s="682"/>
    </row>
    <row r="1313" spans="1:20" s="756" customFormat="1" ht="24">
      <c r="A1313" s="757">
        <v>85218</v>
      </c>
      <c r="B1313" s="959" t="s">
        <v>824</v>
      </c>
      <c r="C1313" s="725">
        <f>SUM(C1314:C1329)</f>
        <v>624297</v>
      </c>
      <c r="D1313" s="712">
        <f t="shared" si="164"/>
        <v>648578</v>
      </c>
      <c r="E1313" s="712">
        <f>H1313+K1313+Q1313+N1313</f>
        <v>648578</v>
      </c>
      <c r="F1313" s="1008">
        <f t="shared" si="163"/>
        <v>100</v>
      </c>
      <c r="G1313" s="725"/>
      <c r="H1313" s="712"/>
      <c r="I1313" s="846"/>
      <c r="J1313" s="717"/>
      <c r="K1313" s="712"/>
      <c r="L1313" s="718"/>
      <c r="M1313" s="712">
        <f>SUM(M1314:M1329)</f>
        <v>648578</v>
      </c>
      <c r="N1313" s="712">
        <f>SUM(N1314:N1329)</f>
        <v>648578</v>
      </c>
      <c r="O1313" s="741">
        <f aca="true" t="shared" si="165" ref="O1313:O1329">N1313/M1313*100</f>
        <v>100</v>
      </c>
      <c r="P1313" s="712"/>
      <c r="Q1313" s="712"/>
      <c r="R1313" s="719"/>
      <c r="S1313" s="682"/>
      <c r="T1313" s="682"/>
    </row>
    <row r="1314" spans="1:20" ht="29.25" customHeight="1">
      <c r="A1314" s="764">
        <v>4010</v>
      </c>
      <c r="B1314" s="934" t="s">
        <v>673</v>
      </c>
      <c r="C1314" s="720">
        <v>437539</v>
      </c>
      <c r="D1314" s="698">
        <f t="shared" si="164"/>
        <v>461820</v>
      </c>
      <c r="E1314" s="698">
        <f aca="true" t="shared" si="166" ref="E1314:E1329">SUM(H1314+K1314+N1314+Q1314)</f>
        <v>461820</v>
      </c>
      <c r="F1314" s="980">
        <f t="shared" si="163"/>
        <v>100</v>
      </c>
      <c r="G1314" s="720"/>
      <c r="H1314" s="698"/>
      <c r="I1314" s="770"/>
      <c r="J1314" s="703"/>
      <c r="K1314" s="698"/>
      <c r="L1314" s="704"/>
      <c r="M1314" s="720">
        <f>437539+8200+17256-1175</f>
        <v>461820</v>
      </c>
      <c r="N1314" s="698">
        <v>461820</v>
      </c>
      <c r="O1314" s="744">
        <f t="shared" si="165"/>
        <v>100</v>
      </c>
      <c r="P1314" s="703"/>
      <c r="Q1314" s="698"/>
      <c r="R1314" s="702"/>
      <c r="S1314" s="682"/>
      <c r="T1314" s="682"/>
    </row>
    <row r="1315" spans="1:20" ht="24">
      <c r="A1315" s="764">
        <v>4040</v>
      </c>
      <c r="B1315" s="934" t="s">
        <v>280</v>
      </c>
      <c r="C1315" s="720">
        <v>35658</v>
      </c>
      <c r="D1315" s="698">
        <f t="shared" si="164"/>
        <v>35658</v>
      </c>
      <c r="E1315" s="698">
        <f>H1315+K1315+Q1315+N1315</f>
        <v>35658</v>
      </c>
      <c r="F1315" s="980">
        <f t="shared" si="163"/>
        <v>100</v>
      </c>
      <c r="G1315" s="720"/>
      <c r="H1315" s="698"/>
      <c r="I1315" s="770"/>
      <c r="J1315" s="703"/>
      <c r="K1315" s="698"/>
      <c r="L1315" s="704"/>
      <c r="M1315" s="720">
        <v>35658</v>
      </c>
      <c r="N1315" s="698">
        <v>35658</v>
      </c>
      <c r="O1315" s="744">
        <f t="shared" si="165"/>
        <v>100</v>
      </c>
      <c r="P1315" s="703"/>
      <c r="Q1315" s="698"/>
      <c r="R1315" s="702"/>
      <c r="S1315" s="682"/>
      <c r="T1315" s="682"/>
    </row>
    <row r="1316" spans="1:20" s="756" customFormat="1" ht="26.25" customHeight="1">
      <c r="A1316" s="764">
        <v>4110</v>
      </c>
      <c r="B1316" s="934" t="s">
        <v>207</v>
      </c>
      <c r="C1316" s="720">
        <v>75800</v>
      </c>
      <c r="D1316" s="698">
        <f t="shared" si="164"/>
        <v>75800</v>
      </c>
      <c r="E1316" s="698">
        <f t="shared" si="166"/>
        <v>75800</v>
      </c>
      <c r="F1316" s="980">
        <f t="shared" si="163"/>
        <v>100</v>
      </c>
      <c r="G1316" s="720"/>
      <c r="H1316" s="698"/>
      <c r="I1316" s="770"/>
      <c r="J1316" s="703"/>
      <c r="K1316" s="698"/>
      <c r="L1316" s="704"/>
      <c r="M1316" s="720">
        <v>75800</v>
      </c>
      <c r="N1316" s="698">
        <v>75800</v>
      </c>
      <c r="O1316" s="744">
        <f t="shared" si="165"/>
        <v>100</v>
      </c>
      <c r="P1316" s="703"/>
      <c r="Q1316" s="698"/>
      <c r="R1316" s="702"/>
      <c r="S1316" s="682"/>
      <c r="T1316" s="682"/>
    </row>
    <row r="1317" spans="1:20" s="756" customFormat="1" ht="15" customHeight="1">
      <c r="A1317" s="764">
        <v>4120</v>
      </c>
      <c r="B1317" s="934" t="s">
        <v>584</v>
      </c>
      <c r="C1317" s="720">
        <v>11600</v>
      </c>
      <c r="D1317" s="698">
        <f t="shared" si="164"/>
        <v>11600</v>
      </c>
      <c r="E1317" s="698">
        <f t="shared" si="166"/>
        <v>11600</v>
      </c>
      <c r="F1317" s="980">
        <f t="shared" si="163"/>
        <v>100</v>
      </c>
      <c r="G1317" s="720"/>
      <c r="H1317" s="698"/>
      <c r="I1317" s="770"/>
      <c r="J1317" s="703"/>
      <c r="K1317" s="698"/>
      <c r="L1317" s="704"/>
      <c r="M1317" s="720">
        <v>11600</v>
      </c>
      <c r="N1317" s="698">
        <v>11600</v>
      </c>
      <c r="O1317" s="744">
        <f t="shared" si="165"/>
        <v>100</v>
      </c>
      <c r="P1317" s="703"/>
      <c r="Q1317" s="698"/>
      <c r="R1317" s="702"/>
      <c r="S1317" s="682"/>
      <c r="T1317" s="682"/>
    </row>
    <row r="1318" spans="1:18" ht="24">
      <c r="A1318" s="764">
        <v>4210</v>
      </c>
      <c r="B1318" s="934" t="s">
        <v>211</v>
      </c>
      <c r="C1318" s="720">
        <v>8200</v>
      </c>
      <c r="D1318" s="698">
        <f t="shared" si="164"/>
        <v>8200</v>
      </c>
      <c r="E1318" s="698">
        <f t="shared" si="166"/>
        <v>8200</v>
      </c>
      <c r="F1318" s="980">
        <f t="shared" si="163"/>
        <v>100</v>
      </c>
      <c r="G1318" s="720"/>
      <c r="H1318" s="698"/>
      <c r="I1318" s="770"/>
      <c r="J1318" s="703"/>
      <c r="K1318" s="698"/>
      <c r="L1318" s="704"/>
      <c r="M1318" s="720">
        <v>8200</v>
      </c>
      <c r="N1318" s="698">
        <v>8200</v>
      </c>
      <c r="O1318" s="744">
        <f t="shared" si="165"/>
        <v>100</v>
      </c>
      <c r="P1318" s="703"/>
      <c r="Q1318" s="698"/>
      <c r="R1318" s="702"/>
    </row>
    <row r="1319" spans="1:18" ht="15" customHeight="1">
      <c r="A1319" s="764">
        <v>4260</v>
      </c>
      <c r="B1319" s="934" t="s">
        <v>215</v>
      </c>
      <c r="C1319" s="720">
        <v>21800</v>
      </c>
      <c r="D1319" s="698">
        <f t="shared" si="164"/>
        <v>21800</v>
      </c>
      <c r="E1319" s="698">
        <f t="shared" si="166"/>
        <v>21800</v>
      </c>
      <c r="F1319" s="980">
        <f t="shared" si="163"/>
        <v>100</v>
      </c>
      <c r="G1319" s="720"/>
      <c r="H1319" s="698"/>
      <c r="I1319" s="770"/>
      <c r="J1319" s="703"/>
      <c r="K1319" s="698"/>
      <c r="L1319" s="704"/>
      <c r="M1319" s="720">
        <v>21800</v>
      </c>
      <c r="N1319" s="698">
        <v>21800</v>
      </c>
      <c r="O1319" s="744">
        <f t="shared" si="165"/>
        <v>100</v>
      </c>
      <c r="P1319" s="703"/>
      <c r="Q1319" s="698"/>
      <c r="R1319" s="702"/>
    </row>
    <row r="1320" spans="1:18" ht="15" customHeight="1">
      <c r="A1320" s="764">
        <v>4280</v>
      </c>
      <c r="B1320" s="934" t="s">
        <v>542</v>
      </c>
      <c r="C1320" s="720">
        <v>1200</v>
      </c>
      <c r="D1320" s="698">
        <f>G1320+J1320+P1320+M1320</f>
        <v>1200</v>
      </c>
      <c r="E1320" s="698">
        <f>SUM(H1320+K1320+N1320+Q1320)</f>
        <v>1200</v>
      </c>
      <c r="F1320" s="980">
        <f t="shared" si="163"/>
        <v>100</v>
      </c>
      <c r="G1320" s="720"/>
      <c r="H1320" s="698"/>
      <c r="I1320" s="770"/>
      <c r="J1320" s="703"/>
      <c r="K1320" s="698"/>
      <c r="L1320" s="704"/>
      <c r="M1320" s="720">
        <v>1200</v>
      </c>
      <c r="N1320" s="698">
        <v>1200</v>
      </c>
      <c r="O1320" s="744">
        <f t="shared" si="165"/>
        <v>100</v>
      </c>
      <c r="P1320" s="703"/>
      <c r="Q1320" s="698"/>
      <c r="R1320" s="702"/>
    </row>
    <row r="1321" spans="1:18" ht="15" customHeight="1">
      <c r="A1321" s="764">
        <v>4300</v>
      </c>
      <c r="B1321" s="934" t="s">
        <v>543</v>
      </c>
      <c r="C1321" s="720">
        <v>4000</v>
      </c>
      <c r="D1321" s="698">
        <f t="shared" si="164"/>
        <v>4000</v>
      </c>
      <c r="E1321" s="698">
        <f t="shared" si="166"/>
        <v>4000</v>
      </c>
      <c r="F1321" s="980">
        <f t="shared" si="163"/>
        <v>100</v>
      </c>
      <c r="G1321" s="720"/>
      <c r="H1321" s="698"/>
      <c r="I1321" s="770"/>
      <c r="J1321" s="703"/>
      <c r="K1321" s="698"/>
      <c r="L1321" s="704"/>
      <c r="M1321" s="720">
        <v>4000</v>
      </c>
      <c r="N1321" s="698">
        <v>4000</v>
      </c>
      <c r="O1321" s="744">
        <f t="shared" si="165"/>
        <v>100</v>
      </c>
      <c r="P1321" s="703"/>
      <c r="Q1321" s="698"/>
      <c r="R1321" s="702"/>
    </row>
    <row r="1322" spans="1:18" ht="24">
      <c r="A1322" s="764">
        <v>4350</v>
      </c>
      <c r="B1322" s="934" t="s">
        <v>544</v>
      </c>
      <c r="C1322" s="720">
        <v>1100</v>
      </c>
      <c r="D1322" s="698">
        <f>G1322+J1322+P1322+M1322</f>
        <v>1100</v>
      </c>
      <c r="E1322" s="698">
        <f t="shared" si="166"/>
        <v>1100</v>
      </c>
      <c r="F1322" s="980">
        <f t="shared" si="163"/>
        <v>100</v>
      </c>
      <c r="G1322" s="720"/>
      <c r="H1322" s="698"/>
      <c r="I1322" s="770"/>
      <c r="J1322" s="703"/>
      <c r="K1322" s="698"/>
      <c r="L1322" s="704"/>
      <c r="M1322" s="720">
        <v>1100</v>
      </c>
      <c r="N1322" s="698">
        <v>1100</v>
      </c>
      <c r="O1322" s="744">
        <f t="shared" si="165"/>
        <v>100</v>
      </c>
      <c r="P1322" s="703"/>
      <c r="Q1322" s="698"/>
      <c r="R1322" s="702"/>
    </row>
    <row r="1323" spans="1:18" ht="36.75" customHeight="1">
      <c r="A1323" s="764">
        <v>4360</v>
      </c>
      <c r="B1323" s="828" t="s">
        <v>682</v>
      </c>
      <c r="C1323" s="720">
        <v>900</v>
      </c>
      <c r="D1323" s="698">
        <f>G1323+J1323+P1323+M1323</f>
        <v>900</v>
      </c>
      <c r="E1323" s="698">
        <f t="shared" si="166"/>
        <v>900</v>
      </c>
      <c r="F1323" s="980">
        <f>E1323/D1323*100</f>
        <v>100</v>
      </c>
      <c r="G1323" s="720"/>
      <c r="H1323" s="698"/>
      <c r="I1323" s="770"/>
      <c r="J1323" s="703"/>
      <c r="K1323" s="698"/>
      <c r="L1323" s="704"/>
      <c r="M1323" s="720">
        <v>900</v>
      </c>
      <c r="N1323" s="698">
        <v>900</v>
      </c>
      <c r="O1323" s="744">
        <f t="shared" si="165"/>
        <v>100</v>
      </c>
      <c r="P1323" s="703"/>
      <c r="Q1323" s="698"/>
      <c r="R1323" s="702"/>
    </row>
    <row r="1324" spans="1:18" ht="38.25" customHeight="1">
      <c r="A1324" s="764">
        <v>4370</v>
      </c>
      <c r="B1324" s="828" t="s">
        <v>635</v>
      </c>
      <c r="C1324" s="720">
        <v>9200</v>
      </c>
      <c r="D1324" s="698">
        <f>G1324+J1324+P1324+M1324</f>
        <v>9200</v>
      </c>
      <c r="E1324" s="698">
        <f t="shared" si="166"/>
        <v>9200</v>
      </c>
      <c r="F1324" s="980">
        <f>E1324/D1324*100</f>
        <v>100</v>
      </c>
      <c r="G1324" s="720"/>
      <c r="H1324" s="698"/>
      <c r="I1324" s="770"/>
      <c r="J1324" s="703"/>
      <c r="K1324" s="698"/>
      <c r="L1324" s="704"/>
      <c r="M1324" s="720">
        <v>9200</v>
      </c>
      <c r="N1324" s="698">
        <v>9200</v>
      </c>
      <c r="O1324" s="744">
        <f t="shared" si="165"/>
        <v>100</v>
      </c>
      <c r="P1324" s="703"/>
      <c r="Q1324" s="698"/>
      <c r="R1324" s="702"/>
    </row>
    <row r="1325" spans="1:18" ht="15" customHeight="1">
      <c r="A1325" s="764">
        <v>4410</v>
      </c>
      <c r="B1325" s="934" t="s">
        <v>193</v>
      </c>
      <c r="C1325" s="720">
        <v>1300</v>
      </c>
      <c r="D1325" s="698">
        <f t="shared" si="164"/>
        <v>1300</v>
      </c>
      <c r="E1325" s="698">
        <f t="shared" si="166"/>
        <v>1300</v>
      </c>
      <c r="F1325" s="980">
        <f>E1325/D1325*100</f>
        <v>100</v>
      </c>
      <c r="G1325" s="720"/>
      <c r="H1325" s="698"/>
      <c r="I1325" s="770"/>
      <c r="J1325" s="703"/>
      <c r="K1325" s="698"/>
      <c r="L1325" s="704"/>
      <c r="M1325" s="720">
        <v>1300</v>
      </c>
      <c r="N1325" s="698">
        <v>1300</v>
      </c>
      <c r="O1325" s="744">
        <f t="shared" si="165"/>
        <v>100</v>
      </c>
      <c r="P1325" s="703"/>
      <c r="Q1325" s="698"/>
      <c r="R1325" s="702"/>
    </row>
    <row r="1326" spans="1:18" ht="15" customHeight="1">
      <c r="A1326" s="764">
        <v>4440</v>
      </c>
      <c r="B1326" s="934" t="s">
        <v>223</v>
      </c>
      <c r="C1326" s="720">
        <v>12700</v>
      </c>
      <c r="D1326" s="698">
        <f t="shared" si="164"/>
        <v>12700</v>
      </c>
      <c r="E1326" s="698">
        <f t="shared" si="166"/>
        <v>12700</v>
      </c>
      <c r="F1326" s="980">
        <f t="shared" si="163"/>
        <v>100</v>
      </c>
      <c r="G1326" s="720"/>
      <c r="H1326" s="698"/>
      <c r="I1326" s="770"/>
      <c r="J1326" s="703"/>
      <c r="K1326" s="703"/>
      <c r="L1326" s="704"/>
      <c r="M1326" s="720">
        <v>12700</v>
      </c>
      <c r="N1326" s="698">
        <v>12700</v>
      </c>
      <c r="O1326" s="744">
        <f t="shared" si="165"/>
        <v>100</v>
      </c>
      <c r="P1326" s="703"/>
      <c r="Q1326" s="698"/>
      <c r="R1326" s="702"/>
    </row>
    <row r="1327" spans="1:18" ht="49.5" customHeight="1">
      <c r="A1327" s="764">
        <v>4740</v>
      </c>
      <c r="B1327" s="828" t="s">
        <v>235</v>
      </c>
      <c r="C1327" s="720">
        <v>2700</v>
      </c>
      <c r="D1327" s="698">
        <f t="shared" si="164"/>
        <v>2700</v>
      </c>
      <c r="E1327" s="698">
        <f t="shared" si="166"/>
        <v>2700</v>
      </c>
      <c r="F1327" s="980">
        <f>E1327/D1327*100</f>
        <v>100</v>
      </c>
      <c r="G1327" s="720"/>
      <c r="H1327" s="698"/>
      <c r="I1327" s="770"/>
      <c r="J1327" s="703"/>
      <c r="K1327" s="703"/>
      <c r="L1327" s="704"/>
      <c r="M1327" s="720">
        <v>2700</v>
      </c>
      <c r="N1327" s="698">
        <v>2700</v>
      </c>
      <c r="O1327" s="744">
        <f t="shared" si="165"/>
        <v>100</v>
      </c>
      <c r="P1327" s="703"/>
      <c r="Q1327" s="698"/>
      <c r="R1327" s="702"/>
    </row>
    <row r="1328" spans="1:18" ht="36">
      <c r="A1328" s="764">
        <v>4750</v>
      </c>
      <c r="B1328" s="828" t="s">
        <v>551</v>
      </c>
      <c r="C1328" s="720">
        <v>600</v>
      </c>
      <c r="D1328" s="698">
        <f t="shared" si="164"/>
        <v>600</v>
      </c>
      <c r="E1328" s="698">
        <f t="shared" si="166"/>
        <v>600</v>
      </c>
      <c r="F1328" s="980">
        <f>E1328/D1328*100</f>
        <v>100</v>
      </c>
      <c r="G1328" s="720"/>
      <c r="H1328" s="698"/>
      <c r="I1328" s="770"/>
      <c r="J1328" s="703"/>
      <c r="K1328" s="703"/>
      <c r="L1328" s="704"/>
      <c r="M1328" s="720">
        <v>600</v>
      </c>
      <c r="N1328" s="698">
        <v>600</v>
      </c>
      <c r="O1328" s="744">
        <f t="shared" si="165"/>
        <v>100</v>
      </c>
      <c r="P1328" s="703"/>
      <c r="Q1328" s="698"/>
      <c r="R1328" s="702"/>
    </row>
    <row r="1329" spans="1:18" ht="38.25" customHeight="1" hidden="1">
      <c r="A1329" s="789">
        <v>6060</v>
      </c>
      <c r="B1329" s="981" t="s">
        <v>593</v>
      </c>
      <c r="C1329" s="791"/>
      <c r="D1329" s="792">
        <f t="shared" si="164"/>
        <v>0</v>
      </c>
      <c r="E1329" s="792">
        <f t="shared" si="166"/>
        <v>0</v>
      </c>
      <c r="F1329" s="1005" t="e">
        <f t="shared" si="163"/>
        <v>#DIV/0!</v>
      </c>
      <c r="G1329" s="791"/>
      <c r="H1329" s="792"/>
      <c r="I1329" s="797"/>
      <c r="J1329" s="793"/>
      <c r="K1329" s="793"/>
      <c r="L1329" s="794"/>
      <c r="M1329" s="791"/>
      <c r="N1329" s="792"/>
      <c r="O1329" s="744" t="e">
        <f t="shared" si="165"/>
        <v>#DIV/0!</v>
      </c>
      <c r="P1329" s="793"/>
      <c r="Q1329" s="792"/>
      <c r="R1329" s="796"/>
    </row>
    <row r="1330" spans="1:18" ht="24.75" customHeight="1">
      <c r="A1330" s="757">
        <v>85219</v>
      </c>
      <c r="B1330" s="959" t="s">
        <v>825</v>
      </c>
      <c r="C1330" s="725">
        <f>SUM(C1331:C1362)</f>
        <v>6317800</v>
      </c>
      <c r="D1330" s="712">
        <f>G1330+J1330+P1330+M1330</f>
        <v>6482185</v>
      </c>
      <c r="E1330" s="712">
        <f>H1330+K1330+Q1330+N1330</f>
        <v>6395740</v>
      </c>
      <c r="F1330" s="1008">
        <f t="shared" si="163"/>
        <v>98.66642189323508</v>
      </c>
      <c r="G1330" s="725">
        <f>SUM(G1331:G1362)</f>
        <v>6472365</v>
      </c>
      <c r="H1330" s="712">
        <f>SUM(H1331:H1362)</f>
        <v>6394346</v>
      </c>
      <c r="I1330" s="854">
        <f aca="true" t="shared" si="167" ref="I1330:I1362">H1330/G1330*100</f>
        <v>98.79458281478254</v>
      </c>
      <c r="J1330" s="717">
        <f>SUM(J1331:J1362)</f>
        <v>9820</v>
      </c>
      <c r="K1330" s="717">
        <f>SUM(K1331:K1362)</f>
        <v>1394</v>
      </c>
      <c r="L1330" s="719">
        <f>K1330/J1330*100</f>
        <v>14.19551934826884</v>
      </c>
      <c r="M1330" s="712"/>
      <c r="N1330" s="712"/>
      <c r="O1330" s="719"/>
      <c r="P1330" s="712"/>
      <c r="Q1330" s="712"/>
      <c r="R1330" s="846"/>
    </row>
    <row r="1331" spans="1:18" ht="36">
      <c r="A1331" s="784">
        <v>3020</v>
      </c>
      <c r="B1331" s="979" t="s">
        <v>709</v>
      </c>
      <c r="C1331" s="723">
        <v>14000</v>
      </c>
      <c r="D1331" s="732">
        <f t="shared" si="164"/>
        <v>14000</v>
      </c>
      <c r="E1331" s="732">
        <f>SUM(H1331+K1331+N1331+Q1331)</f>
        <v>13955</v>
      </c>
      <c r="F1331" s="1009">
        <f t="shared" si="163"/>
        <v>99.67857142857143</v>
      </c>
      <c r="G1331" s="723">
        <v>14000</v>
      </c>
      <c r="H1331" s="732">
        <v>13955</v>
      </c>
      <c r="I1331" s="721">
        <f t="shared" si="167"/>
        <v>99.67857142857143</v>
      </c>
      <c r="J1331" s="735"/>
      <c r="K1331" s="732"/>
      <c r="L1331" s="707"/>
      <c r="M1331" s="732"/>
      <c r="N1331" s="732"/>
      <c r="O1331" s="707"/>
      <c r="P1331" s="732"/>
      <c r="Q1331" s="732"/>
      <c r="R1331" s="788"/>
    </row>
    <row r="1332" spans="1:18" ht="18.75" customHeight="1">
      <c r="A1332" s="764">
        <v>3110</v>
      </c>
      <c r="B1332" s="934" t="s">
        <v>713</v>
      </c>
      <c r="C1332" s="720"/>
      <c r="D1332" s="698">
        <f>G1332+J1332+P1332+M1332</f>
        <v>9820</v>
      </c>
      <c r="E1332" s="698">
        <f>SUM(H1332+K1332+N1332+Q1332)</f>
        <v>1394</v>
      </c>
      <c r="F1332" s="980">
        <f>E1332/D1332*100</f>
        <v>14.19551934826884</v>
      </c>
      <c r="G1332" s="720"/>
      <c r="H1332" s="698"/>
      <c r="I1332" s="699"/>
      <c r="J1332" s="703">
        <v>9820</v>
      </c>
      <c r="K1332" s="698">
        <v>1394</v>
      </c>
      <c r="L1332" s="702">
        <f>K1332/J1332*100</f>
        <v>14.19551934826884</v>
      </c>
      <c r="M1332" s="698"/>
      <c r="N1332" s="698"/>
      <c r="O1332" s="702"/>
      <c r="P1332" s="698"/>
      <c r="Q1332" s="698"/>
      <c r="R1332" s="770"/>
    </row>
    <row r="1333" spans="1:20" ht="28.5" customHeight="1">
      <c r="A1333" s="764">
        <v>4010</v>
      </c>
      <c r="B1333" s="934" t="s">
        <v>673</v>
      </c>
      <c r="C1333" s="720">
        <v>3768372</v>
      </c>
      <c r="D1333" s="698">
        <f t="shared" si="164"/>
        <v>3766020</v>
      </c>
      <c r="E1333" s="698">
        <f>SUM(H1333+K1333+N1333+Q1333)</f>
        <v>3743608</v>
      </c>
      <c r="F1333" s="980">
        <f t="shared" si="163"/>
        <v>99.40488898094009</v>
      </c>
      <c r="G1333" s="720">
        <f>3768372+59300+49720-108043-8000+4671</f>
        <v>3766020</v>
      </c>
      <c r="H1333" s="698">
        <v>3743608</v>
      </c>
      <c r="I1333" s="699">
        <f t="shared" si="167"/>
        <v>99.40488898094009</v>
      </c>
      <c r="J1333" s="703"/>
      <c r="K1333" s="698"/>
      <c r="L1333" s="702"/>
      <c r="M1333" s="698"/>
      <c r="N1333" s="698"/>
      <c r="O1333" s="702"/>
      <c r="P1333" s="698"/>
      <c r="Q1333" s="698"/>
      <c r="R1333" s="770"/>
      <c r="S1333" s="682"/>
      <c r="T1333" s="682"/>
    </row>
    <row r="1334" spans="1:20" ht="24">
      <c r="A1334" s="764">
        <v>4040</v>
      </c>
      <c r="B1334" s="934" t="s">
        <v>280</v>
      </c>
      <c r="C1334" s="720">
        <v>309088</v>
      </c>
      <c r="D1334" s="698">
        <f t="shared" si="164"/>
        <v>283773</v>
      </c>
      <c r="E1334" s="698">
        <f>SUM(H1334+K1334+N1334+Q1334)</f>
        <v>283770</v>
      </c>
      <c r="F1334" s="980">
        <f t="shared" si="163"/>
        <v>99.9989428169699</v>
      </c>
      <c r="G1334" s="720">
        <f>309088-15500-3000-5105-1710</f>
        <v>283773</v>
      </c>
      <c r="H1334" s="698">
        <v>283770</v>
      </c>
      <c r="I1334" s="699">
        <f t="shared" si="167"/>
        <v>99.9989428169699</v>
      </c>
      <c r="J1334" s="703"/>
      <c r="K1334" s="698"/>
      <c r="L1334" s="702"/>
      <c r="M1334" s="698"/>
      <c r="N1334" s="698"/>
      <c r="O1334" s="702"/>
      <c r="P1334" s="698"/>
      <c r="Q1334" s="698"/>
      <c r="R1334" s="770"/>
      <c r="S1334" s="682"/>
      <c r="T1334" s="682"/>
    </row>
    <row r="1335" spans="1:20" ht="27" customHeight="1">
      <c r="A1335" s="764">
        <v>4110</v>
      </c>
      <c r="B1335" s="934" t="s">
        <v>207</v>
      </c>
      <c r="C1335" s="720">
        <v>652440</v>
      </c>
      <c r="D1335" s="698">
        <f t="shared" si="164"/>
        <v>645440</v>
      </c>
      <c r="E1335" s="698">
        <f aca="true" t="shared" si="168" ref="E1335:E1352">SUM(H1335+K1335+N1335+Q1335)</f>
        <v>645030</v>
      </c>
      <c r="F1335" s="980">
        <f t="shared" si="163"/>
        <v>99.93647744174517</v>
      </c>
      <c r="G1335" s="720">
        <f>652440-2000-5000</f>
        <v>645440</v>
      </c>
      <c r="H1335" s="698">
        <v>645030</v>
      </c>
      <c r="I1335" s="699">
        <f t="shared" si="167"/>
        <v>99.93647744174517</v>
      </c>
      <c r="J1335" s="703"/>
      <c r="K1335" s="698"/>
      <c r="L1335" s="702"/>
      <c r="M1335" s="698"/>
      <c r="N1335" s="698"/>
      <c r="O1335" s="702"/>
      <c r="P1335" s="698"/>
      <c r="Q1335" s="698"/>
      <c r="R1335" s="770"/>
      <c r="S1335" s="682"/>
      <c r="T1335" s="682"/>
    </row>
    <row r="1336" spans="1:20" ht="12.75">
      <c r="A1336" s="764">
        <v>4120</v>
      </c>
      <c r="B1336" s="934" t="s">
        <v>584</v>
      </c>
      <c r="C1336" s="720">
        <v>99800</v>
      </c>
      <c r="D1336" s="698">
        <f t="shared" si="164"/>
        <v>95400</v>
      </c>
      <c r="E1336" s="698">
        <f t="shared" si="168"/>
        <v>91674</v>
      </c>
      <c r="F1336" s="980">
        <f t="shared" si="163"/>
        <v>96.09433962264151</v>
      </c>
      <c r="G1336" s="720">
        <f>99800-1900-2500</f>
        <v>95400</v>
      </c>
      <c r="H1336" s="698">
        <v>91674</v>
      </c>
      <c r="I1336" s="699">
        <f t="shared" si="167"/>
        <v>96.09433962264151</v>
      </c>
      <c r="J1336" s="703"/>
      <c r="K1336" s="698"/>
      <c r="L1336" s="702"/>
      <c r="M1336" s="698"/>
      <c r="N1336" s="698"/>
      <c r="O1336" s="702"/>
      <c r="P1336" s="698"/>
      <c r="Q1336" s="698"/>
      <c r="R1336" s="770"/>
      <c r="S1336" s="682"/>
      <c r="T1336" s="682"/>
    </row>
    <row r="1337" spans="1:18" ht="12.75">
      <c r="A1337" s="764">
        <v>4140</v>
      </c>
      <c r="B1337" s="934" t="s">
        <v>283</v>
      </c>
      <c r="C1337" s="720">
        <v>96000</v>
      </c>
      <c r="D1337" s="698">
        <f>G1337+J1337+P1337+M1337</f>
        <v>119335</v>
      </c>
      <c r="E1337" s="698">
        <f>SUM(H1337+K1337+N1337+Q1337)</f>
        <v>115890</v>
      </c>
      <c r="F1337" s="980">
        <f>E1337/D1337*100</f>
        <v>97.11316881049147</v>
      </c>
      <c r="G1337" s="720">
        <f>96000+23335</f>
        <v>119335</v>
      </c>
      <c r="H1337" s="698">
        <v>115890</v>
      </c>
      <c r="I1337" s="699">
        <f t="shared" si="167"/>
        <v>97.11316881049147</v>
      </c>
      <c r="J1337" s="703"/>
      <c r="K1337" s="698"/>
      <c r="L1337" s="702"/>
      <c r="M1337" s="698"/>
      <c r="N1337" s="698"/>
      <c r="O1337" s="702"/>
      <c r="P1337" s="698"/>
      <c r="Q1337" s="698"/>
      <c r="R1337" s="770"/>
    </row>
    <row r="1338" spans="1:20" ht="24">
      <c r="A1338" s="764">
        <v>4170</v>
      </c>
      <c r="B1338" s="934" t="s">
        <v>242</v>
      </c>
      <c r="C1338" s="720">
        <v>4000</v>
      </c>
      <c r="D1338" s="698">
        <f t="shared" si="164"/>
        <v>15200</v>
      </c>
      <c r="E1338" s="698">
        <f t="shared" si="168"/>
        <v>11920</v>
      </c>
      <c r="F1338" s="980">
        <f t="shared" si="163"/>
        <v>78.42105263157895</v>
      </c>
      <c r="G1338" s="720">
        <f>4000+15500-4300</f>
        <v>15200</v>
      </c>
      <c r="H1338" s="698">
        <v>11920</v>
      </c>
      <c r="I1338" s="699">
        <f t="shared" si="167"/>
        <v>78.42105263157895</v>
      </c>
      <c r="J1338" s="703"/>
      <c r="K1338" s="698"/>
      <c r="L1338" s="702"/>
      <c r="M1338" s="698"/>
      <c r="N1338" s="698"/>
      <c r="O1338" s="702"/>
      <c r="P1338" s="698"/>
      <c r="Q1338" s="698"/>
      <c r="R1338" s="770"/>
      <c r="S1338" s="682"/>
      <c r="T1338" s="682"/>
    </row>
    <row r="1339" spans="1:18" ht="24">
      <c r="A1339" s="764">
        <v>4210</v>
      </c>
      <c r="B1339" s="934" t="s">
        <v>211</v>
      </c>
      <c r="C1339" s="720">
        <v>159300</v>
      </c>
      <c r="D1339" s="698">
        <f t="shared" si="164"/>
        <v>133625</v>
      </c>
      <c r="E1339" s="698">
        <f t="shared" si="168"/>
        <v>132893</v>
      </c>
      <c r="F1339" s="980">
        <f t="shared" si="163"/>
        <v>99.45219831618334</v>
      </c>
      <c r="G1339" s="720">
        <f>159300-28675+3000</f>
        <v>133625</v>
      </c>
      <c r="H1339" s="698">
        <v>132893</v>
      </c>
      <c r="I1339" s="746">
        <f t="shared" si="167"/>
        <v>99.45219831618334</v>
      </c>
      <c r="J1339" s="703"/>
      <c r="K1339" s="698"/>
      <c r="L1339" s="702"/>
      <c r="M1339" s="698"/>
      <c r="N1339" s="698"/>
      <c r="O1339" s="702"/>
      <c r="P1339" s="698"/>
      <c r="Q1339" s="698"/>
      <c r="R1339" s="770"/>
    </row>
    <row r="1340" spans="1:18" ht="12.75">
      <c r="A1340" s="764">
        <v>4260</v>
      </c>
      <c r="B1340" s="934" t="s">
        <v>215</v>
      </c>
      <c r="C1340" s="720">
        <v>116600</v>
      </c>
      <c r="D1340" s="698">
        <f t="shared" si="164"/>
        <v>122250</v>
      </c>
      <c r="E1340" s="698">
        <f t="shared" si="168"/>
        <v>120017</v>
      </c>
      <c r="F1340" s="980">
        <f t="shared" si="163"/>
        <v>98.17341513292433</v>
      </c>
      <c r="G1340" s="720">
        <f>116600+5650</f>
        <v>122250</v>
      </c>
      <c r="H1340" s="698">
        <v>120017</v>
      </c>
      <c r="I1340" s="746">
        <f t="shared" si="167"/>
        <v>98.17341513292433</v>
      </c>
      <c r="J1340" s="703"/>
      <c r="K1340" s="698"/>
      <c r="L1340" s="702"/>
      <c r="M1340" s="698"/>
      <c r="N1340" s="698"/>
      <c r="O1340" s="702"/>
      <c r="P1340" s="698"/>
      <c r="Q1340" s="698"/>
      <c r="R1340" s="770"/>
    </row>
    <row r="1341" spans="1:18" ht="15" customHeight="1">
      <c r="A1341" s="764">
        <v>4270</v>
      </c>
      <c r="B1341" s="934" t="s">
        <v>217</v>
      </c>
      <c r="C1341" s="720">
        <v>65000</v>
      </c>
      <c r="D1341" s="698">
        <f t="shared" si="164"/>
        <v>65000</v>
      </c>
      <c r="E1341" s="698">
        <f t="shared" si="168"/>
        <v>59187</v>
      </c>
      <c r="F1341" s="980">
        <f t="shared" si="163"/>
        <v>91.05692307692308</v>
      </c>
      <c r="G1341" s="720">
        <f>65000+4500-4500</f>
        <v>65000</v>
      </c>
      <c r="H1341" s="698">
        <v>59187</v>
      </c>
      <c r="I1341" s="746">
        <f t="shared" si="167"/>
        <v>91.05692307692308</v>
      </c>
      <c r="J1341" s="703"/>
      <c r="K1341" s="698"/>
      <c r="L1341" s="702"/>
      <c r="M1341" s="698"/>
      <c r="N1341" s="698"/>
      <c r="O1341" s="702"/>
      <c r="P1341" s="698"/>
      <c r="Q1341" s="698"/>
      <c r="R1341" s="770"/>
    </row>
    <row r="1342" spans="1:18" ht="15" customHeight="1">
      <c r="A1342" s="764">
        <v>4280</v>
      </c>
      <c r="B1342" s="934" t="s">
        <v>542</v>
      </c>
      <c r="C1342" s="720">
        <v>5000</v>
      </c>
      <c r="D1342" s="698">
        <f t="shared" si="164"/>
        <v>5000</v>
      </c>
      <c r="E1342" s="698">
        <f t="shared" si="168"/>
        <v>4886</v>
      </c>
      <c r="F1342" s="980">
        <f t="shared" si="163"/>
        <v>97.72</v>
      </c>
      <c r="G1342" s="720">
        <v>5000</v>
      </c>
      <c r="H1342" s="698">
        <v>4886</v>
      </c>
      <c r="I1342" s="746">
        <f t="shared" si="167"/>
        <v>97.72</v>
      </c>
      <c r="J1342" s="703"/>
      <c r="K1342" s="698"/>
      <c r="L1342" s="702"/>
      <c r="M1342" s="698"/>
      <c r="N1342" s="698"/>
      <c r="O1342" s="702"/>
      <c r="P1342" s="698"/>
      <c r="Q1342" s="698"/>
      <c r="R1342" s="770"/>
    </row>
    <row r="1343" spans="1:18" ht="15" customHeight="1">
      <c r="A1343" s="764">
        <v>4300</v>
      </c>
      <c r="B1343" s="934" t="s">
        <v>543</v>
      </c>
      <c r="C1343" s="720">
        <v>100000</v>
      </c>
      <c r="D1343" s="698">
        <f t="shared" si="164"/>
        <v>272170</v>
      </c>
      <c r="E1343" s="698">
        <f t="shared" si="168"/>
        <v>267615</v>
      </c>
      <c r="F1343" s="980">
        <f t="shared" si="163"/>
        <v>98.32641363853473</v>
      </c>
      <c r="G1343" s="720">
        <f>100000+100000-500+42870+25800-24000+24000+4000</f>
        <v>272170</v>
      </c>
      <c r="H1343" s="698">
        <v>267615</v>
      </c>
      <c r="I1343" s="746">
        <f t="shared" si="167"/>
        <v>98.32641363853473</v>
      </c>
      <c r="J1343" s="703"/>
      <c r="K1343" s="698"/>
      <c r="L1343" s="702"/>
      <c r="M1343" s="698"/>
      <c r="N1343" s="698"/>
      <c r="O1343" s="702"/>
      <c r="P1343" s="698"/>
      <c r="Q1343" s="698"/>
      <c r="R1343" s="770"/>
    </row>
    <row r="1344" spans="1:18" ht="24">
      <c r="A1344" s="764">
        <v>4350</v>
      </c>
      <c r="B1344" s="934" t="s">
        <v>544</v>
      </c>
      <c r="C1344" s="720">
        <v>5000</v>
      </c>
      <c r="D1344" s="698">
        <f t="shared" si="164"/>
        <v>6500</v>
      </c>
      <c r="E1344" s="698">
        <f t="shared" si="168"/>
        <v>5160</v>
      </c>
      <c r="F1344" s="980">
        <f t="shared" si="163"/>
        <v>79.38461538461539</v>
      </c>
      <c r="G1344" s="720">
        <f>5000+1500</f>
        <v>6500</v>
      </c>
      <c r="H1344" s="698">
        <v>5160</v>
      </c>
      <c r="I1344" s="746">
        <f t="shared" si="167"/>
        <v>79.38461538461539</v>
      </c>
      <c r="J1344" s="703"/>
      <c r="K1344" s="698"/>
      <c r="L1344" s="702"/>
      <c r="M1344" s="698"/>
      <c r="N1344" s="698"/>
      <c r="O1344" s="702"/>
      <c r="P1344" s="698"/>
      <c r="Q1344" s="698"/>
      <c r="R1344" s="770"/>
    </row>
    <row r="1345" spans="1:18" ht="36.75" customHeight="1">
      <c r="A1345" s="764">
        <v>4360</v>
      </c>
      <c r="B1345" s="828" t="s">
        <v>682</v>
      </c>
      <c r="C1345" s="720">
        <v>11000</v>
      </c>
      <c r="D1345" s="698">
        <f t="shared" si="164"/>
        <v>8570</v>
      </c>
      <c r="E1345" s="698">
        <f>SUM(H1345+K1345+N1345+Q1345)</f>
        <v>8533</v>
      </c>
      <c r="F1345" s="980">
        <f>E1345/D1345*100</f>
        <v>99.56826137689615</v>
      </c>
      <c r="G1345" s="720">
        <f>11000-2430</f>
        <v>8570</v>
      </c>
      <c r="H1345" s="698">
        <v>8533</v>
      </c>
      <c r="I1345" s="746">
        <f t="shared" si="167"/>
        <v>99.56826137689615</v>
      </c>
      <c r="J1345" s="703"/>
      <c r="K1345" s="698"/>
      <c r="L1345" s="702"/>
      <c r="M1345" s="698"/>
      <c r="N1345" s="698"/>
      <c r="O1345" s="702"/>
      <c r="P1345" s="698"/>
      <c r="Q1345" s="698"/>
      <c r="R1345" s="770"/>
    </row>
    <row r="1346" spans="1:18" ht="36" customHeight="1">
      <c r="A1346" s="764">
        <v>4370</v>
      </c>
      <c r="B1346" s="828" t="s">
        <v>635</v>
      </c>
      <c r="C1346" s="720">
        <v>64000</v>
      </c>
      <c r="D1346" s="698">
        <f t="shared" si="164"/>
        <v>52840</v>
      </c>
      <c r="E1346" s="698">
        <f>SUM(H1346+K1346+N1346+Q1346)</f>
        <v>49933</v>
      </c>
      <c r="F1346" s="980">
        <f>E1346/D1346*100</f>
        <v>94.49848599545798</v>
      </c>
      <c r="G1346" s="720">
        <f>64000-9660-1500</f>
        <v>52840</v>
      </c>
      <c r="H1346" s="698">
        <v>49933</v>
      </c>
      <c r="I1346" s="746">
        <f t="shared" si="167"/>
        <v>94.49848599545798</v>
      </c>
      <c r="J1346" s="703"/>
      <c r="K1346" s="698"/>
      <c r="L1346" s="702"/>
      <c r="M1346" s="698"/>
      <c r="N1346" s="698"/>
      <c r="O1346" s="702"/>
      <c r="P1346" s="698"/>
      <c r="Q1346" s="698"/>
      <c r="R1346" s="770"/>
    </row>
    <row r="1347" spans="1:18" ht="38.25" customHeight="1">
      <c r="A1347" s="764">
        <v>4390</v>
      </c>
      <c r="B1347" s="828" t="s">
        <v>243</v>
      </c>
      <c r="C1347" s="720">
        <v>41000</v>
      </c>
      <c r="D1347" s="698">
        <f>G1347+J1347+P1347+M1347</f>
        <v>42000</v>
      </c>
      <c r="E1347" s="698">
        <f>SUM(H1347+K1347+N1347+Q1347)</f>
        <v>41724</v>
      </c>
      <c r="F1347" s="980">
        <f>E1347/D1347*100</f>
        <v>99.34285714285714</v>
      </c>
      <c r="G1347" s="720">
        <f>41000+1000</f>
        <v>42000</v>
      </c>
      <c r="H1347" s="698">
        <v>41724</v>
      </c>
      <c r="I1347" s="746">
        <f t="shared" si="167"/>
        <v>99.34285714285714</v>
      </c>
      <c r="J1347" s="703"/>
      <c r="K1347" s="698"/>
      <c r="L1347" s="702"/>
      <c r="M1347" s="698"/>
      <c r="N1347" s="698"/>
      <c r="O1347" s="702"/>
      <c r="P1347" s="698"/>
      <c r="Q1347" s="698"/>
      <c r="R1347" s="770"/>
    </row>
    <row r="1348" spans="1:18" ht="26.25" customHeight="1">
      <c r="A1348" s="764">
        <v>4400</v>
      </c>
      <c r="B1348" s="828" t="s">
        <v>547</v>
      </c>
      <c r="C1348" s="720">
        <v>7400</v>
      </c>
      <c r="D1348" s="698">
        <f t="shared" si="164"/>
        <v>6950</v>
      </c>
      <c r="E1348" s="698">
        <f>SUM(H1348+K1348+N1348+Q1348)</f>
        <v>6902</v>
      </c>
      <c r="F1348" s="980">
        <f>E1348/D1348*100</f>
        <v>99.30935251798562</v>
      </c>
      <c r="G1348" s="720">
        <f>7400-450</f>
        <v>6950</v>
      </c>
      <c r="H1348" s="698">
        <f>6903-1</f>
        <v>6902</v>
      </c>
      <c r="I1348" s="746">
        <f t="shared" si="167"/>
        <v>99.30935251798562</v>
      </c>
      <c r="J1348" s="703"/>
      <c r="K1348" s="698"/>
      <c r="L1348" s="702"/>
      <c r="M1348" s="698"/>
      <c r="N1348" s="698"/>
      <c r="O1348" s="702"/>
      <c r="P1348" s="698"/>
      <c r="Q1348" s="698"/>
      <c r="R1348" s="770"/>
    </row>
    <row r="1349" spans="1:18" ht="15" customHeight="1">
      <c r="A1349" s="764">
        <v>4410</v>
      </c>
      <c r="B1349" s="934" t="s">
        <v>193</v>
      </c>
      <c r="C1349" s="720">
        <v>40000</v>
      </c>
      <c r="D1349" s="698">
        <f t="shared" si="164"/>
        <v>33234</v>
      </c>
      <c r="E1349" s="698">
        <f t="shared" si="168"/>
        <v>33110</v>
      </c>
      <c r="F1349" s="980">
        <f t="shared" si="163"/>
        <v>99.62688812661732</v>
      </c>
      <c r="G1349" s="720">
        <f>40000-6766</f>
        <v>33234</v>
      </c>
      <c r="H1349" s="698">
        <v>33110</v>
      </c>
      <c r="I1349" s="746">
        <f t="shared" si="167"/>
        <v>99.62688812661732</v>
      </c>
      <c r="J1349" s="703"/>
      <c r="K1349" s="698"/>
      <c r="L1349" s="702"/>
      <c r="M1349" s="698"/>
      <c r="N1349" s="698"/>
      <c r="O1349" s="702"/>
      <c r="P1349" s="698"/>
      <c r="Q1349" s="698"/>
      <c r="R1349" s="770"/>
    </row>
    <row r="1350" spans="1:18" ht="24" hidden="1">
      <c r="A1350" s="764">
        <v>4420</v>
      </c>
      <c r="B1350" s="934" t="s">
        <v>560</v>
      </c>
      <c r="C1350" s="720"/>
      <c r="D1350" s="698">
        <f t="shared" si="164"/>
        <v>0</v>
      </c>
      <c r="E1350" s="698">
        <f t="shared" si="168"/>
        <v>0</v>
      </c>
      <c r="F1350" s="980" t="e">
        <f t="shared" si="163"/>
        <v>#DIV/0!</v>
      </c>
      <c r="G1350" s="720"/>
      <c r="H1350" s="698"/>
      <c r="I1350" s="746" t="e">
        <f t="shared" si="167"/>
        <v>#DIV/0!</v>
      </c>
      <c r="J1350" s="703"/>
      <c r="K1350" s="698"/>
      <c r="L1350" s="702"/>
      <c r="M1350" s="698"/>
      <c r="N1350" s="698"/>
      <c r="O1350" s="702"/>
      <c r="P1350" s="698"/>
      <c r="Q1350" s="698"/>
      <c r="R1350" s="770"/>
    </row>
    <row r="1351" spans="1:18" ht="15" customHeight="1">
      <c r="A1351" s="764">
        <v>4430</v>
      </c>
      <c r="B1351" s="934" t="s">
        <v>221</v>
      </c>
      <c r="C1351" s="720">
        <v>14500</v>
      </c>
      <c r="D1351" s="698">
        <f t="shared" si="164"/>
        <v>11058</v>
      </c>
      <c r="E1351" s="698">
        <f t="shared" si="168"/>
        <v>11057</v>
      </c>
      <c r="F1351" s="980">
        <f t="shared" si="163"/>
        <v>99.99095677337674</v>
      </c>
      <c r="G1351" s="720">
        <f>14500-3442</f>
        <v>11058</v>
      </c>
      <c r="H1351" s="698">
        <v>11057</v>
      </c>
      <c r="I1351" s="699">
        <f t="shared" si="167"/>
        <v>99.99095677337674</v>
      </c>
      <c r="J1351" s="703"/>
      <c r="K1351" s="698"/>
      <c r="L1351" s="702"/>
      <c r="M1351" s="698"/>
      <c r="N1351" s="698"/>
      <c r="O1351" s="702"/>
      <c r="P1351" s="698"/>
      <c r="Q1351" s="698"/>
      <c r="R1351" s="770"/>
    </row>
    <row r="1352" spans="1:18" ht="15" customHeight="1">
      <c r="A1352" s="764">
        <v>4440</v>
      </c>
      <c r="B1352" s="934" t="s">
        <v>223</v>
      </c>
      <c r="C1352" s="720">
        <v>100000</v>
      </c>
      <c r="D1352" s="698">
        <f t="shared" si="164"/>
        <v>128200</v>
      </c>
      <c r="E1352" s="698">
        <f t="shared" si="168"/>
        <v>128154</v>
      </c>
      <c r="F1352" s="980">
        <f t="shared" si="163"/>
        <v>99.96411856474259</v>
      </c>
      <c r="G1352" s="720">
        <f>100000+28200</f>
        <v>128200</v>
      </c>
      <c r="H1352" s="698">
        <v>128154</v>
      </c>
      <c r="I1352" s="699">
        <f t="shared" si="167"/>
        <v>99.96411856474259</v>
      </c>
      <c r="J1352" s="703"/>
      <c r="K1352" s="698"/>
      <c r="L1352" s="702"/>
      <c r="M1352" s="698"/>
      <c r="N1352" s="698"/>
      <c r="O1352" s="702"/>
      <c r="P1352" s="698"/>
      <c r="Q1352" s="698"/>
      <c r="R1352" s="770"/>
    </row>
    <row r="1353" spans="1:18" ht="17.25" customHeight="1">
      <c r="A1353" s="764">
        <v>4480</v>
      </c>
      <c r="B1353" s="934" t="s">
        <v>225</v>
      </c>
      <c r="C1353" s="720">
        <v>18000</v>
      </c>
      <c r="D1353" s="698">
        <f t="shared" si="164"/>
        <v>18300</v>
      </c>
      <c r="E1353" s="698">
        <f>H1353+K1353+Q1353+N1353</f>
        <v>18153</v>
      </c>
      <c r="F1353" s="980">
        <f t="shared" si="163"/>
        <v>99.19672131147541</v>
      </c>
      <c r="G1353" s="720">
        <f>18000+300</f>
        <v>18300</v>
      </c>
      <c r="H1353" s="698">
        <v>18153</v>
      </c>
      <c r="I1353" s="746">
        <f t="shared" si="167"/>
        <v>99.19672131147541</v>
      </c>
      <c r="J1353" s="703"/>
      <c r="K1353" s="698"/>
      <c r="L1353" s="702"/>
      <c r="M1353" s="698"/>
      <c r="N1353" s="698"/>
      <c r="O1353" s="702"/>
      <c r="P1353" s="698"/>
      <c r="Q1353" s="698"/>
      <c r="R1353" s="770"/>
    </row>
    <row r="1354" spans="1:18" ht="24">
      <c r="A1354" s="764">
        <v>4530</v>
      </c>
      <c r="B1354" s="934" t="s">
        <v>576</v>
      </c>
      <c r="C1354" s="720"/>
      <c r="D1354" s="698">
        <f t="shared" si="164"/>
        <v>400</v>
      </c>
      <c r="E1354" s="698">
        <f>H1354+K1354+Q1354+N1354</f>
        <v>48</v>
      </c>
      <c r="F1354" s="980">
        <f t="shared" si="163"/>
        <v>12</v>
      </c>
      <c r="G1354" s="720">
        <v>400</v>
      </c>
      <c r="H1354" s="698">
        <v>48</v>
      </c>
      <c r="I1354" s="746">
        <f t="shared" si="167"/>
        <v>12</v>
      </c>
      <c r="J1354" s="703"/>
      <c r="K1354" s="698"/>
      <c r="L1354" s="702"/>
      <c r="M1354" s="698"/>
      <c r="N1354" s="698"/>
      <c r="O1354" s="702"/>
      <c r="P1354" s="698"/>
      <c r="Q1354" s="698"/>
      <c r="R1354" s="770"/>
    </row>
    <row r="1355" spans="1:18" ht="12.75">
      <c r="A1355" s="764">
        <v>4580</v>
      </c>
      <c r="B1355" s="934" t="s">
        <v>244</v>
      </c>
      <c r="C1355" s="720"/>
      <c r="D1355" s="698">
        <f>G1355+J1355+P1355+M1355</f>
        <v>100</v>
      </c>
      <c r="E1355" s="698">
        <f>H1355+K1355+Q1355+N1355</f>
        <v>17</v>
      </c>
      <c r="F1355" s="980">
        <f>E1355/D1355*100</f>
        <v>17</v>
      </c>
      <c r="G1355" s="720">
        <v>100</v>
      </c>
      <c r="H1355" s="698">
        <f>17-1+1</f>
        <v>17</v>
      </c>
      <c r="I1355" s="746">
        <f t="shared" si="167"/>
        <v>17</v>
      </c>
      <c r="J1355" s="703"/>
      <c r="K1355" s="698"/>
      <c r="L1355" s="702"/>
      <c r="M1355" s="698"/>
      <c r="N1355" s="698"/>
      <c r="O1355" s="702"/>
      <c r="P1355" s="698"/>
      <c r="Q1355" s="698"/>
      <c r="R1355" s="770"/>
    </row>
    <row r="1356" spans="1:18" ht="36">
      <c r="A1356" s="764">
        <v>4610</v>
      </c>
      <c r="B1356" s="934" t="s">
        <v>826</v>
      </c>
      <c r="C1356" s="720">
        <v>3500</v>
      </c>
      <c r="D1356" s="698">
        <f t="shared" si="164"/>
        <v>700</v>
      </c>
      <c r="E1356" s="698">
        <f aca="true" t="shared" si="169" ref="E1356:E1368">SUM(H1356+K1356+N1356+Q1356)</f>
        <v>510</v>
      </c>
      <c r="F1356" s="980">
        <f t="shared" si="163"/>
        <v>72.85714285714285</v>
      </c>
      <c r="G1356" s="720">
        <f>3500-2800</f>
        <v>700</v>
      </c>
      <c r="H1356" s="698">
        <v>510</v>
      </c>
      <c r="I1356" s="746">
        <f t="shared" si="167"/>
        <v>72.85714285714285</v>
      </c>
      <c r="J1356" s="703"/>
      <c r="K1356" s="698"/>
      <c r="L1356" s="702"/>
      <c r="M1356" s="698"/>
      <c r="N1356" s="698"/>
      <c r="O1356" s="702"/>
      <c r="P1356" s="698"/>
      <c r="Q1356" s="698"/>
      <c r="R1356" s="770"/>
    </row>
    <row r="1357" spans="1:18" ht="39.75" customHeight="1">
      <c r="A1357" s="764">
        <v>4700</v>
      </c>
      <c r="B1357" s="828" t="s">
        <v>550</v>
      </c>
      <c r="C1357" s="720">
        <v>21000</v>
      </c>
      <c r="D1357" s="698">
        <f t="shared" si="164"/>
        <v>21000</v>
      </c>
      <c r="E1357" s="698">
        <f t="shared" si="169"/>
        <v>14948</v>
      </c>
      <c r="F1357" s="980">
        <f t="shared" si="163"/>
        <v>71.18095238095238</v>
      </c>
      <c r="G1357" s="720">
        <v>21000</v>
      </c>
      <c r="H1357" s="698">
        <v>14948</v>
      </c>
      <c r="I1357" s="746">
        <f t="shared" si="167"/>
        <v>71.18095238095238</v>
      </c>
      <c r="J1357" s="703"/>
      <c r="K1357" s="698"/>
      <c r="L1357" s="702"/>
      <c r="M1357" s="698"/>
      <c r="N1357" s="698"/>
      <c r="O1357" s="702"/>
      <c r="P1357" s="698"/>
      <c r="Q1357" s="698"/>
      <c r="R1357" s="770"/>
    </row>
    <row r="1358" spans="1:18" ht="48" customHeight="1">
      <c r="A1358" s="764">
        <v>4740</v>
      </c>
      <c r="B1358" s="828" t="s">
        <v>235</v>
      </c>
      <c r="C1358" s="720">
        <v>12800</v>
      </c>
      <c r="D1358" s="698">
        <f t="shared" si="164"/>
        <v>15300</v>
      </c>
      <c r="E1358" s="698">
        <f t="shared" si="169"/>
        <v>15274</v>
      </c>
      <c r="F1358" s="980">
        <f t="shared" si="163"/>
        <v>99.83006535947713</v>
      </c>
      <c r="G1358" s="720">
        <f>12800+2500</f>
        <v>15300</v>
      </c>
      <c r="H1358" s="698">
        <v>15274</v>
      </c>
      <c r="I1358" s="746">
        <f t="shared" si="167"/>
        <v>99.83006535947713</v>
      </c>
      <c r="J1358" s="703"/>
      <c r="K1358" s="698"/>
      <c r="L1358" s="702"/>
      <c r="M1358" s="698"/>
      <c r="N1358" s="698"/>
      <c r="O1358" s="702"/>
      <c r="P1358" s="698"/>
      <c r="Q1358" s="698"/>
      <c r="R1358" s="770"/>
    </row>
    <row r="1359" spans="1:18" ht="36">
      <c r="A1359" s="764">
        <v>4750</v>
      </c>
      <c r="B1359" s="828" t="s">
        <v>551</v>
      </c>
      <c r="C1359" s="720">
        <v>40000</v>
      </c>
      <c r="D1359" s="698">
        <f>G1359+J1359+P1359+M1359</f>
        <v>40000</v>
      </c>
      <c r="E1359" s="698">
        <f t="shared" si="169"/>
        <v>39733</v>
      </c>
      <c r="F1359" s="980">
        <f t="shared" si="163"/>
        <v>99.3325</v>
      </c>
      <c r="G1359" s="720">
        <v>40000</v>
      </c>
      <c r="H1359" s="698">
        <v>39733</v>
      </c>
      <c r="I1359" s="746">
        <f t="shared" si="167"/>
        <v>99.3325</v>
      </c>
      <c r="J1359" s="703"/>
      <c r="K1359" s="698"/>
      <c r="L1359" s="702"/>
      <c r="M1359" s="698"/>
      <c r="N1359" s="698"/>
      <c r="O1359" s="702"/>
      <c r="P1359" s="698"/>
      <c r="Q1359" s="698"/>
      <c r="R1359" s="770"/>
    </row>
    <row r="1360" spans="1:18" ht="24" hidden="1">
      <c r="A1360" s="764">
        <v>4990</v>
      </c>
      <c r="B1360" s="768" t="s">
        <v>827</v>
      </c>
      <c r="C1360" s="720"/>
      <c r="D1360" s="698"/>
      <c r="E1360" s="698">
        <f t="shared" si="169"/>
        <v>0</v>
      </c>
      <c r="F1360" s="980"/>
      <c r="G1360" s="720"/>
      <c r="H1360" s="698"/>
      <c r="I1360" s="746"/>
      <c r="J1360" s="703"/>
      <c r="K1360" s="698"/>
      <c r="L1360" s="702"/>
      <c r="M1360" s="698"/>
      <c r="N1360" s="698"/>
      <c r="O1360" s="702"/>
      <c r="P1360" s="698"/>
      <c r="Q1360" s="698"/>
      <c r="R1360" s="770"/>
    </row>
    <row r="1361" spans="1:18" ht="27" customHeight="1">
      <c r="A1361" s="764">
        <v>6050</v>
      </c>
      <c r="B1361" s="934" t="s">
        <v>246</v>
      </c>
      <c r="C1361" s="720">
        <v>400000</v>
      </c>
      <c r="D1361" s="698">
        <f>G1361+J1361+P1361+M1361</f>
        <v>394500</v>
      </c>
      <c r="E1361" s="698">
        <f t="shared" si="169"/>
        <v>375320</v>
      </c>
      <c r="F1361" s="980">
        <f t="shared" si="163"/>
        <v>95.1381495564005</v>
      </c>
      <c r="G1361" s="720">
        <f>400000-5500</f>
        <v>394500</v>
      </c>
      <c r="H1361" s="698">
        <v>375320</v>
      </c>
      <c r="I1361" s="746">
        <f t="shared" si="167"/>
        <v>95.1381495564005</v>
      </c>
      <c r="J1361" s="703"/>
      <c r="K1361" s="698"/>
      <c r="L1361" s="702"/>
      <c r="M1361" s="698"/>
      <c r="N1361" s="698"/>
      <c r="O1361" s="702"/>
      <c r="P1361" s="698"/>
      <c r="Q1361" s="698"/>
      <c r="R1361" s="770"/>
    </row>
    <row r="1362" spans="1:20" s="756" customFormat="1" ht="48.75" customHeight="1">
      <c r="A1362" s="764">
        <v>6060</v>
      </c>
      <c r="B1362" s="934" t="s">
        <v>470</v>
      </c>
      <c r="C1362" s="720">
        <v>150000</v>
      </c>
      <c r="D1362" s="698">
        <f t="shared" si="164"/>
        <v>155500</v>
      </c>
      <c r="E1362" s="698">
        <f t="shared" si="169"/>
        <v>155325</v>
      </c>
      <c r="F1362" s="980">
        <f t="shared" si="163"/>
        <v>99.88745980707395</v>
      </c>
      <c r="G1362" s="720">
        <f>150000+5500</f>
        <v>155500</v>
      </c>
      <c r="H1362" s="698">
        <v>155325</v>
      </c>
      <c r="I1362" s="746">
        <f t="shared" si="167"/>
        <v>99.88745980707395</v>
      </c>
      <c r="J1362" s="703"/>
      <c r="K1362" s="698"/>
      <c r="L1362" s="702"/>
      <c r="M1362" s="698"/>
      <c r="N1362" s="698"/>
      <c r="O1362" s="702"/>
      <c r="P1362" s="698"/>
      <c r="Q1362" s="698"/>
      <c r="R1362" s="770"/>
      <c r="S1362" s="682"/>
      <c r="T1362" s="682"/>
    </row>
    <row r="1363" spans="1:20" s="1017" customFormat="1" ht="102" hidden="1">
      <c r="A1363" s="929"/>
      <c r="B1363" s="1011" t="s">
        <v>328</v>
      </c>
      <c r="C1363" s="857"/>
      <c r="D1363" s="858">
        <f t="shared" si="164"/>
        <v>0</v>
      </c>
      <c r="E1363" s="858">
        <f t="shared" si="169"/>
        <v>0</v>
      </c>
      <c r="F1363" s="1012" t="e">
        <f t="shared" si="163"/>
        <v>#DIV/0!</v>
      </c>
      <c r="G1363" s="857"/>
      <c r="H1363" s="858"/>
      <c r="I1363" s="1013"/>
      <c r="J1363" s="859">
        <f>SUM(J1364:J1368)</f>
        <v>0</v>
      </c>
      <c r="K1363" s="858">
        <f>SUM(K1364:K1368)</f>
        <v>0</v>
      </c>
      <c r="L1363" s="1014" t="e">
        <f aca="true" t="shared" si="170" ref="L1363:L1368">K1363/J1363*100</f>
        <v>#DIV/0!</v>
      </c>
      <c r="M1363" s="858"/>
      <c r="N1363" s="858"/>
      <c r="O1363" s="1014"/>
      <c r="P1363" s="858"/>
      <c r="Q1363" s="858"/>
      <c r="R1363" s="1015"/>
      <c r="S1363" s="1016"/>
      <c r="T1363" s="1016"/>
    </row>
    <row r="1364" spans="1:20" s="756" customFormat="1" ht="36" hidden="1">
      <c r="A1364" s="764">
        <v>4110</v>
      </c>
      <c r="B1364" s="934" t="s">
        <v>207</v>
      </c>
      <c r="C1364" s="720"/>
      <c r="D1364" s="698">
        <f t="shared" si="164"/>
        <v>0</v>
      </c>
      <c r="E1364" s="698">
        <f t="shared" si="169"/>
        <v>0</v>
      </c>
      <c r="F1364" s="980" t="e">
        <f t="shared" si="163"/>
        <v>#DIV/0!</v>
      </c>
      <c r="G1364" s="720"/>
      <c r="H1364" s="698"/>
      <c r="I1364" s="746"/>
      <c r="J1364" s="703">
        <f>910-910</f>
        <v>0</v>
      </c>
      <c r="K1364" s="698"/>
      <c r="L1364" s="1018" t="e">
        <f t="shared" si="170"/>
        <v>#DIV/0!</v>
      </c>
      <c r="M1364" s="698"/>
      <c r="N1364" s="698"/>
      <c r="O1364" s="702"/>
      <c r="P1364" s="698"/>
      <c r="Q1364" s="698"/>
      <c r="R1364" s="770"/>
      <c r="S1364" s="682"/>
      <c r="T1364" s="682"/>
    </row>
    <row r="1365" spans="1:20" s="756" customFormat="1" ht="12.75" hidden="1">
      <c r="A1365" s="764">
        <v>4120</v>
      </c>
      <c r="B1365" s="934" t="s">
        <v>584</v>
      </c>
      <c r="C1365" s="720"/>
      <c r="D1365" s="698">
        <f t="shared" si="164"/>
        <v>0</v>
      </c>
      <c r="E1365" s="698">
        <f t="shared" si="169"/>
        <v>0</v>
      </c>
      <c r="F1365" s="980" t="e">
        <f t="shared" si="163"/>
        <v>#DIV/0!</v>
      </c>
      <c r="G1365" s="720"/>
      <c r="H1365" s="698"/>
      <c r="I1365" s="746"/>
      <c r="J1365" s="703">
        <f>140-140</f>
        <v>0</v>
      </c>
      <c r="K1365" s="698"/>
      <c r="L1365" s="1018" t="e">
        <f t="shared" si="170"/>
        <v>#DIV/0!</v>
      </c>
      <c r="M1365" s="698"/>
      <c r="N1365" s="698"/>
      <c r="O1365" s="702"/>
      <c r="P1365" s="698"/>
      <c r="Q1365" s="698"/>
      <c r="R1365" s="770"/>
      <c r="S1365" s="682"/>
      <c r="T1365" s="682"/>
    </row>
    <row r="1366" spans="1:20" s="756" customFormat="1" ht="24" hidden="1">
      <c r="A1366" s="764">
        <v>4170</v>
      </c>
      <c r="B1366" s="934" t="s">
        <v>242</v>
      </c>
      <c r="C1366" s="720"/>
      <c r="D1366" s="698">
        <f t="shared" si="164"/>
        <v>0</v>
      </c>
      <c r="E1366" s="698">
        <f t="shared" si="169"/>
        <v>0</v>
      </c>
      <c r="F1366" s="980" t="e">
        <f t="shared" si="163"/>
        <v>#DIV/0!</v>
      </c>
      <c r="G1366" s="720"/>
      <c r="H1366" s="698"/>
      <c r="I1366" s="746"/>
      <c r="J1366" s="703">
        <f>5950-5950</f>
        <v>0</v>
      </c>
      <c r="K1366" s="698"/>
      <c r="L1366" s="1018" t="e">
        <f t="shared" si="170"/>
        <v>#DIV/0!</v>
      </c>
      <c r="M1366" s="698"/>
      <c r="N1366" s="698"/>
      <c r="O1366" s="702"/>
      <c r="P1366" s="698"/>
      <c r="Q1366" s="698"/>
      <c r="R1366" s="770"/>
      <c r="S1366" s="682"/>
      <c r="T1366" s="682"/>
    </row>
    <row r="1367" spans="1:20" s="756" customFormat="1" ht="24" hidden="1">
      <c r="A1367" s="764">
        <v>4210</v>
      </c>
      <c r="B1367" s="934" t="s">
        <v>211</v>
      </c>
      <c r="C1367" s="720"/>
      <c r="D1367" s="698">
        <f t="shared" si="164"/>
        <v>0</v>
      </c>
      <c r="E1367" s="698">
        <f t="shared" si="169"/>
        <v>0</v>
      </c>
      <c r="F1367" s="980" t="e">
        <f t="shared" si="163"/>
        <v>#DIV/0!</v>
      </c>
      <c r="G1367" s="720"/>
      <c r="H1367" s="698"/>
      <c r="I1367" s="746"/>
      <c r="J1367" s="703">
        <f>1600-1600</f>
        <v>0</v>
      </c>
      <c r="K1367" s="698"/>
      <c r="L1367" s="1018" t="e">
        <f t="shared" si="170"/>
        <v>#DIV/0!</v>
      </c>
      <c r="M1367" s="698"/>
      <c r="N1367" s="698"/>
      <c r="O1367" s="702"/>
      <c r="P1367" s="698"/>
      <c r="Q1367" s="698"/>
      <c r="R1367" s="770"/>
      <c r="S1367" s="682"/>
      <c r="T1367" s="682"/>
    </row>
    <row r="1368" spans="1:20" s="756" customFormat="1" ht="24" hidden="1">
      <c r="A1368" s="764">
        <v>4300</v>
      </c>
      <c r="B1368" s="934" t="s">
        <v>543</v>
      </c>
      <c r="C1368" s="720"/>
      <c r="D1368" s="698">
        <f t="shared" si="164"/>
        <v>0</v>
      </c>
      <c r="E1368" s="698">
        <f t="shared" si="169"/>
        <v>0</v>
      </c>
      <c r="F1368" s="980" t="e">
        <f t="shared" si="163"/>
        <v>#DIV/0!</v>
      </c>
      <c r="G1368" s="720"/>
      <c r="H1368" s="792"/>
      <c r="I1368" s="746"/>
      <c r="J1368" s="793">
        <f>1650-1650</f>
        <v>0</v>
      </c>
      <c r="K1368" s="792"/>
      <c r="L1368" s="1018" t="e">
        <f t="shared" si="170"/>
        <v>#DIV/0!</v>
      </c>
      <c r="M1368" s="792"/>
      <c r="N1368" s="792"/>
      <c r="O1368" s="702"/>
      <c r="P1368" s="792"/>
      <c r="Q1368" s="792"/>
      <c r="R1368" s="797"/>
      <c r="S1368" s="682"/>
      <c r="T1368" s="682"/>
    </row>
    <row r="1369" spans="1:20" s="756" customFormat="1" ht="54.75" customHeight="1">
      <c r="A1369" s="757">
        <v>85220</v>
      </c>
      <c r="B1369" s="959" t="s">
        <v>828</v>
      </c>
      <c r="C1369" s="725">
        <f>SUM(C1370:C1378)</f>
        <v>222600</v>
      </c>
      <c r="D1369" s="712">
        <f t="shared" si="164"/>
        <v>237900</v>
      </c>
      <c r="E1369" s="712">
        <f>H1369+K1369+Q1369+N1369</f>
        <v>230436</v>
      </c>
      <c r="F1369" s="1008">
        <f t="shared" si="163"/>
        <v>96.8625472887768</v>
      </c>
      <c r="G1369" s="725">
        <f>SUM(G1370:G1378)</f>
        <v>41900</v>
      </c>
      <c r="H1369" s="712">
        <f>SUM(H1370:H1378)</f>
        <v>34436</v>
      </c>
      <c r="I1369" s="1019">
        <f>H1369/G1369*100</f>
        <v>82.18615751789976</v>
      </c>
      <c r="J1369" s="717"/>
      <c r="K1369" s="712"/>
      <c r="L1369" s="718"/>
      <c r="M1369" s="712">
        <f>SUM(M1370:M1378)</f>
        <v>196000</v>
      </c>
      <c r="N1369" s="712">
        <f>SUM(N1370:N1378)</f>
        <v>196000</v>
      </c>
      <c r="O1369" s="741">
        <f>N1369/M1369*100</f>
        <v>100</v>
      </c>
      <c r="P1369" s="712">
        <f>SUM(P1370:P1378)</f>
        <v>0</v>
      </c>
      <c r="Q1369" s="712">
        <f>SUM(Q1370:Q1378)</f>
        <v>0</v>
      </c>
      <c r="R1369" s="741"/>
      <c r="S1369" s="682"/>
      <c r="T1369" s="682"/>
    </row>
    <row r="1370" spans="1:20" s="756" customFormat="1" ht="63" customHeight="1">
      <c r="A1370" s="764">
        <v>2820</v>
      </c>
      <c r="B1370" s="934" t="s">
        <v>555</v>
      </c>
      <c r="C1370" s="720">
        <v>196000</v>
      </c>
      <c r="D1370" s="698">
        <f t="shared" si="164"/>
        <v>196000</v>
      </c>
      <c r="E1370" s="698">
        <f aca="true" t="shared" si="171" ref="E1370:E1378">SUM(H1370+K1370+N1370+Q1370)</f>
        <v>196000</v>
      </c>
      <c r="F1370" s="980">
        <f t="shared" si="163"/>
        <v>100</v>
      </c>
      <c r="G1370" s="720"/>
      <c r="H1370" s="698"/>
      <c r="I1370" s="770"/>
      <c r="J1370" s="703"/>
      <c r="K1370" s="698"/>
      <c r="L1370" s="704"/>
      <c r="M1370" s="720">
        <v>196000</v>
      </c>
      <c r="N1370" s="732">
        <f>100000+96000</f>
        <v>196000</v>
      </c>
      <c r="O1370" s="744">
        <f>N1370/M1370*100</f>
        <v>100</v>
      </c>
      <c r="P1370" s="698"/>
      <c r="Q1370" s="698"/>
      <c r="R1370" s="744"/>
      <c r="S1370" s="682"/>
      <c r="T1370" s="682"/>
    </row>
    <row r="1371" spans="1:20" s="756" customFormat="1" ht="24" hidden="1">
      <c r="A1371" s="764">
        <v>4170</v>
      </c>
      <c r="B1371" s="934" t="s">
        <v>242</v>
      </c>
      <c r="C1371" s="720"/>
      <c r="D1371" s="698">
        <f t="shared" si="164"/>
        <v>0</v>
      </c>
      <c r="E1371" s="698">
        <f t="shared" si="171"/>
        <v>0</v>
      </c>
      <c r="F1371" s="980"/>
      <c r="G1371" s="720"/>
      <c r="H1371" s="698"/>
      <c r="I1371" s="770"/>
      <c r="J1371" s="703"/>
      <c r="K1371" s="698"/>
      <c r="L1371" s="704"/>
      <c r="M1371" s="720"/>
      <c r="N1371" s="698"/>
      <c r="O1371" s="702"/>
      <c r="P1371" s="698"/>
      <c r="Q1371" s="698"/>
      <c r="R1371" s="744"/>
      <c r="S1371" s="682"/>
      <c r="T1371" s="682"/>
    </row>
    <row r="1372" spans="1:20" s="756" customFormat="1" ht="24">
      <c r="A1372" s="764">
        <v>4210</v>
      </c>
      <c r="B1372" s="934" t="s">
        <v>211</v>
      </c>
      <c r="C1372" s="720"/>
      <c r="D1372" s="698">
        <f t="shared" si="164"/>
        <v>300</v>
      </c>
      <c r="E1372" s="698">
        <f t="shared" si="171"/>
        <v>0</v>
      </c>
      <c r="F1372" s="980">
        <f t="shared" si="163"/>
        <v>0</v>
      </c>
      <c r="G1372" s="720">
        <v>300</v>
      </c>
      <c r="H1372" s="698"/>
      <c r="I1372" s="1001">
        <f>H1372/G1372*100</f>
        <v>0</v>
      </c>
      <c r="J1372" s="703"/>
      <c r="K1372" s="698"/>
      <c r="L1372" s="704"/>
      <c r="M1372" s="720"/>
      <c r="N1372" s="698"/>
      <c r="O1372" s="702"/>
      <c r="P1372" s="698"/>
      <c r="Q1372" s="698"/>
      <c r="R1372" s="744"/>
      <c r="S1372" s="682"/>
      <c r="T1372" s="682"/>
    </row>
    <row r="1373" spans="1:20" s="756" customFormat="1" ht="15.75" customHeight="1">
      <c r="A1373" s="764">
        <v>4260</v>
      </c>
      <c r="B1373" s="934" t="s">
        <v>215</v>
      </c>
      <c r="C1373" s="720">
        <v>13000</v>
      </c>
      <c r="D1373" s="698">
        <f t="shared" si="164"/>
        <v>20000</v>
      </c>
      <c r="E1373" s="698">
        <f t="shared" si="171"/>
        <v>13771</v>
      </c>
      <c r="F1373" s="980">
        <f>E1373/D1373*100</f>
        <v>68.855</v>
      </c>
      <c r="G1373" s="720">
        <f>13000+7000</f>
        <v>20000</v>
      </c>
      <c r="H1373" s="698">
        <f>13770+1</f>
        <v>13771</v>
      </c>
      <c r="I1373" s="1001">
        <f>H1373/G1373*100</f>
        <v>68.855</v>
      </c>
      <c r="J1373" s="703"/>
      <c r="K1373" s="698"/>
      <c r="L1373" s="704"/>
      <c r="M1373" s="720"/>
      <c r="N1373" s="698"/>
      <c r="O1373" s="702"/>
      <c r="P1373" s="698"/>
      <c r="Q1373" s="698"/>
      <c r="R1373" s="744"/>
      <c r="S1373" s="682"/>
      <c r="T1373" s="682"/>
    </row>
    <row r="1374" spans="1:20" s="756" customFormat="1" ht="15.75" customHeight="1">
      <c r="A1374" s="764">
        <v>4270</v>
      </c>
      <c r="B1374" s="934" t="s">
        <v>217</v>
      </c>
      <c r="C1374" s="720">
        <v>4000</v>
      </c>
      <c r="D1374" s="698">
        <f t="shared" si="164"/>
        <v>9000</v>
      </c>
      <c r="E1374" s="698">
        <f t="shared" si="171"/>
        <v>8667</v>
      </c>
      <c r="F1374" s="980">
        <f>E1374/D1374*100</f>
        <v>96.3</v>
      </c>
      <c r="G1374" s="720">
        <f>4000+5000</f>
        <v>9000</v>
      </c>
      <c r="H1374" s="698">
        <v>8667</v>
      </c>
      <c r="I1374" s="1001">
        <f>H1374/G1374*100</f>
        <v>96.3</v>
      </c>
      <c r="J1374" s="703"/>
      <c r="K1374" s="698"/>
      <c r="L1374" s="704"/>
      <c r="M1374" s="720"/>
      <c r="N1374" s="698"/>
      <c r="O1374" s="702"/>
      <c r="P1374" s="698"/>
      <c r="Q1374" s="698"/>
      <c r="R1374" s="702"/>
      <c r="S1374" s="682"/>
      <c r="T1374" s="682"/>
    </row>
    <row r="1375" spans="1:20" s="756" customFormat="1" ht="15.75" customHeight="1">
      <c r="A1375" s="764">
        <v>4300</v>
      </c>
      <c r="B1375" s="828" t="s">
        <v>543</v>
      </c>
      <c r="C1375" s="720">
        <v>3500</v>
      </c>
      <c r="D1375" s="698">
        <f>G1375+J1375+P1375+M1375</f>
        <v>6500</v>
      </c>
      <c r="E1375" s="698">
        <f>SUM(H1375+K1375+N1375+Q1375)</f>
        <v>6375</v>
      </c>
      <c r="F1375" s="980">
        <f>E1375/D1375*100</f>
        <v>98.07692307692307</v>
      </c>
      <c r="G1375" s="720">
        <f>3500+3000</f>
        <v>6500</v>
      </c>
      <c r="H1375" s="698">
        <v>6375</v>
      </c>
      <c r="I1375" s="1001">
        <f>H1375/G1375*100</f>
        <v>98.07692307692307</v>
      </c>
      <c r="J1375" s="703"/>
      <c r="K1375" s="698"/>
      <c r="L1375" s="704"/>
      <c r="M1375" s="720"/>
      <c r="N1375" s="698"/>
      <c r="O1375" s="702"/>
      <c r="P1375" s="698"/>
      <c r="Q1375" s="698"/>
      <c r="R1375" s="744"/>
      <c r="S1375" s="682"/>
      <c r="T1375" s="682"/>
    </row>
    <row r="1376" spans="1:20" s="756" customFormat="1" ht="26.25" customHeight="1">
      <c r="A1376" s="764">
        <v>4400</v>
      </c>
      <c r="B1376" s="828" t="s">
        <v>547</v>
      </c>
      <c r="C1376" s="720">
        <v>6100</v>
      </c>
      <c r="D1376" s="698">
        <f>G1376+J1376+P1376+M1376</f>
        <v>6100</v>
      </c>
      <c r="E1376" s="698">
        <f>SUM(H1376+K1376+N1376+Q1376)</f>
        <v>5623</v>
      </c>
      <c r="F1376" s="980">
        <f>E1376/D1376*100</f>
        <v>92.18032786885246</v>
      </c>
      <c r="G1376" s="720">
        <v>6100</v>
      </c>
      <c r="H1376" s="698">
        <v>5623</v>
      </c>
      <c r="I1376" s="1001">
        <f>H1376/G1376*100</f>
        <v>92.18032786885246</v>
      </c>
      <c r="J1376" s="703"/>
      <c r="K1376" s="698"/>
      <c r="L1376" s="704"/>
      <c r="M1376" s="720"/>
      <c r="N1376" s="698"/>
      <c r="O1376" s="702"/>
      <c r="P1376" s="698"/>
      <c r="Q1376" s="698"/>
      <c r="R1376" s="702"/>
      <c r="S1376" s="682"/>
      <c r="T1376" s="682"/>
    </row>
    <row r="1377" spans="1:20" s="756" customFormat="1" ht="60" hidden="1">
      <c r="A1377" s="764">
        <v>4740</v>
      </c>
      <c r="B1377" s="828" t="s">
        <v>235</v>
      </c>
      <c r="C1377" s="720"/>
      <c r="D1377" s="698">
        <f>G1377+J1377+P1377+M1377</f>
        <v>0</v>
      </c>
      <c r="E1377" s="698">
        <f>SUM(H1377+K1377+N1377+Q1377)</f>
        <v>0</v>
      </c>
      <c r="F1377" s="980" t="e">
        <f>E1377/D1377*100</f>
        <v>#DIV/0!</v>
      </c>
      <c r="G1377" s="720"/>
      <c r="H1377" s="698"/>
      <c r="I1377" s="770"/>
      <c r="J1377" s="703"/>
      <c r="K1377" s="698"/>
      <c r="L1377" s="704"/>
      <c r="M1377" s="720"/>
      <c r="N1377" s="698"/>
      <c r="O1377" s="702"/>
      <c r="P1377" s="698"/>
      <c r="Q1377" s="698"/>
      <c r="R1377" s="744" t="e">
        <f>Q1377/P1377*100</f>
        <v>#DIV/0!</v>
      </c>
      <c r="S1377" s="682"/>
      <c r="T1377" s="682"/>
    </row>
    <row r="1378" spans="1:20" s="756" customFormat="1" ht="36" hidden="1">
      <c r="A1378" s="764">
        <v>4750</v>
      </c>
      <c r="B1378" s="828" t="s">
        <v>551</v>
      </c>
      <c r="C1378" s="791"/>
      <c r="D1378" s="792">
        <f t="shared" si="164"/>
        <v>0</v>
      </c>
      <c r="E1378" s="792">
        <f t="shared" si="171"/>
        <v>0</v>
      </c>
      <c r="F1378" s="1005" t="e">
        <f aca="true" t="shared" si="172" ref="F1378:F1441">E1378/D1378*100</f>
        <v>#DIV/0!</v>
      </c>
      <c r="G1378" s="791"/>
      <c r="H1378" s="792"/>
      <c r="I1378" s="770"/>
      <c r="J1378" s="793"/>
      <c r="K1378" s="792"/>
      <c r="L1378" s="794"/>
      <c r="M1378" s="791"/>
      <c r="N1378" s="792"/>
      <c r="O1378" s="796"/>
      <c r="P1378" s="792"/>
      <c r="Q1378" s="792"/>
      <c r="R1378" s="744" t="e">
        <f>Q1378/P1378*100</f>
        <v>#DIV/0!</v>
      </c>
      <c r="S1378" s="682"/>
      <c r="T1378" s="682"/>
    </row>
    <row r="1379" spans="1:20" s="756" customFormat="1" ht="24" customHeight="1">
      <c r="A1379" s="757">
        <v>85226</v>
      </c>
      <c r="B1379" s="959" t="s">
        <v>829</v>
      </c>
      <c r="C1379" s="725">
        <f>SUM(C1380:C1398)</f>
        <v>374003</v>
      </c>
      <c r="D1379" s="712">
        <f t="shared" si="164"/>
        <v>374003</v>
      </c>
      <c r="E1379" s="712">
        <f>H1379+K1379+Q1379+N1379</f>
        <v>371066</v>
      </c>
      <c r="F1379" s="1008">
        <f t="shared" si="172"/>
        <v>99.2147121814531</v>
      </c>
      <c r="G1379" s="873"/>
      <c r="H1379" s="874"/>
      <c r="I1379" s="846"/>
      <c r="J1379" s="875"/>
      <c r="K1379" s="874"/>
      <c r="L1379" s="876"/>
      <c r="M1379" s="712">
        <f>SUM(M1380:M1398)</f>
        <v>374003</v>
      </c>
      <c r="N1379" s="712">
        <f>SUM(N1380:N1398)</f>
        <v>371066</v>
      </c>
      <c r="O1379" s="741">
        <f aca="true" t="shared" si="173" ref="O1379:O1398">N1379/M1379*100</f>
        <v>99.2147121814531</v>
      </c>
      <c r="P1379" s="712"/>
      <c r="Q1379" s="712"/>
      <c r="R1379" s="719"/>
      <c r="S1379" s="682"/>
      <c r="T1379" s="682"/>
    </row>
    <row r="1380" spans="1:20" s="756" customFormat="1" ht="24" customHeight="1">
      <c r="A1380" s="784">
        <v>3020</v>
      </c>
      <c r="B1380" s="979" t="s">
        <v>709</v>
      </c>
      <c r="C1380" s="723">
        <v>900</v>
      </c>
      <c r="D1380" s="732">
        <f t="shared" si="164"/>
        <v>600</v>
      </c>
      <c r="E1380" s="732">
        <f aca="true" t="shared" si="174" ref="E1380:E1406">SUM(H1380+K1380+N1380+Q1380)</f>
        <v>552</v>
      </c>
      <c r="F1380" s="1009">
        <f t="shared" si="172"/>
        <v>92</v>
      </c>
      <c r="G1380" s="723"/>
      <c r="H1380" s="732"/>
      <c r="I1380" s="788"/>
      <c r="J1380" s="735"/>
      <c r="K1380" s="732"/>
      <c r="L1380" s="736"/>
      <c r="M1380" s="723">
        <f>900-300</f>
        <v>600</v>
      </c>
      <c r="N1380" s="732">
        <v>552</v>
      </c>
      <c r="O1380" s="786">
        <f t="shared" si="173"/>
        <v>92</v>
      </c>
      <c r="P1380" s="732"/>
      <c r="Q1380" s="732"/>
      <c r="R1380" s="707"/>
      <c r="S1380" s="682"/>
      <c r="T1380" s="682"/>
    </row>
    <row r="1381" spans="1:20" s="756" customFormat="1" ht="24" customHeight="1">
      <c r="A1381" s="764">
        <v>4010</v>
      </c>
      <c r="B1381" s="934" t="s">
        <v>673</v>
      </c>
      <c r="C1381" s="720">
        <v>249723</v>
      </c>
      <c r="D1381" s="698">
        <f t="shared" si="164"/>
        <v>249723</v>
      </c>
      <c r="E1381" s="698">
        <f t="shared" si="174"/>
        <v>249723</v>
      </c>
      <c r="F1381" s="980">
        <f t="shared" si="172"/>
        <v>100</v>
      </c>
      <c r="G1381" s="720"/>
      <c r="H1381" s="698"/>
      <c r="I1381" s="770"/>
      <c r="J1381" s="703"/>
      <c r="K1381" s="698"/>
      <c r="L1381" s="704"/>
      <c r="M1381" s="720">
        <v>249723</v>
      </c>
      <c r="N1381" s="698">
        <v>249723</v>
      </c>
      <c r="O1381" s="744">
        <f t="shared" si="173"/>
        <v>100</v>
      </c>
      <c r="P1381" s="698"/>
      <c r="Q1381" s="698"/>
      <c r="R1381" s="702"/>
      <c r="S1381" s="682"/>
      <c r="T1381" s="682"/>
    </row>
    <row r="1382" spans="1:20" s="756" customFormat="1" ht="26.25" customHeight="1">
      <c r="A1382" s="764">
        <v>4040</v>
      </c>
      <c r="B1382" s="934" t="s">
        <v>205</v>
      </c>
      <c r="C1382" s="720">
        <v>19100</v>
      </c>
      <c r="D1382" s="698">
        <f t="shared" si="164"/>
        <v>19100</v>
      </c>
      <c r="E1382" s="698">
        <f t="shared" si="174"/>
        <v>19099</v>
      </c>
      <c r="F1382" s="980">
        <f t="shared" si="172"/>
        <v>99.99476439790575</v>
      </c>
      <c r="G1382" s="720"/>
      <c r="H1382" s="698"/>
      <c r="I1382" s="770"/>
      <c r="J1382" s="703"/>
      <c r="K1382" s="698"/>
      <c r="L1382" s="704"/>
      <c r="M1382" s="720">
        <v>19100</v>
      </c>
      <c r="N1382" s="698">
        <v>19099</v>
      </c>
      <c r="O1382" s="744">
        <f t="shared" si="173"/>
        <v>99.99476439790575</v>
      </c>
      <c r="P1382" s="698"/>
      <c r="Q1382" s="698"/>
      <c r="R1382" s="702"/>
      <c r="S1382" s="682"/>
      <c r="T1382" s="682"/>
    </row>
    <row r="1383" spans="1:20" s="756" customFormat="1" ht="24" customHeight="1">
      <c r="A1383" s="764">
        <v>4110</v>
      </c>
      <c r="B1383" s="934" t="s">
        <v>207</v>
      </c>
      <c r="C1383" s="720">
        <v>43700</v>
      </c>
      <c r="D1383" s="698">
        <f aca="true" t="shared" si="175" ref="D1383:D1464">G1383+J1383+P1383+M1383</f>
        <v>41000</v>
      </c>
      <c r="E1383" s="698">
        <f t="shared" si="174"/>
        <v>40201</v>
      </c>
      <c r="F1383" s="980">
        <f t="shared" si="172"/>
        <v>98.05121951219512</v>
      </c>
      <c r="G1383" s="720"/>
      <c r="H1383" s="698"/>
      <c r="I1383" s="770"/>
      <c r="J1383" s="703"/>
      <c r="K1383" s="698"/>
      <c r="L1383" s="704"/>
      <c r="M1383" s="720">
        <f>43700-2000-700</f>
        <v>41000</v>
      </c>
      <c r="N1383" s="698">
        <v>40201</v>
      </c>
      <c r="O1383" s="744">
        <f t="shared" si="173"/>
        <v>98.05121951219512</v>
      </c>
      <c r="P1383" s="698"/>
      <c r="Q1383" s="698"/>
      <c r="R1383" s="702"/>
      <c r="S1383" s="682"/>
      <c r="T1383" s="682"/>
    </row>
    <row r="1384" spans="1:20" s="756" customFormat="1" ht="16.5" customHeight="1">
      <c r="A1384" s="764">
        <v>4120</v>
      </c>
      <c r="B1384" s="934" t="s">
        <v>584</v>
      </c>
      <c r="C1384" s="720">
        <v>6700</v>
      </c>
      <c r="D1384" s="698">
        <f t="shared" si="175"/>
        <v>6700</v>
      </c>
      <c r="E1384" s="698">
        <f t="shared" si="174"/>
        <v>6196</v>
      </c>
      <c r="F1384" s="980">
        <f t="shared" si="172"/>
        <v>92.47761194029852</v>
      </c>
      <c r="G1384" s="720"/>
      <c r="H1384" s="698"/>
      <c r="I1384" s="770"/>
      <c r="J1384" s="703"/>
      <c r="K1384" s="698"/>
      <c r="L1384" s="704"/>
      <c r="M1384" s="720">
        <v>6700</v>
      </c>
      <c r="N1384" s="698">
        <f>6195+1</f>
        <v>6196</v>
      </c>
      <c r="O1384" s="744">
        <f t="shared" si="173"/>
        <v>92.47761194029852</v>
      </c>
      <c r="P1384" s="698"/>
      <c r="Q1384" s="698"/>
      <c r="R1384" s="702"/>
      <c r="S1384" s="682"/>
      <c r="T1384" s="682"/>
    </row>
    <row r="1385" spans="1:20" s="756" customFormat="1" ht="24">
      <c r="A1385" s="764">
        <v>4170</v>
      </c>
      <c r="B1385" s="934" t="s">
        <v>242</v>
      </c>
      <c r="C1385" s="720">
        <v>4000</v>
      </c>
      <c r="D1385" s="698">
        <f t="shared" si="175"/>
        <v>5943</v>
      </c>
      <c r="E1385" s="698">
        <f t="shared" si="174"/>
        <v>5583</v>
      </c>
      <c r="F1385" s="980">
        <f t="shared" si="172"/>
        <v>93.9424533064109</v>
      </c>
      <c r="G1385" s="720"/>
      <c r="H1385" s="698"/>
      <c r="I1385" s="770"/>
      <c r="J1385" s="703"/>
      <c r="K1385" s="698"/>
      <c r="L1385" s="704"/>
      <c r="M1385" s="720">
        <f>4000+1240+500+203</f>
        <v>5943</v>
      </c>
      <c r="N1385" s="698">
        <v>5583</v>
      </c>
      <c r="O1385" s="744">
        <f t="shared" si="173"/>
        <v>93.9424533064109</v>
      </c>
      <c r="P1385" s="698"/>
      <c r="Q1385" s="698"/>
      <c r="R1385" s="702"/>
      <c r="S1385" s="682"/>
      <c r="T1385" s="682"/>
    </row>
    <row r="1386" spans="1:20" s="756" customFormat="1" ht="23.25" customHeight="1">
      <c r="A1386" s="764">
        <v>4210</v>
      </c>
      <c r="B1386" s="934" t="s">
        <v>211</v>
      </c>
      <c r="C1386" s="720">
        <v>5000</v>
      </c>
      <c r="D1386" s="698">
        <f t="shared" si="175"/>
        <v>12130</v>
      </c>
      <c r="E1386" s="698">
        <f t="shared" si="174"/>
        <v>12105</v>
      </c>
      <c r="F1386" s="980">
        <f t="shared" si="172"/>
        <v>99.79389942291839</v>
      </c>
      <c r="G1386" s="720"/>
      <c r="H1386" s="698"/>
      <c r="I1386" s="770"/>
      <c r="J1386" s="703"/>
      <c r="K1386" s="698"/>
      <c r="L1386" s="704"/>
      <c r="M1386" s="720">
        <f>5000+4733+2397</f>
        <v>12130</v>
      </c>
      <c r="N1386" s="698">
        <v>12105</v>
      </c>
      <c r="O1386" s="744">
        <f t="shared" si="173"/>
        <v>99.79389942291839</v>
      </c>
      <c r="P1386" s="698"/>
      <c r="Q1386" s="698"/>
      <c r="R1386" s="702"/>
      <c r="S1386" s="682"/>
      <c r="T1386" s="682"/>
    </row>
    <row r="1387" spans="1:20" s="756" customFormat="1" ht="29.25" customHeight="1">
      <c r="A1387" s="764">
        <v>4240</v>
      </c>
      <c r="B1387" s="934" t="s">
        <v>666</v>
      </c>
      <c r="C1387" s="720">
        <v>1000</v>
      </c>
      <c r="D1387" s="698">
        <f t="shared" si="175"/>
        <v>1000</v>
      </c>
      <c r="E1387" s="698">
        <f t="shared" si="174"/>
        <v>910</v>
      </c>
      <c r="F1387" s="980">
        <f t="shared" si="172"/>
        <v>91</v>
      </c>
      <c r="G1387" s="720"/>
      <c r="H1387" s="698"/>
      <c r="I1387" s="770"/>
      <c r="J1387" s="703"/>
      <c r="K1387" s="698"/>
      <c r="L1387" s="704"/>
      <c r="M1387" s="720">
        <v>1000</v>
      </c>
      <c r="N1387" s="698">
        <v>910</v>
      </c>
      <c r="O1387" s="744">
        <f t="shared" si="173"/>
        <v>91</v>
      </c>
      <c r="P1387" s="698"/>
      <c r="Q1387" s="698"/>
      <c r="R1387" s="702"/>
      <c r="S1387" s="682"/>
      <c r="T1387" s="682"/>
    </row>
    <row r="1388" spans="1:20" s="756" customFormat="1" ht="15" customHeight="1">
      <c r="A1388" s="764">
        <v>4260</v>
      </c>
      <c r="B1388" s="934" t="s">
        <v>215</v>
      </c>
      <c r="C1388" s="720">
        <v>6000</v>
      </c>
      <c r="D1388" s="698">
        <f t="shared" si="175"/>
        <v>6000</v>
      </c>
      <c r="E1388" s="698">
        <f t="shared" si="174"/>
        <v>5832</v>
      </c>
      <c r="F1388" s="980">
        <f t="shared" si="172"/>
        <v>97.2</v>
      </c>
      <c r="G1388" s="720"/>
      <c r="H1388" s="698"/>
      <c r="I1388" s="770"/>
      <c r="J1388" s="703"/>
      <c r="K1388" s="698"/>
      <c r="L1388" s="704"/>
      <c r="M1388" s="720">
        <v>6000</v>
      </c>
      <c r="N1388" s="698">
        <v>5832</v>
      </c>
      <c r="O1388" s="744">
        <f t="shared" si="173"/>
        <v>97.2</v>
      </c>
      <c r="P1388" s="698"/>
      <c r="Q1388" s="698"/>
      <c r="R1388" s="702"/>
      <c r="S1388" s="682"/>
      <c r="T1388" s="682"/>
    </row>
    <row r="1389" spans="1:20" s="756" customFormat="1" ht="15" customHeight="1">
      <c r="A1389" s="764">
        <v>4270</v>
      </c>
      <c r="B1389" s="934" t="s">
        <v>217</v>
      </c>
      <c r="C1389" s="720">
        <v>1000</v>
      </c>
      <c r="D1389" s="698">
        <f t="shared" si="175"/>
        <v>0</v>
      </c>
      <c r="E1389" s="698">
        <f>SUM(H1389+K1389+N1389+Q1389)</f>
        <v>0</v>
      </c>
      <c r="F1389" s="980"/>
      <c r="G1389" s="720"/>
      <c r="H1389" s="698"/>
      <c r="I1389" s="770"/>
      <c r="J1389" s="703"/>
      <c r="K1389" s="698"/>
      <c r="L1389" s="704"/>
      <c r="M1389" s="720">
        <f>1000-1000</f>
        <v>0</v>
      </c>
      <c r="N1389" s="698"/>
      <c r="O1389" s="744"/>
      <c r="P1389" s="698"/>
      <c r="Q1389" s="698"/>
      <c r="R1389" s="702"/>
      <c r="S1389" s="682"/>
      <c r="T1389" s="682"/>
    </row>
    <row r="1390" spans="1:20" s="756" customFormat="1" ht="15" customHeight="1">
      <c r="A1390" s="764">
        <v>4280</v>
      </c>
      <c r="B1390" s="934" t="s">
        <v>542</v>
      </c>
      <c r="C1390" s="720">
        <v>700</v>
      </c>
      <c r="D1390" s="698">
        <f t="shared" si="175"/>
        <v>400</v>
      </c>
      <c r="E1390" s="698">
        <f t="shared" si="174"/>
        <v>378</v>
      </c>
      <c r="F1390" s="980">
        <f t="shared" si="172"/>
        <v>94.5</v>
      </c>
      <c r="G1390" s="720"/>
      <c r="H1390" s="698"/>
      <c r="I1390" s="770"/>
      <c r="J1390" s="703"/>
      <c r="K1390" s="698"/>
      <c r="L1390" s="704"/>
      <c r="M1390" s="720">
        <f>700-300</f>
        <v>400</v>
      </c>
      <c r="N1390" s="698">
        <v>378</v>
      </c>
      <c r="O1390" s="744">
        <f t="shared" si="173"/>
        <v>94.5</v>
      </c>
      <c r="P1390" s="698"/>
      <c r="Q1390" s="698"/>
      <c r="R1390" s="702"/>
      <c r="S1390" s="682"/>
      <c r="T1390" s="682"/>
    </row>
    <row r="1391" spans="1:20" s="756" customFormat="1" ht="16.5" customHeight="1">
      <c r="A1391" s="764">
        <v>4300</v>
      </c>
      <c r="B1391" s="934" t="s">
        <v>219</v>
      </c>
      <c r="C1391" s="720">
        <v>12000</v>
      </c>
      <c r="D1391" s="698">
        <f t="shared" si="175"/>
        <v>9260</v>
      </c>
      <c r="E1391" s="698">
        <f t="shared" si="174"/>
        <v>9253</v>
      </c>
      <c r="F1391" s="980">
        <f t="shared" si="172"/>
        <v>99.9244060475162</v>
      </c>
      <c r="G1391" s="720"/>
      <c r="H1391" s="698"/>
      <c r="I1391" s="770"/>
      <c r="J1391" s="703"/>
      <c r="K1391" s="698"/>
      <c r="L1391" s="704"/>
      <c r="M1391" s="720">
        <f>12000-1240-1500</f>
        <v>9260</v>
      </c>
      <c r="N1391" s="698">
        <v>9253</v>
      </c>
      <c r="O1391" s="744">
        <f t="shared" si="173"/>
        <v>99.9244060475162</v>
      </c>
      <c r="P1391" s="698"/>
      <c r="Q1391" s="698"/>
      <c r="R1391" s="702"/>
      <c r="S1391" s="682"/>
      <c r="T1391" s="682"/>
    </row>
    <row r="1392" spans="1:20" s="756" customFormat="1" ht="24">
      <c r="A1392" s="764">
        <v>4350</v>
      </c>
      <c r="B1392" s="934" t="s">
        <v>544</v>
      </c>
      <c r="C1392" s="720">
        <v>1500</v>
      </c>
      <c r="D1392" s="698">
        <f t="shared" si="175"/>
        <v>1200</v>
      </c>
      <c r="E1392" s="698">
        <f t="shared" si="174"/>
        <v>1019</v>
      </c>
      <c r="F1392" s="980">
        <f t="shared" si="172"/>
        <v>84.91666666666666</v>
      </c>
      <c r="G1392" s="720"/>
      <c r="H1392" s="698"/>
      <c r="I1392" s="770"/>
      <c r="J1392" s="703"/>
      <c r="K1392" s="698"/>
      <c r="L1392" s="704"/>
      <c r="M1392" s="720">
        <f>1500-300</f>
        <v>1200</v>
      </c>
      <c r="N1392" s="698">
        <v>1019</v>
      </c>
      <c r="O1392" s="744">
        <f t="shared" si="173"/>
        <v>84.91666666666666</v>
      </c>
      <c r="P1392" s="698"/>
      <c r="Q1392" s="698"/>
      <c r="R1392" s="702"/>
      <c r="S1392" s="682"/>
      <c r="T1392" s="682"/>
    </row>
    <row r="1393" spans="1:20" s="756" customFormat="1" ht="37.5" customHeight="1">
      <c r="A1393" s="764">
        <v>4370</v>
      </c>
      <c r="B1393" s="828" t="s">
        <v>635</v>
      </c>
      <c r="C1393" s="720">
        <v>6000</v>
      </c>
      <c r="D1393" s="698">
        <f t="shared" si="175"/>
        <v>3200</v>
      </c>
      <c r="E1393" s="698">
        <f t="shared" si="174"/>
        <v>2859</v>
      </c>
      <c r="F1393" s="980">
        <f t="shared" si="172"/>
        <v>89.34375</v>
      </c>
      <c r="G1393" s="720"/>
      <c r="H1393" s="698"/>
      <c r="I1393" s="770"/>
      <c r="J1393" s="703"/>
      <c r="K1393" s="698"/>
      <c r="L1393" s="704"/>
      <c r="M1393" s="720">
        <f>6000-2500-300</f>
        <v>3200</v>
      </c>
      <c r="N1393" s="698">
        <v>2859</v>
      </c>
      <c r="O1393" s="744">
        <f t="shared" si="173"/>
        <v>89.34375</v>
      </c>
      <c r="P1393" s="698"/>
      <c r="Q1393" s="698"/>
      <c r="R1393" s="702"/>
      <c r="S1393" s="682"/>
      <c r="T1393" s="682"/>
    </row>
    <row r="1394" spans="1:20" s="756" customFormat="1" ht="14.25" customHeight="1">
      <c r="A1394" s="764">
        <v>4410</v>
      </c>
      <c r="B1394" s="934" t="s">
        <v>830</v>
      </c>
      <c r="C1394" s="720">
        <v>3000</v>
      </c>
      <c r="D1394" s="698">
        <f t="shared" si="175"/>
        <v>3000</v>
      </c>
      <c r="E1394" s="698">
        <f t="shared" si="174"/>
        <v>2651</v>
      </c>
      <c r="F1394" s="980">
        <f t="shared" si="172"/>
        <v>88.36666666666667</v>
      </c>
      <c r="G1394" s="720"/>
      <c r="H1394" s="698"/>
      <c r="I1394" s="770"/>
      <c r="J1394" s="703"/>
      <c r="K1394" s="698"/>
      <c r="L1394" s="704"/>
      <c r="M1394" s="720">
        <v>3000</v>
      </c>
      <c r="N1394" s="698">
        <v>2651</v>
      </c>
      <c r="O1394" s="744">
        <f t="shared" si="173"/>
        <v>88.36666666666667</v>
      </c>
      <c r="P1394" s="698"/>
      <c r="Q1394" s="698"/>
      <c r="R1394" s="702"/>
      <c r="S1394" s="682"/>
      <c r="T1394" s="682"/>
    </row>
    <row r="1395" spans="1:20" s="756" customFormat="1" ht="14.25" customHeight="1">
      <c r="A1395" s="764">
        <v>4440</v>
      </c>
      <c r="B1395" s="828" t="s">
        <v>683</v>
      </c>
      <c r="C1395" s="720">
        <v>6680</v>
      </c>
      <c r="D1395" s="698">
        <f t="shared" si="175"/>
        <v>7547</v>
      </c>
      <c r="E1395" s="698">
        <f t="shared" si="174"/>
        <v>7547</v>
      </c>
      <c r="F1395" s="980">
        <f t="shared" si="172"/>
        <v>100</v>
      </c>
      <c r="G1395" s="720"/>
      <c r="H1395" s="698"/>
      <c r="I1395" s="770"/>
      <c r="J1395" s="703"/>
      <c r="K1395" s="698"/>
      <c r="L1395" s="704"/>
      <c r="M1395" s="720">
        <f>6680+867</f>
        <v>7547</v>
      </c>
      <c r="N1395" s="698">
        <v>7547</v>
      </c>
      <c r="O1395" s="744">
        <f t="shared" si="173"/>
        <v>100</v>
      </c>
      <c r="P1395" s="698"/>
      <c r="Q1395" s="698"/>
      <c r="R1395" s="702"/>
      <c r="S1395" s="682"/>
      <c r="T1395" s="682"/>
    </row>
    <row r="1396" spans="1:20" s="756" customFormat="1" ht="38.25" customHeight="1">
      <c r="A1396" s="764">
        <v>4700</v>
      </c>
      <c r="B1396" s="828" t="s">
        <v>550</v>
      </c>
      <c r="C1396" s="720">
        <v>2000</v>
      </c>
      <c r="D1396" s="698">
        <f t="shared" si="175"/>
        <v>2000</v>
      </c>
      <c r="E1396" s="698">
        <f t="shared" si="174"/>
        <v>1991</v>
      </c>
      <c r="F1396" s="980">
        <f t="shared" si="172"/>
        <v>99.55000000000001</v>
      </c>
      <c r="G1396" s="720"/>
      <c r="H1396" s="698"/>
      <c r="I1396" s="770"/>
      <c r="J1396" s="703"/>
      <c r="K1396" s="698"/>
      <c r="L1396" s="704"/>
      <c r="M1396" s="720">
        <v>2000</v>
      </c>
      <c r="N1396" s="698">
        <v>1991</v>
      </c>
      <c r="O1396" s="744">
        <f t="shared" si="173"/>
        <v>99.55000000000001</v>
      </c>
      <c r="P1396" s="698"/>
      <c r="Q1396" s="698"/>
      <c r="R1396" s="702"/>
      <c r="S1396" s="682"/>
      <c r="T1396" s="682"/>
    </row>
    <row r="1397" spans="1:20" s="756" customFormat="1" ht="51" customHeight="1">
      <c r="A1397" s="764">
        <v>4740</v>
      </c>
      <c r="B1397" s="828" t="s">
        <v>235</v>
      </c>
      <c r="C1397" s="720">
        <v>3000</v>
      </c>
      <c r="D1397" s="698">
        <f t="shared" si="175"/>
        <v>4200</v>
      </c>
      <c r="E1397" s="698">
        <f t="shared" si="174"/>
        <v>4194</v>
      </c>
      <c r="F1397" s="980">
        <f t="shared" si="172"/>
        <v>99.85714285714286</v>
      </c>
      <c r="G1397" s="720"/>
      <c r="H1397" s="698"/>
      <c r="I1397" s="770"/>
      <c r="J1397" s="703"/>
      <c r="K1397" s="698"/>
      <c r="L1397" s="704"/>
      <c r="M1397" s="720">
        <f>3000+1200</f>
        <v>4200</v>
      </c>
      <c r="N1397" s="698">
        <v>4194</v>
      </c>
      <c r="O1397" s="744">
        <f t="shared" si="173"/>
        <v>99.85714285714286</v>
      </c>
      <c r="P1397" s="698"/>
      <c r="Q1397" s="698"/>
      <c r="R1397" s="702"/>
      <c r="S1397" s="682"/>
      <c r="T1397" s="682"/>
    </row>
    <row r="1398" spans="1:20" s="756" customFormat="1" ht="36">
      <c r="A1398" s="764">
        <v>4750</v>
      </c>
      <c r="B1398" s="828" t="s">
        <v>551</v>
      </c>
      <c r="C1398" s="720">
        <v>2000</v>
      </c>
      <c r="D1398" s="698">
        <f t="shared" si="175"/>
        <v>1000</v>
      </c>
      <c r="E1398" s="698">
        <f t="shared" si="174"/>
        <v>973</v>
      </c>
      <c r="F1398" s="980">
        <f t="shared" si="172"/>
        <v>97.3</v>
      </c>
      <c r="G1398" s="720"/>
      <c r="H1398" s="698"/>
      <c r="I1398" s="770"/>
      <c r="J1398" s="703"/>
      <c r="K1398" s="698"/>
      <c r="L1398" s="704"/>
      <c r="M1398" s="720">
        <f>2000-1000</f>
        <v>1000</v>
      </c>
      <c r="N1398" s="698">
        <v>973</v>
      </c>
      <c r="O1398" s="744">
        <f t="shared" si="173"/>
        <v>97.3</v>
      </c>
      <c r="P1398" s="698"/>
      <c r="Q1398" s="698"/>
      <c r="R1398" s="702"/>
      <c r="S1398" s="682"/>
      <c r="T1398" s="682"/>
    </row>
    <row r="1399" spans="1:20" s="1017" customFormat="1" ht="114.75" hidden="1">
      <c r="A1399" s="929"/>
      <c r="B1399" s="930" t="s">
        <v>329</v>
      </c>
      <c r="C1399" s="857"/>
      <c r="D1399" s="858">
        <f t="shared" si="175"/>
        <v>0</v>
      </c>
      <c r="E1399" s="858">
        <f t="shared" si="174"/>
        <v>0</v>
      </c>
      <c r="F1399" s="980" t="e">
        <f t="shared" si="172"/>
        <v>#DIV/0!</v>
      </c>
      <c r="G1399" s="857"/>
      <c r="H1399" s="858"/>
      <c r="I1399" s="1015"/>
      <c r="J1399" s="859"/>
      <c r="K1399" s="858"/>
      <c r="L1399" s="1020"/>
      <c r="M1399" s="859"/>
      <c r="N1399" s="858"/>
      <c r="O1399" s="1014"/>
      <c r="P1399" s="858">
        <f>SUM(P1400:P1407)</f>
        <v>0</v>
      </c>
      <c r="Q1399" s="858">
        <f>SUM(Q1400:Q1407)</f>
        <v>0</v>
      </c>
      <c r="R1399" s="702" t="e">
        <f>Q1399/P1399*100</f>
        <v>#DIV/0!</v>
      </c>
      <c r="S1399" s="1016"/>
      <c r="T1399" s="1016"/>
    </row>
    <row r="1400" spans="1:20" s="756" customFormat="1" ht="36" hidden="1">
      <c r="A1400" s="764">
        <v>4110</v>
      </c>
      <c r="B1400" s="934" t="s">
        <v>207</v>
      </c>
      <c r="C1400" s="720"/>
      <c r="D1400" s="698">
        <f t="shared" si="175"/>
        <v>0</v>
      </c>
      <c r="E1400" s="698">
        <f t="shared" si="174"/>
        <v>0</v>
      </c>
      <c r="F1400" s="980" t="e">
        <f t="shared" si="172"/>
        <v>#DIV/0!</v>
      </c>
      <c r="G1400" s="720"/>
      <c r="H1400" s="698"/>
      <c r="I1400" s="770"/>
      <c r="J1400" s="703"/>
      <c r="K1400" s="698"/>
      <c r="L1400" s="704"/>
      <c r="M1400" s="703"/>
      <c r="N1400" s="698"/>
      <c r="O1400" s="744"/>
      <c r="P1400" s="698">
        <f>1050-1050</f>
        <v>0</v>
      </c>
      <c r="Q1400" s="698"/>
      <c r="R1400" s="702" t="e">
        <f>Q1400/P1400*100</f>
        <v>#DIV/0!</v>
      </c>
      <c r="S1400" s="682"/>
      <c r="T1400" s="682"/>
    </row>
    <row r="1401" spans="1:20" s="756" customFormat="1" ht="12.75" hidden="1">
      <c r="A1401" s="764">
        <v>4120</v>
      </c>
      <c r="B1401" s="934" t="s">
        <v>584</v>
      </c>
      <c r="C1401" s="720"/>
      <c r="D1401" s="698">
        <f t="shared" si="175"/>
        <v>0</v>
      </c>
      <c r="E1401" s="698">
        <f t="shared" si="174"/>
        <v>0</v>
      </c>
      <c r="F1401" s="980" t="e">
        <f t="shared" si="172"/>
        <v>#DIV/0!</v>
      </c>
      <c r="G1401" s="720"/>
      <c r="H1401" s="698"/>
      <c r="I1401" s="770"/>
      <c r="J1401" s="703"/>
      <c r="K1401" s="698"/>
      <c r="L1401" s="704"/>
      <c r="M1401" s="703"/>
      <c r="N1401" s="698"/>
      <c r="O1401" s="744"/>
      <c r="P1401" s="698">
        <f>160-160</f>
        <v>0</v>
      </c>
      <c r="Q1401" s="698"/>
      <c r="R1401" s="702" t="e">
        <f aca="true" t="shared" si="176" ref="R1401:R1406">Q1401/P1401*100</f>
        <v>#DIV/0!</v>
      </c>
      <c r="S1401" s="682"/>
      <c r="T1401" s="682"/>
    </row>
    <row r="1402" spans="1:20" s="756" customFormat="1" ht="24" hidden="1">
      <c r="A1402" s="764">
        <v>4170</v>
      </c>
      <c r="B1402" s="934" t="s">
        <v>242</v>
      </c>
      <c r="C1402" s="720"/>
      <c r="D1402" s="698">
        <f t="shared" si="175"/>
        <v>0</v>
      </c>
      <c r="E1402" s="698">
        <f t="shared" si="174"/>
        <v>0</v>
      </c>
      <c r="F1402" s="980" t="e">
        <f t="shared" si="172"/>
        <v>#DIV/0!</v>
      </c>
      <c r="G1402" s="720"/>
      <c r="H1402" s="698"/>
      <c r="I1402" s="770"/>
      <c r="J1402" s="703"/>
      <c r="K1402" s="698"/>
      <c r="L1402" s="704"/>
      <c r="M1402" s="703"/>
      <c r="N1402" s="698"/>
      <c r="O1402" s="744"/>
      <c r="P1402" s="698">
        <f>6500-6500</f>
        <v>0</v>
      </c>
      <c r="Q1402" s="698"/>
      <c r="R1402" s="702" t="e">
        <f t="shared" si="176"/>
        <v>#DIV/0!</v>
      </c>
      <c r="S1402" s="682"/>
      <c r="T1402" s="682"/>
    </row>
    <row r="1403" spans="1:20" s="756" customFormat="1" ht="24" hidden="1">
      <c r="A1403" s="764">
        <v>4210</v>
      </c>
      <c r="B1403" s="934" t="s">
        <v>211</v>
      </c>
      <c r="C1403" s="720"/>
      <c r="D1403" s="698">
        <f t="shared" si="175"/>
        <v>0</v>
      </c>
      <c r="E1403" s="698">
        <f t="shared" si="174"/>
        <v>0</v>
      </c>
      <c r="F1403" s="980" t="e">
        <f t="shared" si="172"/>
        <v>#DIV/0!</v>
      </c>
      <c r="G1403" s="720"/>
      <c r="H1403" s="698"/>
      <c r="I1403" s="770"/>
      <c r="J1403" s="703"/>
      <c r="K1403" s="698"/>
      <c r="L1403" s="704"/>
      <c r="M1403" s="703"/>
      <c r="N1403" s="698"/>
      <c r="O1403" s="744"/>
      <c r="P1403" s="698">
        <f>2770-2770</f>
        <v>0</v>
      </c>
      <c r="Q1403" s="698"/>
      <c r="R1403" s="702" t="e">
        <f t="shared" si="176"/>
        <v>#DIV/0!</v>
      </c>
      <c r="S1403" s="682"/>
      <c r="T1403" s="682"/>
    </row>
    <row r="1404" spans="1:20" s="756" customFormat="1" ht="36" hidden="1">
      <c r="A1404" s="764">
        <v>4240</v>
      </c>
      <c r="B1404" s="934" t="s">
        <v>666</v>
      </c>
      <c r="C1404" s="720"/>
      <c r="D1404" s="698">
        <f t="shared" si="175"/>
        <v>0</v>
      </c>
      <c r="E1404" s="698">
        <f t="shared" si="174"/>
        <v>0</v>
      </c>
      <c r="F1404" s="980" t="e">
        <f t="shared" si="172"/>
        <v>#DIV/0!</v>
      </c>
      <c r="G1404" s="720"/>
      <c r="H1404" s="698"/>
      <c r="I1404" s="770"/>
      <c r="J1404" s="703"/>
      <c r="K1404" s="698"/>
      <c r="L1404" s="704"/>
      <c r="M1404" s="703"/>
      <c r="N1404" s="698"/>
      <c r="O1404" s="744"/>
      <c r="P1404" s="698">
        <f>600-600</f>
        <v>0</v>
      </c>
      <c r="Q1404" s="698"/>
      <c r="R1404" s="702" t="e">
        <f t="shared" si="176"/>
        <v>#DIV/0!</v>
      </c>
      <c r="S1404" s="682"/>
      <c r="T1404" s="682"/>
    </row>
    <row r="1405" spans="1:20" s="756" customFormat="1" ht="24" hidden="1">
      <c r="A1405" s="789">
        <v>4300</v>
      </c>
      <c r="B1405" s="981" t="s">
        <v>219</v>
      </c>
      <c r="C1405" s="791"/>
      <c r="D1405" s="792">
        <f t="shared" si="175"/>
        <v>0</v>
      </c>
      <c r="E1405" s="792">
        <f t="shared" si="174"/>
        <v>0</v>
      </c>
      <c r="F1405" s="1005" t="e">
        <f t="shared" si="172"/>
        <v>#DIV/0!</v>
      </c>
      <c r="G1405" s="791"/>
      <c r="H1405" s="792"/>
      <c r="I1405" s="797"/>
      <c r="J1405" s="793"/>
      <c r="K1405" s="792"/>
      <c r="L1405" s="794"/>
      <c r="M1405" s="793"/>
      <c r="N1405" s="792"/>
      <c r="O1405" s="761"/>
      <c r="P1405" s="792">
        <f>300-300</f>
        <v>0</v>
      </c>
      <c r="Q1405" s="792"/>
      <c r="R1405" s="796" t="e">
        <f t="shared" si="176"/>
        <v>#DIV/0!</v>
      </c>
      <c r="S1405" s="682"/>
      <c r="T1405" s="682"/>
    </row>
    <row r="1406" spans="1:20" s="756" customFormat="1" ht="48" hidden="1">
      <c r="A1406" s="764">
        <v>4370</v>
      </c>
      <c r="B1406" s="828" t="s">
        <v>635</v>
      </c>
      <c r="C1406" s="720"/>
      <c r="D1406" s="698">
        <f t="shared" si="175"/>
        <v>0</v>
      </c>
      <c r="E1406" s="698">
        <f t="shared" si="174"/>
        <v>0</v>
      </c>
      <c r="F1406" s="980" t="e">
        <f t="shared" si="172"/>
        <v>#DIV/0!</v>
      </c>
      <c r="G1406" s="720"/>
      <c r="H1406" s="698"/>
      <c r="I1406" s="770"/>
      <c r="J1406" s="703"/>
      <c r="K1406" s="698"/>
      <c r="L1406" s="704"/>
      <c r="M1406" s="703"/>
      <c r="N1406" s="698"/>
      <c r="O1406" s="744"/>
      <c r="P1406" s="698">
        <f>450-450</f>
        <v>0</v>
      </c>
      <c r="Q1406" s="698"/>
      <c r="R1406" s="702" t="e">
        <f t="shared" si="176"/>
        <v>#DIV/0!</v>
      </c>
      <c r="S1406" s="682"/>
      <c r="T1406" s="682"/>
    </row>
    <row r="1407" spans="1:20" s="756" customFormat="1" ht="36" hidden="1">
      <c r="A1407" s="764">
        <v>4750</v>
      </c>
      <c r="B1407" s="828" t="s">
        <v>551</v>
      </c>
      <c r="C1407" s="720"/>
      <c r="D1407" s="698">
        <f>G1407+J1407+P1407+M1407</f>
        <v>0</v>
      </c>
      <c r="E1407" s="698">
        <f>SUM(H1407+K1407+N1407+Q1407)</f>
        <v>0</v>
      </c>
      <c r="F1407" s="980" t="e">
        <f>E1407/D1407*100</f>
        <v>#DIV/0!</v>
      </c>
      <c r="G1407" s="791"/>
      <c r="H1407" s="792"/>
      <c r="I1407" s="797"/>
      <c r="J1407" s="793"/>
      <c r="K1407" s="792"/>
      <c r="L1407" s="794"/>
      <c r="M1407" s="703"/>
      <c r="N1407" s="792"/>
      <c r="O1407" s="744"/>
      <c r="P1407" s="792">
        <f>1000-1000</f>
        <v>0</v>
      </c>
      <c r="Q1407" s="792"/>
      <c r="R1407" s="702" t="e">
        <f>Q1407/P1407*100</f>
        <v>#DIV/0!</v>
      </c>
      <c r="S1407" s="682"/>
      <c r="T1407" s="682"/>
    </row>
    <row r="1408" spans="1:18" ht="36">
      <c r="A1408" s="757">
        <v>85228</v>
      </c>
      <c r="B1408" s="959" t="s">
        <v>831</v>
      </c>
      <c r="C1408" s="725">
        <f>SUM(C1409:C1423)</f>
        <v>1246054</v>
      </c>
      <c r="D1408" s="712">
        <f t="shared" si="175"/>
        <v>1359487</v>
      </c>
      <c r="E1408" s="712">
        <f>H1408+K1408+Q1408+N1408</f>
        <v>1312219</v>
      </c>
      <c r="F1408" s="1008">
        <f t="shared" si="172"/>
        <v>96.52310025767072</v>
      </c>
      <c r="G1408" s="725">
        <f>SUM(G1409:G1423)</f>
        <v>1210487</v>
      </c>
      <c r="H1408" s="712">
        <f>SUM(H1409:H1423)</f>
        <v>1166173</v>
      </c>
      <c r="I1408" s="854">
        <f aca="true" t="shared" si="177" ref="I1408:I1423">H1408/G1408*100</f>
        <v>96.33915936313235</v>
      </c>
      <c r="J1408" s="717">
        <f>SUM(J1409:J1423)</f>
        <v>149000</v>
      </c>
      <c r="K1408" s="712">
        <f>SUM(K1409:K1423)</f>
        <v>146046</v>
      </c>
      <c r="L1408" s="718">
        <f>K1408/J1408*100</f>
        <v>98.01744966442953</v>
      </c>
      <c r="M1408" s="712"/>
      <c r="N1408" s="712"/>
      <c r="O1408" s="762"/>
      <c r="P1408" s="712"/>
      <c r="Q1408" s="712"/>
      <c r="R1408" s="719"/>
    </row>
    <row r="1409" spans="1:20" s="756" customFormat="1" ht="36">
      <c r="A1409" s="764">
        <v>3020</v>
      </c>
      <c r="B1409" s="934" t="s">
        <v>709</v>
      </c>
      <c r="C1409" s="720">
        <v>10900</v>
      </c>
      <c r="D1409" s="698">
        <f t="shared" si="175"/>
        <v>10900</v>
      </c>
      <c r="E1409" s="698">
        <f aca="true" t="shared" si="178" ref="E1409:E1423">SUM(H1409+K1409+N1409+Q1409)</f>
        <v>9678</v>
      </c>
      <c r="F1409" s="980">
        <f t="shared" si="172"/>
        <v>88.78899082568807</v>
      </c>
      <c r="G1409" s="720">
        <v>10500</v>
      </c>
      <c r="H1409" s="698">
        <v>9323</v>
      </c>
      <c r="I1409" s="746">
        <f t="shared" si="177"/>
        <v>88.79047619047618</v>
      </c>
      <c r="J1409" s="703">
        <v>400</v>
      </c>
      <c r="K1409" s="698">
        <v>355</v>
      </c>
      <c r="L1409" s="704">
        <f aca="true" t="shared" si="179" ref="L1409:L1421">K1409/J1409*100</f>
        <v>88.75</v>
      </c>
      <c r="M1409" s="698"/>
      <c r="N1409" s="698"/>
      <c r="O1409" s="766"/>
      <c r="P1409" s="698"/>
      <c r="Q1409" s="698"/>
      <c r="R1409" s="702"/>
      <c r="S1409" s="682"/>
      <c r="T1409" s="682"/>
    </row>
    <row r="1410" spans="1:20" s="756" customFormat="1" ht="30.75" customHeight="1">
      <c r="A1410" s="764">
        <v>4010</v>
      </c>
      <c r="B1410" s="934" t="s">
        <v>201</v>
      </c>
      <c r="C1410" s="720">
        <v>801941</v>
      </c>
      <c r="D1410" s="698">
        <f>G1410+J1410+P1410+M1410</f>
        <v>873530</v>
      </c>
      <c r="E1410" s="698">
        <f t="shared" si="178"/>
        <v>852864</v>
      </c>
      <c r="F1410" s="980">
        <f>E1410/D1410*100</f>
        <v>97.6341968793287</v>
      </c>
      <c r="G1410" s="720">
        <f>773077+70089+5000</f>
        <v>848166</v>
      </c>
      <c r="H1410" s="698">
        <v>827994</v>
      </c>
      <c r="I1410" s="699">
        <f t="shared" si="177"/>
        <v>97.62169198010767</v>
      </c>
      <c r="J1410" s="703">
        <f>28864-3500</f>
        <v>25364</v>
      </c>
      <c r="K1410" s="698">
        <v>24870</v>
      </c>
      <c r="L1410" s="704">
        <f t="shared" si="179"/>
        <v>98.05235767229144</v>
      </c>
      <c r="M1410" s="698"/>
      <c r="N1410" s="698"/>
      <c r="O1410" s="766"/>
      <c r="P1410" s="698"/>
      <c r="Q1410" s="698"/>
      <c r="R1410" s="702"/>
      <c r="S1410" s="682"/>
      <c r="T1410" s="682"/>
    </row>
    <row r="1411" spans="1:20" s="756" customFormat="1" ht="24">
      <c r="A1411" s="764">
        <v>4040</v>
      </c>
      <c r="B1411" s="934" t="s">
        <v>205</v>
      </c>
      <c r="C1411" s="720">
        <v>63959</v>
      </c>
      <c r="D1411" s="698">
        <f>G1411+J1411+P1411+M1411</f>
        <v>53369</v>
      </c>
      <c r="E1411" s="698">
        <f>SUM(H1411+K1411+N1411+Q1411)</f>
        <v>52706</v>
      </c>
      <c r="F1411" s="980">
        <f>E1411/D1411*100</f>
        <v>98.75770578425677</v>
      </c>
      <c r="G1411" s="720">
        <f>61681-10590</f>
        <v>51091</v>
      </c>
      <c r="H1411" s="698">
        <v>51091</v>
      </c>
      <c r="I1411" s="699">
        <f t="shared" si="177"/>
        <v>100</v>
      </c>
      <c r="J1411" s="703">
        <v>2278</v>
      </c>
      <c r="K1411" s="698">
        <v>1615</v>
      </c>
      <c r="L1411" s="704">
        <f t="shared" si="179"/>
        <v>70.8955223880597</v>
      </c>
      <c r="M1411" s="698"/>
      <c r="N1411" s="698"/>
      <c r="O1411" s="766"/>
      <c r="P1411" s="698"/>
      <c r="Q1411" s="698"/>
      <c r="R1411" s="702"/>
      <c r="S1411" s="682"/>
      <c r="T1411" s="682"/>
    </row>
    <row r="1412" spans="1:20" s="756" customFormat="1" ht="27" customHeight="1">
      <c r="A1412" s="764">
        <v>4110</v>
      </c>
      <c r="B1412" s="934" t="s">
        <v>207</v>
      </c>
      <c r="C1412" s="720">
        <v>130789</v>
      </c>
      <c r="D1412" s="698">
        <f>G1412+J1412+P1412+M1412</f>
        <v>152528</v>
      </c>
      <c r="E1412" s="698">
        <f t="shared" si="178"/>
        <v>146195</v>
      </c>
      <c r="F1412" s="980">
        <f>E1412/D1412*100</f>
        <v>95.8479754536872</v>
      </c>
      <c r="G1412" s="720">
        <f>126131+12739+7000</f>
        <v>145870</v>
      </c>
      <c r="H1412" s="698">
        <v>140985</v>
      </c>
      <c r="I1412" s="699">
        <f t="shared" si="177"/>
        <v>96.65112771645987</v>
      </c>
      <c r="J1412" s="703">
        <f>4658-1600+3600</f>
        <v>6658</v>
      </c>
      <c r="K1412" s="698">
        <v>5210</v>
      </c>
      <c r="L1412" s="745">
        <f t="shared" si="179"/>
        <v>78.25172724541905</v>
      </c>
      <c r="M1412" s="698"/>
      <c r="N1412" s="698"/>
      <c r="O1412" s="766"/>
      <c r="P1412" s="698"/>
      <c r="Q1412" s="698"/>
      <c r="R1412" s="702"/>
      <c r="S1412" s="682"/>
      <c r="T1412" s="682"/>
    </row>
    <row r="1413" spans="1:20" s="756" customFormat="1" ht="14.25" customHeight="1">
      <c r="A1413" s="764">
        <v>4120</v>
      </c>
      <c r="B1413" s="934" t="s">
        <v>584</v>
      </c>
      <c r="C1413" s="720">
        <v>20002</v>
      </c>
      <c r="D1413" s="698">
        <f t="shared" si="175"/>
        <v>21372</v>
      </c>
      <c r="E1413" s="698">
        <f t="shared" si="178"/>
        <v>19867</v>
      </c>
      <c r="F1413" s="980">
        <f t="shared" si="172"/>
        <v>92.95807598727308</v>
      </c>
      <c r="G1413" s="720">
        <f>19290+1370</f>
        <v>20660</v>
      </c>
      <c r="H1413" s="698">
        <v>19155</v>
      </c>
      <c r="I1413" s="699">
        <f t="shared" si="177"/>
        <v>92.71539206195547</v>
      </c>
      <c r="J1413" s="703">
        <v>712</v>
      </c>
      <c r="K1413" s="698">
        <v>712</v>
      </c>
      <c r="L1413" s="745">
        <f t="shared" si="179"/>
        <v>100</v>
      </c>
      <c r="M1413" s="698"/>
      <c r="N1413" s="698"/>
      <c r="O1413" s="766"/>
      <c r="P1413" s="698"/>
      <c r="Q1413" s="698"/>
      <c r="R1413" s="702"/>
      <c r="S1413" s="682"/>
      <c r="T1413" s="682"/>
    </row>
    <row r="1414" spans="1:20" s="756" customFormat="1" ht="24">
      <c r="A1414" s="764">
        <v>4170</v>
      </c>
      <c r="B1414" s="934" t="s">
        <v>242</v>
      </c>
      <c r="C1414" s="720">
        <v>121908</v>
      </c>
      <c r="D1414" s="698">
        <f t="shared" si="175"/>
        <v>144008</v>
      </c>
      <c r="E1414" s="698">
        <f t="shared" si="178"/>
        <v>143732</v>
      </c>
      <c r="F1414" s="980">
        <f t="shared" si="172"/>
        <v>99.80834398088994</v>
      </c>
      <c r="G1414" s="720">
        <f>35000+5000+8000+4000</f>
        <v>52000</v>
      </c>
      <c r="H1414" s="698">
        <v>51770</v>
      </c>
      <c r="I1414" s="699">
        <f t="shared" si="177"/>
        <v>99.5576923076923</v>
      </c>
      <c r="J1414" s="703">
        <f>86908+5100</f>
        <v>92008</v>
      </c>
      <c r="K1414" s="698">
        <v>91962</v>
      </c>
      <c r="L1414" s="745">
        <f t="shared" si="179"/>
        <v>99.95000434744806</v>
      </c>
      <c r="M1414" s="698"/>
      <c r="N1414" s="698"/>
      <c r="O1414" s="766"/>
      <c r="P1414" s="698"/>
      <c r="Q1414" s="698"/>
      <c r="R1414" s="702"/>
      <c r="S1414" s="682"/>
      <c r="T1414" s="682"/>
    </row>
    <row r="1415" spans="1:20" s="756" customFormat="1" ht="24">
      <c r="A1415" s="764">
        <v>4210</v>
      </c>
      <c r="B1415" s="934" t="s">
        <v>211</v>
      </c>
      <c r="C1415" s="720">
        <v>3000</v>
      </c>
      <c r="D1415" s="698">
        <f t="shared" si="175"/>
        <v>3000</v>
      </c>
      <c r="E1415" s="698">
        <f t="shared" si="178"/>
        <v>2478</v>
      </c>
      <c r="F1415" s="980">
        <f t="shared" si="172"/>
        <v>82.6</v>
      </c>
      <c r="G1415" s="720">
        <v>3000</v>
      </c>
      <c r="H1415" s="698">
        <v>2478</v>
      </c>
      <c r="I1415" s="699">
        <f t="shared" si="177"/>
        <v>82.6</v>
      </c>
      <c r="J1415" s="703"/>
      <c r="K1415" s="698"/>
      <c r="L1415" s="704"/>
      <c r="M1415" s="698"/>
      <c r="N1415" s="698"/>
      <c r="O1415" s="766"/>
      <c r="P1415" s="698"/>
      <c r="Q1415" s="698"/>
      <c r="R1415" s="702"/>
      <c r="S1415" s="682"/>
      <c r="T1415" s="682"/>
    </row>
    <row r="1416" spans="1:20" s="756" customFormat="1" ht="12.75">
      <c r="A1416" s="764">
        <v>4260</v>
      </c>
      <c r="B1416" s="934" t="s">
        <v>215</v>
      </c>
      <c r="C1416" s="720">
        <v>1000</v>
      </c>
      <c r="D1416" s="698">
        <f t="shared" si="175"/>
        <v>1000</v>
      </c>
      <c r="E1416" s="698">
        <f t="shared" si="178"/>
        <v>605</v>
      </c>
      <c r="F1416" s="980">
        <f t="shared" si="172"/>
        <v>60.5</v>
      </c>
      <c r="G1416" s="720">
        <v>1000</v>
      </c>
      <c r="H1416" s="698">
        <v>605</v>
      </c>
      <c r="I1416" s="699">
        <f t="shared" si="177"/>
        <v>60.5</v>
      </c>
      <c r="J1416" s="703"/>
      <c r="K1416" s="698"/>
      <c r="L1416" s="704"/>
      <c r="M1416" s="698"/>
      <c r="N1416" s="698"/>
      <c r="O1416" s="766"/>
      <c r="P1416" s="698"/>
      <c r="Q1416" s="698"/>
      <c r="R1416" s="702"/>
      <c r="S1416" s="682"/>
      <c r="T1416" s="682"/>
    </row>
    <row r="1417" spans="1:20" s="756" customFormat="1" ht="17.25" customHeight="1">
      <c r="A1417" s="764">
        <v>4280</v>
      </c>
      <c r="B1417" s="934" t="s">
        <v>542</v>
      </c>
      <c r="C1417" s="720">
        <v>800</v>
      </c>
      <c r="D1417" s="698">
        <f t="shared" si="175"/>
        <v>800</v>
      </c>
      <c r="E1417" s="698">
        <f t="shared" si="178"/>
        <v>800</v>
      </c>
      <c r="F1417" s="980">
        <f t="shared" si="172"/>
        <v>100</v>
      </c>
      <c r="G1417" s="720">
        <v>800</v>
      </c>
      <c r="H1417" s="698">
        <v>800</v>
      </c>
      <c r="I1417" s="699">
        <f t="shared" si="177"/>
        <v>100</v>
      </c>
      <c r="J1417" s="703"/>
      <c r="K1417" s="698"/>
      <c r="L1417" s="704"/>
      <c r="M1417" s="698"/>
      <c r="N1417" s="698"/>
      <c r="O1417" s="766"/>
      <c r="P1417" s="698"/>
      <c r="Q1417" s="698"/>
      <c r="R1417" s="702"/>
      <c r="S1417" s="682"/>
      <c r="T1417" s="682"/>
    </row>
    <row r="1418" spans="1:20" s="756" customFormat="1" ht="18" customHeight="1">
      <c r="A1418" s="764">
        <v>4300</v>
      </c>
      <c r="B1418" s="934" t="s">
        <v>543</v>
      </c>
      <c r="C1418" s="720">
        <v>27600</v>
      </c>
      <c r="D1418" s="698">
        <f t="shared" si="175"/>
        <v>40000</v>
      </c>
      <c r="E1418" s="698">
        <f t="shared" si="178"/>
        <v>24370</v>
      </c>
      <c r="F1418" s="980">
        <f t="shared" si="172"/>
        <v>60.925</v>
      </c>
      <c r="G1418" s="720">
        <f>4000+34000-14000-4000</f>
        <v>20000</v>
      </c>
      <c r="H1418" s="698">
        <v>4620</v>
      </c>
      <c r="I1418" s="699">
        <f t="shared" si="177"/>
        <v>23.1</v>
      </c>
      <c r="J1418" s="703">
        <f>23600-3600</f>
        <v>20000</v>
      </c>
      <c r="K1418" s="698">
        <v>19750</v>
      </c>
      <c r="L1418" s="704">
        <f t="shared" si="179"/>
        <v>98.75</v>
      </c>
      <c r="M1418" s="698"/>
      <c r="N1418" s="698"/>
      <c r="O1418" s="766"/>
      <c r="P1418" s="698"/>
      <c r="Q1418" s="698"/>
      <c r="R1418" s="702"/>
      <c r="S1418" s="682"/>
      <c r="T1418" s="682"/>
    </row>
    <row r="1419" spans="1:20" s="756" customFormat="1" ht="48" hidden="1">
      <c r="A1419" s="764">
        <v>4370</v>
      </c>
      <c r="B1419" s="934" t="s">
        <v>546</v>
      </c>
      <c r="C1419" s="720"/>
      <c r="D1419" s="698">
        <f>G1419+J1419+P1419+M1419</f>
        <v>0</v>
      </c>
      <c r="E1419" s="698">
        <f>SUM(H1419+K1419+N1419+Q1419)</f>
        <v>0</v>
      </c>
      <c r="F1419" s="980" t="e">
        <f>E1419/D1419*100</f>
        <v>#DIV/0!</v>
      </c>
      <c r="G1419" s="720"/>
      <c r="H1419" s="698"/>
      <c r="I1419" s="699" t="e">
        <f t="shared" si="177"/>
        <v>#DIV/0!</v>
      </c>
      <c r="J1419" s="703"/>
      <c r="K1419" s="698"/>
      <c r="L1419" s="704"/>
      <c r="M1419" s="698"/>
      <c r="N1419" s="698"/>
      <c r="O1419" s="766"/>
      <c r="P1419" s="698"/>
      <c r="Q1419" s="698"/>
      <c r="R1419" s="702"/>
      <c r="S1419" s="682"/>
      <c r="T1419" s="682"/>
    </row>
    <row r="1420" spans="1:20" s="756" customFormat="1" ht="24">
      <c r="A1420" s="764">
        <v>4410</v>
      </c>
      <c r="B1420" s="934" t="s">
        <v>830</v>
      </c>
      <c r="C1420" s="720">
        <v>25600</v>
      </c>
      <c r="D1420" s="698">
        <f t="shared" si="175"/>
        <v>20600</v>
      </c>
      <c r="E1420" s="698">
        <f t="shared" si="178"/>
        <v>20586</v>
      </c>
      <c r="F1420" s="980">
        <f t="shared" si="172"/>
        <v>99.93203883495146</v>
      </c>
      <c r="G1420" s="720">
        <f>25000-5000</f>
        <v>20000</v>
      </c>
      <c r="H1420" s="698">
        <v>19994</v>
      </c>
      <c r="I1420" s="699">
        <f t="shared" si="177"/>
        <v>99.97</v>
      </c>
      <c r="J1420" s="703">
        <v>600</v>
      </c>
      <c r="K1420" s="698">
        <v>592</v>
      </c>
      <c r="L1420" s="704">
        <f t="shared" si="179"/>
        <v>98.66666666666667</v>
      </c>
      <c r="M1420" s="698"/>
      <c r="N1420" s="698"/>
      <c r="O1420" s="766"/>
      <c r="P1420" s="698"/>
      <c r="Q1420" s="698"/>
      <c r="R1420" s="702"/>
      <c r="S1420" s="682"/>
      <c r="T1420" s="682"/>
    </row>
    <row r="1421" spans="1:20" s="756" customFormat="1" ht="12.75">
      <c r="A1421" s="764">
        <v>4440</v>
      </c>
      <c r="B1421" s="828" t="s">
        <v>683</v>
      </c>
      <c r="C1421" s="720">
        <v>37055</v>
      </c>
      <c r="D1421" s="698">
        <f t="shared" si="175"/>
        <v>37980</v>
      </c>
      <c r="E1421" s="698">
        <f t="shared" si="178"/>
        <v>37980</v>
      </c>
      <c r="F1421" s="980">
        <f t="shared" si="172"/>
        <v>100</v>
      </c>
      <c r="G1421" s="720">
        <f>36075+925</f>
        <v>37000</v>
      </c>
      <c r="H1421" s="698">
        <v>37000</v>
      </c>
      <c r="I1421" s="699">
        <f t="shared" si="177"/>
        <v>100</v>
      </c>
      <c r="J1421" s="703">
        <v>980</v>
      </c>
      <c r="K1421" s="698">
        <v>980</v>
      </c>
      <c r="L1421" s="745">
        <f t="shared" si="179"/>
        <v>100</v>
      </c>
      <c r="M1421" s="698"/>
      <c r="N1421" s="698"/>
      <c r="O1421" s="766"/>
      <c r="P1421" s="698"/>
      <c r="Q1421" s="698"/>
      <c r="R1421" s="702"/>
      <c r="S1421" s="682"/>
      <c r="T1421" s="682"/>
    </row>
    <row r="1422" spans="1:20" s="756" customFormat="1" ht="48.75" customHeight="1">
      <c r="A1422" s="764">
        <v>4740</v>
      </c>
      <c r="B1422" s="828" t="s">
        <v>235</v>
      </c>
      <c r="C1422" s="720">
        <v>500</v>
      </c>
      <c r="D1422" s="698">
        <f t="shared" si="175"/>
        <v>0</v>
      </c>
      <c r="E1422" s="698">
        <f t="shared" si="178"/>
        <v>0</v>
      </c>
      <c r="F1422" s="980"/>
      <c r="G1422" s="720">
        <f>500-500</f>
        <v>0</v>
      </c>
      <c r="H1422" s="698"/>
      <c r="I1422" s="699"/>
      <c r="J1422" s="703"/>
      <c r="K1422" s="698"/>
      <c r="L1422" s="704"/>
      <c r="M1422" s="698"/>
      <c r="N1422" s="698"/>
      <c r="O1422" s="766"/>
      <c r="P1422" s="698"/>
      <c r="Q1422" s="698"/>
      <c r="R1422" s="702"/>
      <c r="S1422" s="682"/>
      <c r="T1422" s="682"/>
    </row>
    <row r="1423" spans="1:20" s="756" customFormat="1" ht="36">
      <c r="A1423" s="764">
        <v>4750</v>
      </c>
      <c r="B1423" s="828" t="s">
        <v>551</v>
      </c>
      <c r="C1423" s="720">
        <v>1000</v>
      </c>
      <c r="D1423" s="698">
        <f t="shared" si="175"/>
        <v>400</v>
      </c>
      <c r="E1423" s="698">
        <f t="shared" si="178"/>
        <v>358</v>
      </c>
      <c r="F1423" s="980">
        <f t="shared" si="172"/>
        <v>89.5</v>
      </c>
      <c r="G1423" s="720">
        <f>1000-600</f>
        <v>400</v>
      </c>
      <c r="H1423" s="698">
        <v>358</v>
      </c>
      <c r="I1423" s="699">
        <f t="shared" si="177"/>
        <v>89.5</v>
      </c>
      <c r="J1423" s="703"/>
      <c r="K1423" s="698"/>
      <c r="L1423" s="704"/>
      <c r="M1423" s="698"/>
      <c r="N1423" s="698"/>
      <c r="O1423" s="766"/>
      <c r="P1423" s="698"/>
      <c r="Q1423" s="698"/>
      <c r="R1423" s="702"/>
      <c r="S1423" s="682"/>
      <c r="T1423" s="682"/>
    </row>
    <row r="1424" spans="1:20" s="756" customFormat="1" ht="24" hidden="1">
      <c r="A1424" s="835">
        <v>85278</v>
      </c>
      <c r="B1424" s="959" t="s">
        <v>832</v>
      </c>
      <c r="C1424" s="725"/>
      <c r="D1424" s="712">
        <f t="shared" si="175"/>
        <v>0</v>
      </c>
      <c r="E1424" s="712">
        <f>H1424+K1424+Q1424+N1424</f>
        <v>0</v>
      </c>
      <c r="F1424" s="1006" t="e">
        <f t="shared" si="172"/>
        <v>#DIV/0!</v>
      </c>
      <c r="G1424" s="725"/>
      <c r="H1424" s="712"/>
      <c r="I1424" s="854"/>
      <c r="J1424" s="717">
        <f>SUM(J1425)</f>
        <v>0</v>
      </c>
      <c r="K1424" s="712">
        <f>SUM(K1425)</f>
        <v>0</v>
      </c>
      <c r="L1424" s="742" t="e">
        <f>K1424/J1424*100</f>
        <v>#DIV/0!</v>
      </c>
      <c r="M1424" s="712"/>
      <c r="N1424" s="712"/>
      <c r="O1424" s="801"/>
      <c r="P1424" s="712"/>
      <c r="Q1424" s="712"/>
      <c r="R1424" s="799"/>
      <c r="S1424" s="682"/>
      <c r="T1424" s="682"/>
    </row>
    <row r="1425" spans="1:20" s="756" customFormat="1" ht="14.25" customHeight="1" hidden="1" thickBot="1">
      <c r="A1425" s="871">
        <v>3110</v>
      </c>
      <c r="B1425" s="1010" t="s">
        <v>713</v>
      </c>
      <c r="C1425" s="873"/>
      <c r="D1425" s="874">
        <f t="shared" si="175"/>
        <v>0</v>
      </c>
      <c r="E1425" s="874">
        <f>H1425+K1425+Q1425+N1425</f>
        <v>0</v>
      </c>
      <c r="F1425" s="1008" t="e">
        <f t="shared" si="172"/>
        <v>#DIV/0!</v>
      </c>
      <c r="G1425" s="873"/>
      <c r="H1425" s="874"/>
      <c r="I1425" s="854"/>
      <c r="J1425" s="875"/>
      <c r="K1425" s="874"/>
      <c r="L1425" s="1021" t="e">
        <f>K1425/J1425*100</f>
        <v>#DIV/0!</v>
      </c>
      <c r="M1425" s="874"/>
      <c r="N1425" s="874"/>
      <c r="O1425" s="762"/>
      <c r="P1425" s="874"/>
      <c r="Q1425" s="874"/>
      <c r="R1425" s="719"/>
      <c r="S1425" s="682"/>
      <c r="T1425" s="682"/>
    </row>
    <row r="1426" spans="1:18" ht="24" customHeight="1">
      <c r="A1426" s="757">
        <v>85295</v>
      </c>
      <c r="B1426" s="959" t="s">
        <v>233</v>
      </c>
      <c r="C1426" s="710">
        <f>SUM(C1427:C1435)</f>
        <v>997800</v>
      </c>
      <c r="D1426" s="712">
        <f>G1426+J1426+P1426+M1426</f>
        <v>1448870</v>
      </c>
      <c r="E1426" s="712">
        <f>H1426+K1426+Q1426+N1426</f>
        <v>1361257</v>
      </c>
      <c r="F1426" s="1008">
        <f t="shared" si="172"/>
        <v>93.95301165736056</v>
      </c>
      <c r="G1426" s="710">
        <f>SUM(G1428:G1435)+G1427+G1436+G1441</f>
        <v>1429370</v>
      </c>
      <c r="H1426" s="711">
        <f>SUM(H1428:H1435)+H1427+H1436+H1441</f>
        <v>1342292</v>
      </c>
      <c r="I1426" s="713">
        <f aca="true" t="shared" si="180" ref="I1426:I1485">H1426/G1426*100</f>
        <v>93.90794545848871</v>
      </c>
      <c r="J1426" s="710"/>
      <c r="K1426" s="711"/>
      <c r="L1426" s="876"/>
      <c r="M1426" s="1022">
        <f>SUM(M1427:M1435)</f>
        <v>3000</v>
      </c>
      <c r="N1426" s="711">
        <f>SUM(N1427:N1435)</f>
        <v>2465</v>
      </c>
      <c r="O1426" s="876">
        <f>N1426/M1426*100</f>
        <v>82.16666666666667</v>
      </c>
      <c r="P1426" s="807">
        <f>SUM(P1427:P1472)</f>
        <v>16500</v>
      </c>
      <c r="Q1426" s="807">
        <f>SUM(Q1427:Q1472)</f>
        <v>16500</v>
      </c>
      <c r="R1426" s="741">
        <f>Q1426/P1426*100</f>
        <v>100</v>
      </c>
    </row>
    <row r="1427" spans="1:20" s="756" customFormat="1" ht="59.25" customHeight="1">
      <c r="A1427" s="784">
        <v>2820</v>
      </c>
      <c r="B1427" s="942" t="s">
        <v>637</v>
      </c>
      <c r="C1427" s="723">
        <v>150000</v>
      </c>
      <c r="D1427" s="732">
        <f t="shared" si="175"/>
        <v>150000</v>
      </c>
      <c r="E1427" s="732">
        <f aca="true" t="shared" si="181" ref="E1427:E1465">SUM(H1427+K1427+N1427+Q1427)</f>
        <v>126000</v>
      </c>
      <c r="F1427" s="1009">
        <f t="shared" si="172"/>
        <v>84</v>
      </c>
      <c r="G1427" s="723">
        <v>150000</v>
      </c>
      <c r="H1427" s="732">
        <v>126000</v>
      </c>
      <c r="I1427" s="721">
        <f t="shared" si="180"/>
        <v>84</v>
      </c>
      <c r="J1427" s="735"/>
      <c r="K1427" s="732"/>
      <c r="L1427" s="736"/>
      <c r="M1427" s="732"/>
      <c r="N1427" s="732"/>
      <c r="O1427" s="803"/>
      <c r="P1427" s="732"/>
      <c r="Q1427" s="732"/>
      <c r="R1427" s="707"/>
      <c r="S1427" s="682"/>
      <c r="T1427" s="682"/>
    </row>
    <row r="1428" spans="1:20" s="756" customFormat="1" ht="39.75" customHeight="1">
      <c r="A1428" s="764">
        <v>3110</v>
      </c>
      <c r="B1428" s="934" t="s">
        <v>471</v>
      </c>
      <c r="C1428" s="720">
        <f>469000+326000</f>
        <v>795000</v>
      </c>
      <c r="D1428" s="698">
        <f>G1428+J1428+P1428+M1428</f>
        <v>1234000</v>
      </c>
      <c r="E1428" s="698">
        <f t="shared" si="181"/>
        <v>1178839</v>
      </c>
      <c r="F1428" s="980">
        <f>E1428/D1428*100</f>
        <v>95.52990275526743</v>
      </c>
      <c r="G1428" s="720">
        <f>469000+326000+8000+431000</f>
        <v>1234000</v>
      </c>
      <c r="H1428" s="698">
        <v>1178839</v>
      </c>
      <c r="I1428" s="699">
        <f t="shared" si="180"/>
        <v>95.52990275526743</v>
      </c>
      <c r="J1428" s="703"/>
      <c r="K1428" s="698"/>
      <c r="L1428" s="704"/>
      <c r="M1428" s="698"/>
      <c r="N1428" s="698"/>
      <c r="O1428" s="766"/>
      <c r="P1428" s="698"/>
      <c r="Q1428" s="698"/>
      <c r="R1428" s="702"/>
      <c r="S1428" s="682"/>
      <c r="T1428" s="682"/>
    </row>
    <row r="1429" spans="1:20" s="756" customFormat="1" ht="12.75" hidden="1">
      <c r="A1429" s="764">
        <v>4580</v>
      </c>
      <c r="B1429" s="934" t="s">
        <v>244</v>
      </c>
      <c r="C1429" s="720"/>
      <c r="D1429" s="698">
        <f t="shared" si="175"/>
        <v>0</v>
      </c>
      <c r="E1429" s="698">
        <f t="shared" si="181"/>
        <v>0</v>
      </c>
      <c r="F1429" s="980" t="e">
        <f t="shared" si="172"/>
        <v>#DIV/0!</v>
      </c>
      <c r="G1429" s="720"/>
      <c r="H1429" s="698"/>
      <c r="I1429" s="699" t="e">
        <f t="shared" si="180"/>
        <v>#DIV/0!</v>
      </c>
      <c r="J1429" s="703"/>
      <c r="K1429" s="698"/>
      <c r="L1429" s="704"/>
      <c r="M1429" s="698"/>
      <c r="N1429" s="698"/>
      <c r="O1429" s="766"/>
      <c r="P1429" s="698"/>
      <c r="Q1429" s="698"/>
      <c r="R1429" s="702"/>
      <c r="S1429" s="682"/>
      <c r="T1429" s="682"/>
    </row>
    <row r="1430" spans="1:20" s="756" customFormat="1" ht="24" hidden="1">
      <c r="A1430" s="764">
        <v>4170</v>
      </c>
      <c r="B1430" s="934" t="s">
        <v>242</v>
      </c>
      <c r="C1430" s="720"/>
      <c r="D1430" s="698">
        <f>G1430+J1430+P1430+M1430</f>
        <v>0</v>
      </c>
      <c r="E1430" s="698">
        <f t="shared" si="181"/>
        <v>0</v>
      </c>
      <c r="F1430" s="980" t="e">
        <f>E1430/D1430*100</f>
        <v>#DIV/0!</v>
      </c>
      <c r="G1430" s="720"/>
      <c r="H1430" s="698"/>
      <c r="I1430" s="699" t="e">
        <f t="shared" si="180"/>
        <v>#DIV/0!</v>
      </c>
      <c r="J1430" s="703"/>
      <c r="K1430" s="698"/>
      <c r="L1430" s="704"/>
      <c r="M1430" s="698"/>
      <c r="N1430" s="698"/>
      <c r="O1430" s="766"/>
      <c r="P1430" s="698"/>
      <c r="Q1430" s="698"/>
      <c r="R1430" s="702"/>
      <c r="S1430" s="682"/>
      <c r="T1430" s="682"/>
    </row>
    <row r="1431" spans="1:20" s="756" customFormat="1" ht="24">
      <c r="A1431" s="764">
        <v>4210</v>
      </c>
      <c r="B1431" s="934" t="s">
        <v>211</v>
      </c>
      <c r="C1431" s="720">
        <v>2000</v>
      </c>
      <c r="D1431" s="698">
        <f>G1431+J1431+P1431+M1431</f>
        <v>950</v>
      </c>
      <c r="E1431" s="698">
        <f t="shared" si="181"/>
        <v>790</v>
      </c>
      <c r="F1431" s="980">
        <f>E1431/D1431*100</f>
        <v>83.15789473684211</v>
      </c>
      <c r="G1431" s="720"/>
      <c r="H1431" s="698"/>
      <c r="I1431" s="699"/>
      <c r="J1431" s="703"/>
      <c r="K1431" s="698"/>
      <c r="L1431" s="704"/>
      <c r="M1431" s="698">
        <v>600</v>
      </c>
      <c r="N1431" s="698">
        <v>440</v>
      </c>
      <c r="O1431" s="704">
        <f>N1431/M1431*100</f>
        <v>73.33333333333333</v>
      </c>
      <c r="P1431" s="698">
        <f>2000+500-2150</f>
        <v>350</v>
      </c>
      <c r="Q1431" s="698">
        <v>350</v>
      </c>
      <c r="R1431" s="744">
        <f>Q1431/P1431*100</f>
        <v>100</v>
      </c>
      <c r="S1431" s="682"/>
      <c r="T1431" s="682"/>
    </row>
    <row r="1432" spans="1:20" s="756" customFormat="1" ht="15.75" customHeight="1">
      <c r="A1432" s="764">
        <v>4300</v>
      </c>
      <c r="B1432" s="934" t="s">
        <v>219</v>
      </c>
      <c r="C1432" s="720"/>
      <c r="D1432" s="698">
        <f>G1432+J1432+P1432+M1432</f>
        <v>15500</v>
      </c>
      <c r="E1432" s="698">
        <f>SUM(H1432+K1432+N1432+Q1432)</f>
        <v>15500</v>
      </c>
      <c r="F1432" s="980">
        <f>E1432/D1432*100</f>
        <v>100</v>
      </c>
      <c r="G1432" s="720"/>
      <c r="H1432" s="698"/>
      <c r="I1432" s="699"/>
      <c r="J1432" s="703"/>
      <c r="K1432" s="698"/>
      <c r="L1432" s="704"/>
      <c r="M1432" s="698"/>
      <c r="N1432" s="698"/>
      <c r="O1432" s="704"/>
      <c r="P1432" s="698">
        <f>13500+2000</f>
        <v>15500</v>
      </c>
      <c r="Q1432" s="698">
        <v>15500</v>
      </c>
      <c r="R1432" s="744">
        <f>Q1432/P1432*100</f>
        <v>100</v>
      </c>
      <c r="S1432" s="682"/>
      <c r="T1432" s="682"/>
    </row>
    <row r="1433" spans="1:20" s="756" customFormat="1" ht="17.25" customHeight="1">
      <c r="A1433" s="764">
        <v>4300</v>
      </c>
      <c r="B1433" s="934" t="s">
        <v>833</v>
      </c>
      <c r="C1433" s="720">
        <f>22500+27800</f>
        <v>50300</v>
      </c>
      <c r="D1433" s="698">
        <f t="shared" si="175"/>
        <v>47770</v>
      </c>
      <c r="E1433" s="698">
        <f t="shared" si="181"/>
        <v>39478</v>
      </c>
      <c r="F1433" s="980">
        <f t="shared" si="172"/>
        <v>82.64182541343939</v>
      </c>
      <c r="G1433" s="720">
        <f>22500+14300+8570</f>
        <v>45370</v>
      </c>
      <c r="H1433" s="698">
        <v>37453</v>
      </c>
      <c r="I1433" s="699">
        <f t="shared" si="180"/>
        <v>82.55014326647564</v>
      </c>
      <c r="J1433" s="703"/>
      <c r="K1433" s="698"/>
      <c r="L1433" s="704"/>
      <c r="M1433" s="698">
        <v>2400</v>
      </c>
      <c r="N1433" s="698">
        <v>2025</v>
      </c>
      <c r="O1433" s="704">
        <f>N1433/M1433*100</f>
        <v>84.375</v>
      </c>
      <c r="P1433" s="698"/>
      <c r="Q1433" s="698"/>
      <c r="R1433" s="744"/>
      <c r="S1433" s="682"/>
      <c r="T1433" s="682"/>
    </row>
    <row r="1434" spans="1:20" s="756" customFormat="1" ht="51.75" customHeight="1">
      <c r="A1434" s="764">
        <v>4740</v>
      </c>
      <c r="B1434" s="828" t="s">
        <v>235</v>
      </c>
      <c r="C1434" s="720">
        <v>500</v>
      </c>
      <c r="D1434" s="698">
        <f>G1434+J1434+P1434+M1434</f>
        <v>150</v>
      </c>
      <c r="E1434" s="698">
        <f>SUM(H1434+K1434+N1434+Q1434)</f>
        <v>150</v>
      </c>
      <c r="F1434" s="980">
        <f>E1434/D1434*100</f>
        <v>100</v>
      </c>
      <c r="G1434" s="720"/>
      <c r="H1434" s="698"/>
      <c r="I1434" s="699"/>
      <c r="J1434" s="703"/>
      <c r="K1434" s="698"/>
      <c r="L1434" s="704"/>
      <c r="M1434" s="698"/>
      <c r="N1434" s="698"/>
      <c r="O1434" s="704"/>
      <c r="P1434" s="698">
        <f>500-350</f>
        <v>150</v>
      </c>
      <c r="Q1434" s="698">
        <v>150</v>
      </c>
      <c r="R1434" s="744">
        <f>Q1434/P1434*100</f>
        <v>100</v>
      </c>
      <c r="S1434" s="682"/>
      <c r="T1434" s="682"/>
    </row>
    <row r="1435" spans="1:20" s="756" customFormat="1" ht="36.75" thickBot="1">
      <c r="A1435" s="764">
        <v>4750</v>
      </c>
      <c r="B1435" s="828" t="s">
        <v>551</v>
      </c>
      <c r="C1435" s="720"/>
      <c r="D1435" s="698">
        <f t="shared" si="175"/>
        <v>500</v>
      </c>
      <c r="E1435" s="698">
        <f t="shared" si="181"/>
        <v>500</v>
      </c>
      <c r="F1435" s="967">
        <f t="shared" si="172"/>
        <v>100</v>
      </c>
      <c r="G1435" s="720"/>
      <c r="H1435" s="698"/>
      <c r="I1435" s="699"/>
      <c r="J1435" s="703"/>
      <c r="K1435" s="698"/>
      <c r="L1435" s="704"/>
      <c r="M1435" s="698"/>
      <c r="N1435" s="698"/>
      <c r="O1435" s="702"/>
      <c r="P1435" s="698">
        <v>500</v>
      </c>
      <c r="Q1435" s="698">
        <v>500</v>
      </c>
      <c r="R1435" s="744">
        <f>Q1435/P1435*100</f>
        <v>100</v>
      </c>
      <c r="S1435" s="682"/>
      <c r="T1435" s="682"/>
    </row>
    <row r="1436" spans="1:20" s="756" customFormat="1" ht="24.75" hidden="1" thickBot="1">
      <c r="A1436" s="774"/>
      <c r="B1436" s="1023" t="s">
        <v>834</v>
      </c>
      <c r="C1436" s="776"/>
      <c r="D1436" s="777">
        <f t="shared" si="175"/>
        <v>0</v>
      </c>
      <c r="E1436" s="777">
        <f t="shared" si="181"/>
        <v>0</v>
      </c>
      <c r="F1436" s="1024" t="e">
        <f t="shared" si="172"/>
        <v>#DIV/0!</v>
      </c>
      <c r="G1436" s="1025">
        <f>SUM(G1437:G1440)</f>
        <v>0</v>
      </c>
      <c r="H1436" s="777">
        <f>SUM(H1437:H1440)</f>
        <v>0</v>
      </c>
      <c r="I1436" s="699" t="e">
        <f t="shared" si="180"/>
        <v>#DIV/0!</v>
      </c>
      <c r="J1436" s="778"/>
      <c r="K1436" s="777"/>
      <c r="L1436" s="779"/>
      <c r="M1436" s="776"/>
      <c r="N1436" s="777"/>
      <c r="O1436" s="1026"/>
      <c r="P1436" s="777"/>
      <c r="Q1436" s="777"/>
      <c r="R1436" s="1026"/>
      <c r="S1436" s="682"/>
      <c r="T1436" s="682"/>
    </row>
    <row r="1437" spans="1:20" s="756" customFormat="1" ht="24.75" hidden="1" thickBot="1">
      <c r="A1437" s="764">
        <v>4170</v>
      </c>
      <c r="B1437" s="934" t="s">
        <v>242</v>
      </c>
      <c r="C1437" s="720"/>
      <c r="D1437" s="698">
        <f t="shared" si="175"/>
        <v>0</v>
      </c>
      <c r="E1437" s="698">
        <f t="shared" si="181"/>
        <v>0</v>
      </c>
      <c r="F1437" s="967" t="e">
        <f t="shared" si="172"/>
        <v>#DIV/0!</v>
      </c>
      <c r="G1437" s="720"/>
      <c r="H1437" s="698"/>
      <c r="I1437" s="699" t="e">
        <f t="shared" si="180"/>
        <v>#DIV/0!</v>
      </c>
      <c r="J1437" s="703"/>
      <c r="K1437" s="698"/>
      <c r="L1437" s="704"/>
      <c r="M1437" s="720"/>
      <c r="N1437" s="698"/>
      <c r="O1437" s="972"/>
      <c r="P1437" s="698"/>
      <c r="Q1437" s="698"/>
      <c r="R1437" s="746"/>
      <c r="S1437" s="682"/>
      <c r="T1437" s="682"/>
    </row>
    <row r="1438" spans="1:20" s="756" customFormat="1" ht="24.75" hidden="1" thickBot="1">
      <c r="A1438" s="764">
        <v>4210</v>
      </c>
      <c r="B1438" s="934" t="s">
        <v>211</v>
      </c>
      <c r="C1438" s="720"/>
      <c r="D1438" s="698">
        <f t="shared" si="175"/>
        <v>0</v>
      </c>
      <c r="E1438" s="698">
        <f t="shared" si="181"/>
        <v>0</v>
      </c>
      <c r="F1438" s="967" t="e">
        <f t="shared" si="172"/>
        <v>#DIV/0!</v>
      </c>
      <c r="G1438" s="720"/>
      <c r="H1438" s="698"/>
      <c r="I1438" s="699" t="e">
        <f t="shared" si="180"/>
        <v>#DIV/0!</v>
      </c>
      <c r="J1438" s="703"/>
      <c r="K1438" s="698"/>
      <c r="L1438" s="704"/>
      <c r="M1438" s="720"/>
      <c r="N1438" s="698"/>
      <c r="O1438" s="972"/>
      <c r="P1438" s="698"/>
      <c r="Q1438" s="698"/>
      <c r="R1438" s="746"/>
      <c r="S1438" s="682"/>
      <c r="T1438" s="682"/>
    </row>
    <row r="1439" spans="1:20" s="756" customFormat="1" ht="24.75" hidden="1" thickBot="1">
      <c r="A1439" s="764">
        <v>4300</v>
      </c>
      <c r="B1439" s="934" t="s">
        <v>219</v>
      </c>
      <c r="C1439" s="720"/>
      <c r="D1439" s="698">
        <f t="shared" si="175"/>
        <v>0</v>
      </c>
      <c r="E1439" s="698">
        <f t="shared" si="181"/>
        <v>0</v>
      </c>
      <c r="F1439" s="967" t="e">
        <f t="shared" si="172"/>
        <v>#DIV/0!</v>
      </c>
      <c r="G1439" s="720"/>
      <c r="H1439" s="698"/>
      <c r="I1439" s="699" t="e">
        <f t="shared" si="180"/>
        <v>#DIV/0!</v>
      </c>
      <c r="J1439" s="703"/>
      <c r="K1439" s="698"/>
      <c r="L1439" s="704"/>
      <c r="M1439" s="720"/>
      <c r="N1439" s="698"/>
      <c r="O1439" s="972"/>
      <c r="P1439" s="698"/>
      <c r="Q1439" s="698"/>
      <c r="R1439" s="746"/>
      <c r="S1439" s="682"/>
      <c r="T1439" s="682"/>
    </row>
    <row r="1440" spans="1:20" s="756" customFormat="1" ht="60.75" hidden="1" thickBot="1">
      <c r="A1440" s="764">
        <v>4740</v>
      </c>
      <c r="B1440" s="934" t="s">
        <v>235</v>
      </c>
      <c r="C1440" s="720"/>
      <c r="D1440" s="698">
        <f t="shared" si="175"/>
        <v>0</v>
      </c>
      <c r="E1440" s="698">
        <f t="shared" si="181"/>
        <v>0</v>
      </c>
      <c r="F1440" s="967" t="e">
        <f t="shared" si="172"/>
        <v>#DIV/0!</v>
      </c>
      <c r="G1440" s="720"/>
      <c r="H1440" s="698"/>
      <c r="I1440" s="699" t="e">
        <f t="shared" si="180"/>
        <v>#DIV/0!</v>
      </c>
      <c r="J1440" s="703"/>
      <c r="K1440" s="698"/>
      <c r="L1440" s="704"/>
      <c r="M1440" s="720"/>
      <c r="N1440" s="698"/>
      <c r="O1440" s="972"/>
      <c r="P1440" s="698"/>
      <c r="Q1440" s="698"/>
      <c r="R1440" s="746"/>
      <c r="S1440" s="682"/>
      <c r="T1440" s="682"/>
    </row>
    <row r="1441" spans="1:20" s="756" customFormat="1" ht="84.75" hidden="1" thickBot="1">
      <c r="A1441" s="774"/>
      <c r="B1441" s="1023" t="s">
        <v>330</v>
      </c>
      <c r="C1441" s="776"/>
      <c r="D1441" s="777">
        <f t="shared" si="175"/>
        <v>0</v>
      </c>
      <c r="E1441" s="777">
        <f t="shared" si="181"/>
        <v>0</v>
      </c>
      <c r="F1441" s="967" t="e">
        <f t="shared" si="172"/>
        <v>#DIV/0!</v>
      </c>
      <c r="G1441" s="776">
        <f>SUM(G1442:G1465)</f>
        <v>0</v>
      </c>
      <c r="H1441" s="777">
        <f>SUM(H1442:H1465)</f>
        <v>0</v>
      </c>
      <c r="I1441" s="699" t="e">
        <f t="shared" si="180"/>
        <v>#DIV/0!</v>
      </c>
      <c r="J1441" s="778"/>
      <c r="K1441" s="777"/>
      <c r="L1441" s="779"/>
      <c r="M1441" s="778"/>
      <c r="N1441" s="777"/>
      <c r="O1441" s="972"/>
      <c r="P1441" s="777"/>
      <c r="Q1441" s="777"/>
      <c r="R1441" s="972"/>
      <c r="S1441" s="682"/>
      <c r="T1441" s="682"/>
    </row>
    <row r="1442" spans="1:20" s="756" customFormat="1" ht="24.75" hidden="1" thickBot="1">
      <c r="A1442" s="764">
        <v>3118</v>
      </c>
      <c r="B1442" s="934" t="s">
        <v>713</v>
      </c>
      <c r="C1442" s="720"/>
      <c r="D1442" s="698">
        <f t="shared" si="175"/>
        <v>0</v>
      </c>
      <c r="E1442" s="698">
        <f t="shared" si="181"/>
        <v>0</v>
      </c>
      <c r="F1442" s="967" t="e">
        <f aca="true" t="shared" si="182" ref="F1442:F1464">E1442/D1442*100</f>
        <v>#DIV/0!</v>
      </c>
      <c r="G1442" s="720">
        <f>40080-6012+3315-37383</f>
        <v>0</v>
      </c>
      <c r="H1442" s="698"/>
      <c r="I1442" s="699" t="e">
        <f t="shared" si="180"/>
        <v>#DIV/0!</v>
      </c>
      <c r="J1442" s="703"/>
      <c r="K1442" s="698"/>
      <c r="L1442" s="704"/>
      <c r="M1442" s="703"/>
      <c r="N1442" s="698"/>
      <c r="O1442" s="972"/>
      <c r="P1442" s="698"/>
      <c r="Q1442" s="698"/>
      <c r="R1442" s="746"/>
      <c r="S1442" s="682"/>
      <c r="T1442" s="682"/>
    </row>
    <row r="1443" spans="1:20" s="756" customFormat="1" ht="24.75" hidden="1" thickBot="1">
      <c r="A1443" s="764">
        <v>3119</v>
      </c>
      <c r="B1443" s="934" t="s">
        <v>713</v>
      </c>
      <c r="C1443" s="720"/>
      <c r="D1443" s="698">
        <f t="shared" si="175"/>
        <v>0</v>
      </c>
      <c r="E1443" s="698">
        <f t="shared" si="181"/>
        <v>0</v>
      </c>
      <c r="F1443" s="967" t="e">
        <f t="shared" si="182"/>
        <v>#DIV/0!</v>
      </c>
      <c r="G1443" s="720">
        <f>6012+585-6597</f>
        <v>0</v>
      </c>
      <c r="H1443" s="698"/>
      <c r="I1443" s="699" t="e">
        <f t="shared" si="180"/>
        <v>#DIV/0!</v>
      </c>
      <c r="J1443" s="703"/>
      <c r="K1443" s="698"/>
      <c r="L1443" s="704"/>
      <c r="M1443" s="703"/>
      <c r="N1443" s="698"/>
      <c r="O1443" s="972"/>
      <c r="P1443" s="698"/>
      <c r="Q1443" s="698"/>
      <c r="R1443" s="746"/>
      <c r="S1443" s="682"/>
      <c r="T1443" s="682"/>
    </row>
    <row r="1444" spans="1:20" s="756" customFormat="1" ht="36.75" hidden="1" thickBot="1">
      <c r="A1444" s="764">
        <v>4018</v>
      </c>
      <c r="B1444" s="934" t="s">
        <v>201</v>
      </c>
      <c r="C1444" s="720"/>
      <c r="D1444" s="698">
        <f t="shared" si="175"/>
        <v>0</v>
      </c>
      <c r="E1444" s="698">
        <f t="shared" si="181"/>
        <v>0</v>
      </c>
      <c r="F1444" s="967" t="e">
        <f t="shared" si="182"/>
        <v>#DIV/0!</v>
      </c>
      <c r="G1444" s="720">
        <f>38810-5822-32988</f>
        <v>0</v>
      </c>
      <c r="H1444" s="698"/>
      <c r="I1444" s="699" t="e">
        <f t="shared" si="180"/>
        <v>#DIV/0!</v>
      </c>
      <c r="J1444" s="703"/>
      <c r="K1444" s="698"/>
      <c r="L1444" s="704"/>
      <c r="M1444" s="703"/>
      <c r="N1444" s="698"/>
      <c r="O1444" s="972"/>
      <c r="P1444" s="698"/>
      <c r="Q1444" s="698"/>
      <c r="R1444" s="746"/>
      <c r="S1444" s="682"/>
      <c r="T1444" s="682"/>
    </row>
    <row r="1445" spans="1:20" s="756" customFormat="1" ht="36.75" hidden="1" thickBot="1">
      <c r="A1445" s="764">
        <v>4019</v>
      </c>
      <c r="B1445" s="934" t="s">
        <v>201</v>
      </c>
      <c r="C1445" s="720"/>
      <c r="D1445" s="698">
        <f t="shared" si="175"/>
        <v>0</v>
      </c>
      <c r="E1445" s="698">
        <f t="shared" si="181"/>
        <v>0</v>
      </c>
      <c r="F1445" s="967" t="e">
        <f t="shared" si="182"/>
        <v>#DIV/0!</v>
      </c>
      <c r="G1445" s="720">
        <f>5822-5822</f>
        <v>0</v>
      </c>
      <c r="H1445" s="698"/>
      <c r="I1445" s="699" t="e">
        <f t="shared" si="180"/>
        <v>#DIV/0!</v>
      </c>
      <c r="J1445" s="703"/>
      <c r="K1445" s="698"/>
      <c r="L1445" s="704"/>
      <c r="M1445" s="703"/>
      <c r="N1445" s="698"/>
      <c r="O1445" s="972"/>
      <c r="P1445" s="698"/>
      <c r="Q1445" s="698"/>
      <c r="R1445" s="746"/>
      <c r="S1445" s="682"/>
      <c r="T1445" s="682"/>
    </row>
    <row r="1446" spans="1:20" s="756" customFormat="1" ht="36.75" hidden="1" thickBot="1">
      <c r="A1446" s="764">
        <v>4118</v>
      </c>
      <c r="B1446" s="934" t="s">
        <v>207</v>
      </c>
      <c r="C1446" s="720"/>
      <c r="D1446" s="698">
        <f t="shared" si="175"/>
        <v>0</v>
      </c>
      <c r="E1446" s="698">
        <f t="shared" si="181"/>
        <v>0</v>
      </c>
      <c r="F1446" s="967" t="e">
        <f t="shared" si="182"/>
        <v>#DIV/0!</v>
      </c>
      <c r="G1446" s="720">
        <f>12354-1854-1217-9283</f>
        <v>0</v>
      </c>
      <c r="H1446" s="698"/>
      <c r="I1446" s="699" t="e">
        <f t="shared" si="180"/>
        <v>#DIV/0!</v>
      </c>
      <c r="J1446" s="703"/>
      <c r="K1446" s="698"/>
      <c r="L1446" s="704"/>
      <c r="M1446" s="703"/>
      <c r="N1446" s="698"/>
      <c r="O1446" s="972"/>
      <c r="P1446" s="698"/>
      <c r="Q1446" s="698"/>
      <c r="R1446" s="746"/>
      <c r="S1446" s="682"/>
      <c r="T1446" s="682"/>
    </row>
    <row r="1447" spans="1:20" s="756" customFormat="1" ht="36.75" hidden="1" thickBot="1">
      <c r="A1447" s="764">
        <v>4119</v>
      </c>
      <c r="B1447" s="934" t="s">
        <v>207</v>
      </c>
      <c r="C1447" s="720"/>
      <c r="D1447" s="698">
        <f t="shared" si="175"/>
        <v>0</v>
      </c>
      <c r="E1447" s="698">
        <f t="shared" si="181"/>
        <v>0</v>
      </c>
      <c r="F1447" s="967" t="e">
        <f t="shared" si="182"/>
        <v>#DIV/0!</v>
      </c>
      <c r="G1447" s="720">
        <f>1854-216-1638</f>
        <v>0</v>
      </c>
      <c r="H1447" s="698"/>
      <c r="I1447" s="699" t="e">
        <f t="shared" si="180"/>
        <v>#DIV/0!</v>
      </c>
      <c r="J1447" s="703"/>
      <c r="K1447" s="698"/>
      <c r="L1447" s="704"/>
      <c r="M1447" s="703"/>
      <c r="N1447" s="698"/>
      <c r="O1447" s="972"/>
      <c r="P1447" s="698"/>
      <c r="Q1447" s="698"/>
      <c r="R1447" s="746"/>
      <c r="S1447" s="682"/>
      <c r="T1447" s="682"/>
    </row>
    <row r="1448" spans="1:20" s="756" customFormat="1" ht="13.5" hidden="1" thickBot="1">
      <c r="A1448" s="764">
        <v>4128</v>
      </c>
      <c r="B1448" s="934" t="s">
        <v>584</v>
      </c>
      <c r="C1448" s="720"/>
      <c r="D1448" s="698">
        <f t="shared" si="175"/>
        <v>0</v>
      </c>
      <c r="E1448" s="698">
        <f t="shared" si="181"/>
        <v>0</v>
      </c>
      <c r="F1448" s="967" t="e">
        <f t="shared" si="182"/>
        <v>#DIV/0!</v>
      </c>
      <c r="G1448" s="720">
        <f>1886-283-187-1416</f>
        <v>0</v>
      </c>
      <c r="H1448" s="698"/>
      <c r="I1448" s="699" t="e">
        <f t="shared" si="180"/>
        <v>#DIV/0!</v>
      </c>
      <c r="J1448" s="703"/>
      <c r="K1448" s="698"/>
      <c r="L1448" s="704"/>
      <c r="M1448" s="703"/>
      <c r="N1448" s="698"/>
      <c r="O1448" s="972"/>
      <c r="P1448" s="698"/>
      <c r="Q1448" s="698"/>
      <c r="R1448" s="746"/>
      <c r="S1448" s="682"/>
      <c r="T1448" s="682"/>
    </row>
    <row r="1449" spans="1:20" s="756" customFormat="1" ht="13.5" hidden="1" thickBot="1">
      <c r="A1449" s="764">
        <v>4129</v>
      </c>
      <c r="B1449" s="934" t="s">
        <v>584</v>
      </c>
      <c r="C1449" s="720"/>
      <c r="D1449" s="698">
        <f t="shared" si="175"/>
        <v>0</v>
      </c>
      <c r="E1449" s="698">
        <f t="shared" si="181"/>
        <v>0</v>
      </c>
      <c r="F1449" s="967" t="e">
        <f t="shared" si="182"/>
        <v>#DIV/0!</v>
      </c>
      <c r="G1449" s="720">
        <f>283-33-250</f>
        <v>0</v>
      </c>
      <c r="H1449" s="698"/>
      <c r="I1449" s="699" t="e">
        <f t="shared" si="180"/>
        <v>#DIV/0!</v>
      </c>
      <c r="J1449" s="703"/>
      <c r="K1449" s="698"/>
      <c r="L1449" s="704"/>
      <c r="M1449" s="703"/>
      <c r="N1449" s="698"/>
      <c r="O1449" s="972"/>
      <c r="P1449" s="698"/>
      <c r="Q1449" s="698"/>
      <c r="R1449" s="746"/>
      <c r="S1449" s="682"/>
      <c r="T1449" s="682"/>
    </row>
    <row r="1450" spans="1:20" s="756" customFormat="1" ht="24.75" hidden="1" thickBot="1">
      <c r="A1450" s="764">
        <v>4178</v>
      </c>
      <c r="B1450" s="934" t="s">
        <v>242</v>
      </c>
      <c r="C1450" s="720"/>
      <c r="D1450" s="698">
        <f t="shared" si="175"/>
        <v>0</v>
      </c>
      <c r="E1450" s="698">
        <f t="shared" si="181"/>
        <v>0</v>
      </c>
      <c r="F1450" s="967" t="e">
        <f t="shared" si="182"/>
        <v>#DIV/0!</v>
      </c>
      <c r="G1450" s="720">
        <f>38150-5723-7605-24822</f>
        <v>0</v>
      </c>
      <c r="H1450" s="698"/>
      <c r="I1450" s="699" t="e">
        <f t="shared" si="180"/>
        <v>#DIV/0!</v>
      </c>
      <c r="J1450" s="703"/>
      <c r="K1450" s="698"/>
      <c r="L1450" s="704"/>
      <c r="M1450" s="703"/>
      <c r="N1450" s="698"/>
      <c r="O1450" s="972"/>
      <c r="P1450" s="698"/>
      <c r="Q1450" s="698"/>
      <c r="R1450" s="746"/>
      <c r="S1450" s="682"/>
      <c r="T1450" s="682"/>
    </row>
    <row r="1451" spans="1:20" s="756" customFormat="1" ht="24.75" hidden="1" thickBot="1">
      <c r="A1451" s="764">
        <v>4179</v>
      </c>
      <c r="B1451" s="934" t="s">
        <v>242</v>
      </c>
      <c r="C1451" s="720"/>
      <c r="D1451" s="698">
        <f t="shared" si="175"/>
        <v>0</v>
      </c>
      <c r="E1451" s="698">
        <f t="shared" si="181"/>
        <v>0</v>
      </c>
      <c r="F1451" s="967" t="e">
        <f t="shared" si="182"/>
        <v>#DIV/0!</v>
      </c>
      <c r="G1451" s="720">
        <f>5723-1342-4381</f>
        <v>0</v>
      </c>
      <c r="H1451" s="698"/>
      <c r="I1451" s="699" t="e">
        <f t="shared" si="180"/>
        <v>#DIV/0!</v>
      </c>
      <c r="J1451" s="703"/>
      <c r="K1451" s="698"/>
      <c r="L1451" s="704"/>
      <c r="M1451" s="703"/>
      <c r="N1451" s="698"/>
      <c r="O1451" s="972"/>
      <c r="P1451" s="698"/>
      <c r="Q1451" s="698"/>
      <c r="R1451" s="746"/>
      <c r="S1451" s="682"/>
      <c r="T1451" s="682"/>
    </row>
    <row r="1452" spans="1:20" s="756" customFormat="1" ht="24.75" hidden="1" thickBot="1">
      <c r="A1452" s="764">
        <v>4218</v>
      </c>
      <c r="B1452" s="934" t="s">
        <v>211</v>
      </c>
      <c r="C1452" s="720"/>
      <c r="D1452" s="698">
        <f t="shared" si="175"/>
        <v>0</v>
      </c>
      <c r="E1452" s="698">
        <f t="shared" si="181"/>
        <v>0</v>
      </c>
      <c r="F1452" s="967" t="e">
        <f t="shared" si="182"/>
        <v>#DIV/0!</v>
      </c>
      <c r="G1452" s="720">
        <f>1020-153+1215-2082</f>
        <v>0</v>
      </c>
      <c r="H1452" s="698"/>
      <c r="I1452" s="699" t="e">
        <f t="shared" si="180"/>
        <v>#DIV/0!</v>
      </c>
      <c r="J1452" s="703"/>
      <c r="K1452" s="698"/>
      <c r="L1452" s="704"/>
      <c r="M1452" s="703"/>
      <c r="N1452" s="698"/>
      <c r="O1452" s="972"/>
      <c r="P1452" s="698"/>
      <c r="Q1452" s="698"/>
      <c r="R1452" s="746"/>
      <c r="S1452" s="682"/>
      <c r="T1452" s="682"/>
    </row>
    <row r="1453" spans="1:20" s="756" customFormat="1" ht="24.75" hidden="1" thickBot="1">
      <c r="A1453" s="764">
        <v>4219</v>
      </c>
      <c r="B1453" s="934" t="s">
        <v>211</v>
      </c>
      <c r="C1453" s="720"/>
      <c r="D1453" s="698">
        <f t="shared" si="175"/>
        <v>0</v>
      </c>
      <c r="E1453" s="698">
        <f t="shared" si="181"/>
        <v>0</v>
      </c>
      <c r="F1453" s="967" t="e">
        <f t="shared" si="182"/>
        <v>#DIV/0!</v>
      </c>
      <c r="G1453" s="720">
        <f>153+215-368</f>
        <v>0</v>
      </c>
      <c r="H1453" s="698"/>
      <c r="I1453" s="699" t="e">
        <f t="shared" si="180"/>
        <v>#DIV/0!</v>
      </c>
      <c r="J1453" s="703"/>
      <c r="K1453" s="698"/>
      <c r="L1453" s="704"/>
      <c r="M1453" s="703"/>
      <c r="N1453" s="698"/>
      <c r="O1453" s="972"/>
      <c r="P1453" s="698"/>
      <c r="Q1453" s="698"/>
      <c r="R1453" s="746"/>
      <c r="S1453" s="682"/>
      <c r="T1453" s="682"/>
    </row>
    <row r="1454" spans="1:20" s="756" customFormat="1" ht="24.75" hidden="1" thickBot="1">
      <c r="A1454" s="764">
        <v>4288</v>
      </c>
      <c r="B1454" s="934" t="s">
        <v>542</v>
      </c>
      <c r="C1454" s="720"/>
      <c r="D1454" s="698">
        <f>G1454+J1454+P1454+M1454</f>
        <v>0</v>
      </c>
      <c r="E1454" s="698">
        <f>SUM(H1454+K1454+N1454+Q1454)</f>
        <v>0</v>
      </c>
      <c r="F1454" s="967" t="e">
        <f>E1454/D1454*100</f>
        <v>#DIV/0!</v>
      </c>
      <c r="G1454" s="720">
        <f>893-893</f>
        <v>0</v>
      </c>
      <c r="H1454" s="698"/>
      <c r="I1454" s="699" t="e">
        <f t="shared" si="180"/>
        <v>#DIV/0!</v>
      </c>
      <c r="J1454" s="703"/>
      <c r="K1454" s="698"/>
      <c r="L1454" s="704"/>
      <c r="M1454" s="703"/>
      <c r="N1454" s="698"/>
      <c r="O1454" s="972"/>
      <c r="P1454" s="698"/>
      <c r="Q1454" s="698"/>
      <c r="R1454" s="746"/>
      <c r="S1454" s="682"/>
      <c r="T1454" s="682"/>
    </row>
    <row r="1455" spans="1:20" s="756" customFormat="1" ht="24.75" hidden="1" thickBot="1">
      <c r="A1455" s="764">
        <v>4289</v>
      </c>
      <c r="B1455" s="934" t="s">
        <v>542</v>
      </c>
      <c r="C1455" s="720"/>
      <c r="D1455" s="698">
        <f>G1455+J1455+P1455+M1455</f>
        <v>0</v>
      </c>
      <c r="E1455" s="698">
        <f>SUM(H1455+K1455+N1455+Q1455)</f>
        <v>0</v>
      </c>
      <c r="F1455" s="967" t="e">
        <f>E1455/D1455*100</f>
        <v>#DIV/0!</v>
      </c>
      <c r="G1455" s="720">
        <f>157-157</f>
        <v>0</v>
      </c>
      <c r="H1455" s="698"/>
      <c r="I1455" s="699" t="e">
        <f t="shared" si="180"/>
        <v>#DIV/0!</v>
      </c>
      <c r="J1455" s="703"/>
      <c r="K1455" s="698"/>
      <c r="L1455" s="704"/>
      <c r="M1455" s="703"/>
      <c r="N1455" s="698"/>
      <c r="O1455" s="972"/>
      <c r="P1455" s="698"/>
      <c r="Q1455" s="698"/>
      <c r="R1455" s="746"/>
      <c r="S1455" s="682"/>
      <c r="T1455" s="682"/>
    </row>
    <row r="1456" spans="1:20" s="756" customFormat="1" ht="24.75" hidden="1" thickBot="1">
      <c r="A1456" s="764">
        <v>4308</v>
      </c>
      <c r="B1456" s="934" t="s">
        <v>543</v>
      </c>
      <c r="C1456" s="720"/>
      <c r="D1456" s="698">
        <f t="shared" si="175"/>
        <v>0</v>
      </c>
      <c r="E1456" s="698">
        <f t="shared" si="181"/>
        <v>0</v>
      </c>
      <c r="F1456" s="967" t="e">
        <f t="shared" si="182"/>
        <v>#DIV/0!</v>
      </c>
      <c r="G1456" s="720">
        <f>85645-12846+2694-75493</f>
        <v>0</v>
      </c>
      <c r="H1456" s="698"/>
      <c r="I1456" s="699" t="e">
        <f t="shared" si="180"/>
        <v>#DIV/0!</v>
      </c>
      <c r="J1456" s="703"/>
      <c r="K1456" s="698"/>
      <c r="L1456" s="704"/>
      <c r="M1456" s="703"/>
      <c r="N1456" s="698"/>
      <c r="O1456" s="972"/>
      <c r="P1456" s="698"/>
      <c r="Q1456" s="698"/>
      <c r="R1456" s="746"/>
      <c r="S1456" s="682"/>
      <c r="T1456" s="682"/>
    </row>
    <row r="1457" spans="1:20" s="756" customFormat="1" ht="24.75" hidden="1" thickBot="1">
      <c r="A1457" s="764">
        <v>4309</v>
      </c>
      <c r="B1457" s="934" t="s">
        <v>543</v>
      </c>
      <c r="C1457" s="720"/>
      <c r="D1457" s="698">
        <f t="shared" si="175"/>
        <v>0</v>
      </c>
      <c r="E1457" s="698">
        <f t="shared" si="181"/>
        <v>0</v>
      </c>
      <c r="F1457" s="967" t="e">
        <f t="shared" si="182"/>
        <v>#DIV/0!</v>
      </c>
      <c r="G1457" s="720">
        <f>12846+476-13322</f>
        <v>0</v>
      </c>
      <c r="H1457" s="698"/>
      <c r="I1457" s="699" t="e">
        <f t="shared" si="180"/>
        <v>#DIV/0!</v>
      </c>
      <c r="J1457" s="703"/>
      <c r="K1457" s="698"/>
      <c r="L1457" s="704"/>
      <c r="M1457" s="703"/>
      <c r="N1457" s="698"/>
      <c r="O1457" s="972"/>
      <c r="P1457" s="698"/>
      <c r="Q1457" s="698"/>
      <c r="R1457" s="746"/>
      <c r="S1457" s="682"/>
      <c r="T1457" s="682"/>
    </row>
    <row r="1458" spans="1:20" s="756" customFormat="1" ht="24.75" hidden="1" thickBot="1">
      <c r="A1458" s="764">
        <v>4418</v>
      </c>
      <c r="B1458" s="828" t="s">
        <v>193</v>
      </c>
      <c r="C1458" s="720"/>
      <c r="D1458" s="698">
        <f t="shared" si="175"/>
        <v>0</v>
      </c>
      <c r="E1458" s="698">
        <f t="shared" si="181"/>
        <v>0</v>
      </c>
      <c r="F1458" s="967" t="e">
        <f t="shared" si="182"/>
        <v>#DIV/0!</v>
      </c>
      <c r="G1458" s="720">
        <f>6544-981-5563</f>
        <v>0</v>
      </c>
      <c r="H1458" s="698"/>
      <c r="I1458" s="699" t="e">
        <f t="shared" si="180"/>
        <v>#DIV/0!</v>
      </c>
      <c r="J1458" s="703"/>
      <c r="K1458" s="698"/>
      <c r="L1458" s="704"/>
      <c r="M1458" s="703"/>
      <c r="N1458" s="698"/>
      <c r="O1458" s="972"/>
      <c r="P1458" s="698"/>
      <c r="Q1458" s="698"/>
      <c r="R1458" s="746"/>
      <c r="S1458" s="682"/>
      <c r="T1458" s="682"/>
    </row>
    <row r="1459" spans="1:20" s="756" customFormat="1" ht="24.75" hidden="1" thickBot="1">
      <c r="A1459" s="764">
        <v>4419</v>
      </c>
      <c r="B1459" s="828" t="s">
        <v>193</v>
      </c>
      <c r="C1459" s="720"/>
      <c r="D1459" s="698">
        <f>G1459+J1459+P1459+M1459</f>
        <v>0</v>
      </c>
      <c r="E1459" s="698">
        <f t="shared" si="181"/>
        <v>0</v>
      </c>
      <c r="F1459" s="967" t="e">
        <f>E1459/D1459*100</f>
        <v>#DIV/0!</v>
      </c>
      <c r="G1459" s="720">
        <f>981-981</f>
        <v>0</v>
      </c>
      <c r="H1459" s="698"/>
      <c r="I1459" s="699" t="e">
        <f t="shared" si="180"/>
        <v>#DIV/0!</v>
      </c>
      <c r="J1459" s="703"/>
      <c r="K1459" s="698"/>
      <c r="L1459" s="704"/>
      <c r="M1459" s="703"/>
      <c r="N1459" s="698"/>
      <c r="O1459" s="972"/>
      <c r="P1459" s="698"/>
      <c r="Q1459" s="698"/>
      <c r="R1459" s="746"/>
      <c r="S1459" s="682"/>
      <c r="T1459" s="682"/>
    </row>
    <row r="1460" spans="1:20" s="756" customFormat="1" ht="13.5" hidden="1" thickBot="1">
      <c r="A1460" s="764">
        <v>4438</v>
      </c>
      <c r="B1460" s="828" t="s">
        <v>221</v>
      </c>
      <c r="C1460" s="720"/>
      <c r="D1460" s="698">
        <f>G1460+J1460+P1460+M1460</f>
        <v>0</v>
      </c>
      <c r="E1460" s="698">
        <f>SUM(H1460+K1460+N1460+Q1460)</f>
        <v>0</v>
      </c>
      <c r="F1460" s="967" t="e">
        <f>E1460/D1460*100</f>
        <v>#DIV/0!</v>
      </c>
      <c r="G1460" s="720">
        <f>892-892</f>
        <v>0</v>
      </c>
      <c r="H1460" s="698"/>
      <c r="I1460" s="699" t="e">
        <f t="shared" si="180"/>
        <v>#DIV/0!</v>
      </c>
      <c r="J1460" s="703"/>
      <c r="K1460" s="698"/>
      <c r="L1460" s="704"/>
      <c r="M1460" s="703"/>
      <c r="N1460" s="698"/>
      <c r="O1460" s="972"/>
      <c r="P1460" s="698"/>
      <c r="Q1460" s="698"/>
      <c r="R1460" s="746"/>
      <c r="S1460" s="682"/>
      <c r="T1460" s="682"/>
    </row>
    <row r="1461" spans="1:20" s="756" customFormat="1" ht="13.5" hidden="1" thickBot="1">
      <c r="A1461" s="764">
        <v>4439</v>
      </c>
      <c r="B1461" s="828" t="s">
        <v>221</v>
      </c>
      <c r="C1461" s="720"/>
      <c r="D1461" s="698">
        <f>G1461+J1461+P1461+M1461</f>
        <v>0</v>
      </c>
      <c r="E1461" s="698">
        <f>SUM(H1461+K1461+N1461+Q1461)</f>
        <v>0</v>
      </c>
      <c r="F1461" s="967" t="e">
        <f>E1461/D1461*100</f>
        <v>#DIV/0!</v>
      </c>
      <c r="G1461" s="720">
        <f>158-158</f>
        <v>0</v>
      </c>
      <c r="H1461" s="698"/>
      <c r="I1461" s="699" t="e">
        <f t="shared" si="180"/>
        <v>#DIV/0!</v>
      </c>
      <c r="J1461" s="703"/>
      <c r="K1461" s="698"/>
      <c r="L1461" s="704"/>
      <c r="M1461" s="703"/>
      <c r="N1461" s="698"/>
      <c r="O1461" s="972"/>
      <c r="P1461" s="698"/>
      <c r="Q1461" s="698"/>
      <c r="R1461" s="746"/>
      <c r="S1461" s="682"/>
      <c r="T1461" s="682"/>
    </row>
    <row r="1462" spans="1:20" s="756" customFormat="1" ht="60.75" hidden="1" thickBot="1">
      <c r="A1462" s="764">
        <v>4748</v>
      </c>
      <c r="B1462" s="828" t="s">
        <v>235</v>
      </c>
      <c r="C1462" s="720"/>
      <c r="D1462" s="698">
        <f>G1462+J1462+P1462+M1462</f>
        <v>0</v>
      </c>
      <c r="E1462" s="698">
        <f t="shared" si="181"/>
        <v>0</v>
      </c>
      <c r="F1462" s="967" t="e">
        <f>E1462/D1462*100</f>
        <v>#DIV/0!</v>
      </c>
      <c r="G1462" s="720">
        <f>610-92-518</f>
        <v>0</v>
      </c>
      <c r="H1462" s="698"/>
      <c r="I1462" s="699" t="e">
        <f t="shared" si="180"/>
        <v>#DIV/0!</v>
      </c>
      <c r="J1462" s="703"/>
      <c r="K1462" s="698"/>
      <c r="L1462" s="704"/>
      <c r="M1462" s="703"/>
      <c r="N1462" s="698"/>
      <c r="O1462" s="972"/>
      <c r="P1462" s="698"/>
      <c r="Q1462" s="698"/>
      <c r="R1462" s="746"/>
      <c r="S1462" s="682"/>
      <c r="T1462" s="682"/>
    </row>
    <row r="1463" spans="1:20" s="756" customFormat="1" ht="60.75" hidden="1" thickBot="1">
      <c r="A1463" s="764">
        <v>4749</v>
      </c>
      <c r="B1463" s="828" t="s">
        <v>235</v>
      </c>
      <c r="C1463" s="720"/>
      <c r="D1463" s="698">
        <f>G1463+J1463+P1463+M1463</f>
        <v>0</v>
      </c>
      <c r="E1463" s="698">
        <f t="shared" si="181"/>
        <v>0</v>
      </c>
      <c r="F1463" s="967" t="e">
        <f>E1463/D1463*100</f>
        <v>#DIV/0!</v>
      </c>
      <c r="G1463" s="720">
        <f>92-92</f>
        <v>0</v>
      </c>
      <c r="H1463" s="698"/>
      <c r="I1463" s="699" t="e">
        <f t="shared" si="180"/>
        <v>#DIV/0!</v>
      </c>
      <c r="J1463" s="703"/>
      <c r="K1463" s="698"/>
      <c r="L1463" s="704"/>
      <c r="M1463" s="703"/>
      <c r="N1463" s="698"/>
      <c r="O1463" s="972"/>
      <c r="P1463" s="698"/>
      <c r="Q1463" s="698"/>
      <c r="R1463" s="746"/>
      <c r="S1463" s="682"/>
      <c r="T1463" s="682"/>
    </row>
    <row r="1464" spans="1:20" s="756" customFormat="1" ht="36.75" hidden="1" thickBot="1">
      <c r="A1464" s="764">
        <v>4758</v>
      </c>
      <c r="B1464" s="828" t="s">
        <v>331</v>
      </c>
      <c r="C1464" s="720"/>
      <c r="D1464" s="698">
        <f t="shared" si="175"/>
        <v>0</v>
      </c>
      <c r="E1464" s="698">
        <f t="shared" si="181"/>
        <v>0</v>
      </c>
      <c r="F1464" s="967" t="e">
        <f t="shared" si="182"/>
        <v>#DIV/0!</v>
      </c>
      <c r="G1464" s="720">
        <f>1565-234-1331</f>
        <v>0</v>
      </c>
      <c r="H1464" s="698"/>
      <c r="I1464" s="699" t="e">
        <f t="shared" si="180"/>
        <v>#DIV/0!</v>
      </c>
      <c r="J1464" s="703"/>
      <c r="K1464" s="698"/>
      <c r="L1464" s="704"/>
      <c r="M1464" s="703"/>
      <c r="N1464" s="698"/>
      <c r="O1464" s="972"/>
      <c r="P1464" s="698"/>
      <c r="Q1464" s="698"/>
      <c r="R1464" s="746"/>
      <c r="S1464" s="682"/>
      <c r="T1464" s="682"/>
    </row>
    <row r="1465" spans="1:20" s="756" customFormat="1" ht="36.75" hidden="1" thickBot="1">
      <c r="A1465" s="764">
        <v>4759</v>
      </c>
      <c r="B1465" s="828" t="s">
        <v>331</v>
      </c>
      <c r="C1465" s="720"/>
      <c r="D1465" s="698">
        <f>G1465+J1465+P1465+M1465</f>
        <v>0</v>
      </c>
      <c r="E1465" s="698">
        <f t="shared" si="181"/>
        <v>0</v>
      </c>
      <c r="F1465" s="967" t="e">
        <f>E1465/D1465*100</f>
        <v>#DIV/0!</v>
      </c>
      <c r="G1465" s="720">
        <f>234-234</f>
        <v>0</v>
      </c>
      <c r="H1465" s="698"/>
      <c r="I1465" s="699" t="e">
        <f t="shared" si="180"/>
        <v>#DIV/0!</v>
      </c>
      <c r="J1465" s="703"/>
      <c r="K1465" s="698"/>
      <c r="L1465" s="704"/>
      <c r="M1465" s="703"/>
      <c r="N1465" s="698"/>
      <c r="O1465" s="972"/>
      <c r="P1465" s="698"/>
      <c r="Q1465" s="698"/>
      <c r="R1465" s="746"/>
      <c r="S1465" s="682"/>
      <c r="T1465" s="682"/>
    </row>
    <row r="1466" spans="1:20" s="756" customFormat="1" ht="102.75" hidden="1" thickBot="1">
      <c r="A1466" s="929"/>
      <c r="B1466" s="1011" t="s">
        <v>328</v>
      </c>
      <c r="C1466" s="720"/>
      <c r="D1466" s="777">
        <f>G1466+J1466+P1466+M1466</f>
        <v>0</v>
      </c>
      <c r="E1466" s="777">
        <f>SUM(H1466+K1466+N1466+Q1466)</f>
        <v>0</v>
      </c>
      <c r="F1466" s="973" t="e">
        <f>E1466/D1466*100</f>
        <v>#DIV/0!</v>
      </c>
      <c r="G1466" s="720"/>
      <c r="H1466" s="698"/>
      <c r="I1466" s="699"/>
      <c r="J1466" s="778">
        <f>SUM(J1467:J1471)</f>
        <v>0</v>
      </c>
      <c r="K1466" s="777">
        <f>SUM(K1467:K1471)</f>
        <v>0</v>
      </c>
      <c r="L1466" s="779" t="e">
        <f aca="true" t="shared" si="183" ref="L1466:L1471">K1466/J1466*100</f>
        <v>#DIV/0!</v>
      </c>
      <c r="M1466" s="703"/>
      <c r="N1466" s="698"/>
      <c r="O1466" s="972"/>
      <c r="P1466" s="698"/>
      <c r="Q1466" s="698"/>
      <c r="R1466" s="746"/>
      <c r="S1466" s="682"/>
      <c r="T1466" s="682"/>
    </row>
    <row r="1467" spans="1:20" s="756" customFormat="1" ht="36.75" hidden="1" thickBot="1">
      <c r="A1467" s="764">
        <v>4110</v>
      </c>
      <c r="B1467" s="934" t="s">
        <v>207</v>
      </c>
      <c r="C1467" s="720"/>
      <c r="D1467" s="698">
        <f>G1467+J1467+P1467+M1467</f>
        <v>0</v>
      </c>
      <c r="E1467" s="698">
        <f>SUM(H1467+K1467+N1467+Q1467)</f>
        <v>0</v>
      </c>
      <c r="F1467" s="967" t="e">
        <f>E1467/D1467*100</f>
        <v>#DIV/0!</v>
      </c>
      <c r="G1467" s="720"/>
      <c r="H1467" s="698"/>
      <c r="I1467" s="699"/>
      <c r="J1467" s="703"/>
      <c r="K1467" s="698"/>
      <c r="L1467" s="704" t="e">
        <f t="shared" si="183"/>
        <v>#DIV/0!</v>
      </c>
      <c r="M1467" s="703"/>
      <c r="N1467" s="698"/>
      <c r="O1467" s="972"/>
      <c r="P1467" s="698"/>
      <c r="Q1467" s="698"/>
      <c r="R1467" s="746"/>
      <c r="S1467" s="682"/>
      <c r="T1467" s="682"/>
    </row>
    <row r="1468" spans="1:20" s="756" customFormat="1" ht="13.5" hidden="1" thickBot="1">
      <c r="A1468" s="764">
        <v>4120</v>
      </c>
      <c r="B1468" s="934" t="s">
        <v>584</v>
      </c>
      <c r="C1468" s="720"/>
      <c r="D1468" s="698">
        <f aca="true" t="shared" si="184" ref="D1468:D1475">G1468+J1468+P1468+M1468</f>
        <v>0</v>
      </c>
      <c r="E1468" s="698">
        <f aca="true" t="shared" si="185" ref="E1468:E1475">SUM(H1468+K1468+N1468+Q1468)</f>
        <v>0</v>
      </c>
      <c r="F1468" s="967" t="e">
        <f aca="true" t="shared" si="186" ref="F1468:F1527">E1468/D1468*100</f>
        <v>#DIV/0!</v>
      </c>
      <c r="G1468" s="720"/>
      <c r="H1468" s="698"/>
      <c r="I1468" s="699"/>
      <c r="J1468" s="703"/>
      <c r="K1468" s="698"/>
      <c r="L1468" s="704" t="e">
        <f t="shared" si="183"/>
        <v>#DIV/0!</v>
      </c>
      <c r="M1468" s="703"/>
      <c r="N1468" s="698"/>
      <c r="O1468" s="972"/>
      <c r="P1468" s="698"/>
      <c r="Q1468" s="698"/>
      <c r="R1468" s="746"/>
      <c r="S1468" s="682"/>
      <c r="T1468" s="682"/>
    </row>
    <row r="1469" spans="1:20" s="756" customFormat="1" ht="24.75" hidden="1" thickBot="1">
      <c r="A1469" s="764">
        <v>4170</v>
      </c>
      <c r="B1469" s="934" t="s">
        <v>242</v>
      </c>
      <c r="C1469" s="720"/>
      <c r="D1469" s="698">
        <f t="shared" si="184"/>
        <v>0</v>
      </c>
      <c r="E1469" s="698">
        <f t="shared" si="185"/>
        <v>0</v>
      </c>
      <c r="F1469" s="967" t="e">
        <f t="shared" si="186"/>
        <v>#DIV/0!</v>
      </c>
      <c r="G1469" s="720"/>
      <c r="H1469" s="698"/>
      <c r="I1469" s="699"/>
      <c r="J1469" s="703"/>
      <c r="K1469" s="698"/>
      <c r="L1469" s="704" t="e">
        <f t="shared" si="183"/>
        <v>#DIV/0!</v>
      </c>
      <c r="M1469" s="703"/>
      <c r="N1469" s="698"/>
      <c r="O1469" s="972"/>
      <c r="P1469" s="698"/>
      <c r="Q1469" s="698"/>
      <c r="R1469" s="746"/>
      <c r="S1469" s="682"/>
      <c r="T1469" s="682"/>
    </row>
    <row r="1470" spans="1:20" s="756" customFormat="1" ht="24.75" hidden="1" thickBot="1">
      <c r="A1470" s="764">
        <v>4210</v>
      </c>
      <c r="B1470" s="934" t="s">
        <v>211</v>
      </c>
      <c r="C1470" s="720"/>
      <c r="D1470" s="698">
        <f t="shared" si="184"/>
        <v>0</v>
      </c>
      <c r="E1470" s="698">
        <f t="shared" si="185"/>
        <v>0</v>
      </c>
      <c r="F1470" s="967" t="e">
        <f t="shared" si="186"/>
        <v>#DIV/0!</v>
      </c>
      <c r="G1470" s="720"/>
      <c r="H1470" s="698"/>
      <c r="I1470" s="699"/>
      <c r="J1470" s="703"/>
      <c r="K1470" s="698"/>
      <c r="L1470" s="745" t="e">
        <f t="shared" si="183"/>
        <v>#DIV/0!</v>
      </c>
      <c r="M1470" s="703"/>
      <c r="N1470" s="698"/>
      <c r="O1470" s="972"/>
      <c r="P1470" s="698"/>
      <c r="Q1470" s="698"/>
      <c r="R1470" s="746"/>
      <c r="S1470" s="682"/>
      <c r="T1470" s="682"/>
    </row>
    <row r="1471" spans="1:20" s="756" customFormat="1" ht="24.75" hidden="1" thickBot="1">
      <c r="A1471" s="764">
        <v>4300</v>
      </c>
      <c r="B1471" s="934" t="s">
        <v>543</v>
      </c>
      <c r="C1471" s="720"/>
      <c r="D1471" s="698">
        <f t="shared" si="184"/>
        <v>0</v>
      </c>
      <c r="E1471" s="698">
        <f t="shared" si="185"/>
        <v>0</v>
      </c>
      <c r="F1471" s="967" t="e">
        <f t="shared" si="186"/>
        <v>#DIV/0!</v>
      </c>
      <c r="G1471" s="720"/>
      <c r="H1471" s="698"/>
      <c r="I1471" s="699"/>
      <c r="J1471" s="720"/>
      <c r="K1471" s="698"/>
      <c r="L1471" s="745" t="e">
        <f t="shared" si="183"/>
        <v>#DIV/0!</v>
      </c>
      <c r="M1471" s="703"/>
      <c r="N1471" s="698"/>
      <c r="O1471" s="972"/>
      <c r="P1471" s="698"/>
      <c r="Q1471" s="698"/>
      <c r="R1471" s="746"/>
      <c r="S1471" s="682"/>
      <c r="T1471" s="682"/>
    </row>
    <row r="1472" spans="1:20" s="756" customFormat="1" ht="77.25" hidden="1" thickBot="1">
      <c r="A1472" s="929"/>
      <c r="B1472" s="930" t="s">
        <v>786</v>
      </c>
      <c r="C1472" s="720"/>
      <c r="D1472" s="777">
        <f t="shared" si="184"/>
        <v>0</v>
      </c>
      <c r="E1472" s="777">
        <f t="shared" si="185"/>
        <v>0</v>
      </c>
      <c r="F1472" s="973" t="e">
        <f t="shared" si="186"/>
        <v>#DIV/0!</v>
      </c>
      <c r="G1472" s="720"/>
      <c r="H1472" s="698"/>
      <c r="I1472" s="699"/>
      <c r="J1472" s="778"/>
      <c r="K1472" s="777"/>
      <c r="L1472" s="779"/>
      <c r="M1472" s="703"/>
      <c r="N1472" s="698"/>
      <c r="O1472" s="972"/>
      <c r="P1472" s="777">
        <f>SUM(P1473:P1480)</f>
        <v>0</v>
      </c>
      <c r="Q1472" s="777">
        <f>SUM(Q1473:Q1480)</f>
        <v>0</v>
      </c>
      <c r="R1472" s="972" t="e">
        <f>Q1472/P1472*100</f>
        <v>#DIV/0!</v>
      </c>
      <c r="S1472" s="682"/>
      <c r="T1472" s="682"/>
    </row>
    <row r="1473" spans="1:20" s="756" customFormat="1" ht="36.75" hidden="1" thickBot="1">
      <c r="A1473" s="764">
        <v>4110</v>
      </c>
      <c r="B1473" s="934" t="s">
        <v>207</v>
      </c>
      <c r="C1473" s="720"/>
      <c r="D1473" s="698">
        <f t="shared" si="184"/>
        <v>0</v>
      </c>
      <c r="E1473" s="698">
        <f t="shared" si="185"/>
        <v>0</v>
      </c>
      <c r="F1473" s="967" t="e">
        <f t="shared" si="186"/>
        <v>#DIV/0!</v>
      </c>
      <c r="G1473" s="720"/>
      <c r="H1473" s="698"/>
      <c r="I1473" s="699"/>
      <c r="J1473" s="698"/>
      <c r="K1473" s="698"/>
      <c r="L1473" s="745"/>
      <c r="M1473" s="703"/>
      <c r="N1473" s="698"/>
      <c r="O1473" s="972"/>
      <c r="P1473" s="698">
        <f>4840-4840</f>
        <v>0</v>
      </c>
      <c r="Q1473" s="698"/>
      <c r="R1473" s="746" t="e">
        <f aca="true" t="shared" si="187" ref="R1473:R1480">Q1473/P1473*100</f>
        <v>#DIV/0!</v>
      </c>
      <c r="S1473" s="682"/>
      <c r="T1473" s="682"/>
    </row>
    <row r="1474" spans="1:20" s="756" customFormat="1" ht="13.5" hidden="1" thickBot="1">
      <c r="A1474" s="764">
        <v>4120</v>
      </c>
      <c r="B1474" s="934" t="s">
        <v>584</v>
      </c>
      <c r="C1474" s="720"/>
      <c r="D1474" s="698">
        <f t="shared" si="184"/>
        <v>0</v>
      </c>
      <c r="E1474" s="698">
        <f t="shared" si="185"/>
        <v>0</v>
      </c>
      <c r="F1474" s="967" t="e">
        <f t="shared" si="186"/>
        <v>#DIV/0!</v>
      </c>
      <c r="G1474" s="720"/>
      <c r="H1474" s="698"/>
      <c r="I1474" s="699"/>
      <c r="J1474" s="698"/>
      <c r="K1474" s="698"/>
      <c r="L1474" s="745"/>
      <c r="M1474" s="703"/>
      <c r="N1474" s="698"/>
      <c r="O1474" s="972"/>
      <c r="P1474" s="698">
        <f>741-741</f>
        <v>0</v>
      </c>
      <c r="Q1474" s="698"/>
      <c r="R1474" s="746" t="e">
        <f t="shared" si="187"/>
        <v>#DIV/0!</v>
      </c>
      <c r="S1474" s="682"/>
      <c r="T1474" s="682"/>
    </row>
    <row r="1475" spans="1:20" s="756" customFormat="1" ht="24.75" hidden="1" thickBot="1">
      <c r="A1475" s="764">
        <v>4170</v>
      </c>
      <c r="B1475" s="934" t="s">
        <v>242</v>
      </c>
      <c r="C1475" s="720"/>
      <c r="D1475" s="698">
        <f t="shared" si="184"/>
        <v>0</v>
      </c>
      <c r="E1475" s="698">
        <f t="shared" si="185"/>
        <v>0</v>
      </c>
      <c r="F1475" s="967" t="e">
        <f t="shared" si="186"/>
        <v>#DIV/0!</v>
      </c>
      <c r="G1475" s="720"/>
      <c r="H1475" s="698"/>
      <c r="I1475" s="699"/>
      <c r="J1475" s="698"/>
      <c r="K1475" s="698"/>
      <c r="L1475" s="745"/>
      <c r="M1475" s="703"/>
      <c r="N1475" s="698"/>
      <c r="O1475" s="972"/>
      <c r="P1475" s="698">
        <f>30219-30219</f>
        <v>0</v>
      </c>
      <c r="Q1475" s="698"/>
      <c r="R1475" s="746" t="e">
        <f t="shared" si="187"/>
        <v>#DIV/0!</v>
      </c>
      <c r="S1475" s="682"/>
      <c r="T1475" s="682"/>
    </row>
    <row r="1476" spans="1:20" s="756" customFormat="1" ht="24.75" hidden="1" thickBot="1">
      <c r="A1476" s="764">
        <v>4210</v>
      </c>
      <c r="B1476" s="934" t="s">
        <v>211</v>
      </c>
      <c r="C1476" s="720"/>
      <c r="D1476" s="698">
        <f>G1476+J1476+P1476+M1476</f>
        <v>0</v>
      </c>
      <c r="E1476" s="698">
        <f>SUM(H1476+K1476+N1476+Q1476)</f>
        <v>0</v>
      </c>
      <c r="F1476" s="967" t="e">
        <f t="shared" si="186"/>
        <v>#DIV/0!</v>
      </c>
      <c r="G1476" s="720"/>
      <c r="H1476" s="698"/>
      <c r="I1476" s="699"/>
      <c r="J1476" s="698"/>
      <c r="K1476" s="698"/>
      <c r="L1476" s="745"/>
      <c r="M1476" s="703"/>
      <c r="N1476" s="698"/>
      <c r="O1476" s="972"/>
      <c r="P1476" s="698">
        <f>4300-4300</f>
        <v>0</v>
      </c>
      <c r="Q1476" s="698"/>
      <c r="R1476" s="746" t="e">
        <f t="shared" si="187"/>
        <v>#DIV/0!</v>
      </c>
      <c r="S1476" s="682"/>
      <c r="T1476" s="682"/>
    </row>
    <row r="1477" spans="1:20" s="756" customFormat="1" ht="36.75" hidden="1" thickBot="1">
      <c r="A1477" s="764">
        <v>4240</v>
      </c>
      <c r="B1477" s="934" t="s">
        <v>666</v>
      </c>
      <c r="C1477" s="720"/>
      <c r="D1477" s="698">
        <f>G1477+J1477+P1477+M1477</f>
        <v>0</v>
      </c>
      <c r="E1477" s="698">
        <f>SUM(H1477+K1477+N1477+Q1477)</f>
        <v>0</v>
      </c>
      <c r="F1477" s="967" t="e">
        <f t="shared" si="186"/>
        <v>#DIV/0!</v>
      </c>
      <c r="G1477" s="720"/>
      <c r="H1477" s="698"/>
      <c r="I1477" s="699"/>
      <c r="J1477" s="698"/>
      <c r="K1477" s="698"/>
      <c r="L1477" s="745"/>
      <c r="M1477" s="703"/>
      <c r="N1477" s="698"/>
      <c r="O1477" s="972"/>
      <c r="P1477" s="698"/>
      <c r="Q1477" s="698"/>
      <c r="R1477" s="746" t="e">
        <f t="shared" si="187"/>
        <v>#DIV/0!</v>
      </c>
      <c r="S1477" s="682"/>
      <c r="T1477" s="682"/>
    </row>
    <row r="1478" spans="1:20" s="756" customFormat="1" ht="24.75" hidden="1" thickBot="1">
      <c r="A1478" s="764">
        <v>4300</v>
      </c>
      <c r="B1478" s="828" t="s">
        <v>219</v>
      </c>
      <c r="C1478" s="720"/>
      <c r="D1478" s="698">
        <f>G1478+J1478+P1478+M1478</f>
        <v>0</v>
      </c>
      <c r="E1478" s="698">
        <f>SUM(H1478+K1478+N1478+Q1478)</f>
        <v>0</v>
      </c>
      <c r="F1478" s="967" t="e">
        <f t="shared" si="186"/>
        <v>#DIV/0!</v>
      </c>
      <c r="G1478" s="720"/>
      <c r="H1478" s="698"/>
      <c r="I1478" s="699"/>
      <c r="J1478" s="720"/>
      <c r="K1478" s="698"/>
      <c r="L1478" s="745"/>
      <c r="M1478" s="703"/>
      <c r="N1478" s="698"/>
      <c r="O1478" s="972"/>
      <c r="P1478" s="698">
        <f>10100-10100</f>
        <v>0</v>
      </c>
      <c r="Q1478" s="698"/>
      <c r="R1478" s="746" t="e">
        <f t="shared" si="187"/>
        <v>#DIV/0!</v>
      </c>
      <c r="S1478" s="682"/>
      <c r="T1478" s="682"/>
    </row>
    <row r="1479" spans="1:20" s="756" customFormat="1" ht="60.75" hidden="1" thickBot="1">
      <c r="A1479" s="764">
        <v>4740</v>
      </c>
      <c r="B1479" s="828" t="s">
        <v>235</v>
      </c>
      <c r="C1479" s="720"/>
      <c r="D1479" s="698">
        <f>G1479+J1479+P1479+M1479</f>
        <v>0</v>
      </c>
      <c r="E1479" s="698">
        <f>SUM(H1479+K1479+N1479+Q1479)</f>
        <v>0</v>
      </c>
      <c r="F1479" s="967" t="e">
        <f t="shared" si="186"/>
        <v>#DIV/0!</v>
      </c>
      <c r="G1479" s="720"/>
      <c r="H1479" s="698"/>
      <c r="I1479" s="699"/>
      <c r="J1479" s="720"/>
      <c r="K1479" s="698"/>
      <c r="L1479" s="745"/>
      <c r="M1479" s="703"/>
      <c r="N1479" s="698"/>
      <c r="O1479" s="972"/>
      <c r="P1479" s="698">
        <f>100-100</f>
        <v>0</v>
      </c>
      <c r="Q1479" s="698"/>
      <c r="R1479" s="746" t="e">
        <f t="shared" si="187"/>
        <v>#DIV/0!</v>
      </c>
      <c r="S1479" s="682"/>
      <c r="T1479" s="682"/>
    </row>
    <row r="1480" spans="1:20" s="756" customFormat="1" ht="36.75" hidden="1" thickBot="1">
      <c r="A1480" s="764">
        <v>4750</v>
      </c>
      <c r="B1480" s="828" t="s">
        <v>787</v>
      </c>
      <c r="C1480" s="720"/>
      <c r="D1480" s="698">
        <f>G1480+J1480+P1480+M1480</f>
        <v>0</v>
      </c>
      <c r="E1480" s="698">
        <f>SUM(H1480+K1480+N1480+Q1480)</f>
        <v>0</v>
      </c>
      <c r="F1480" s="967" t="e">
        <f t="shared" si="186"/>
        <v>#DIV/0!</v>
      </c>
      <c r="G1480" s="720"/>
      <c r="H1480" s="698"/>
      <c r="I1480" s="699"/>
      <c r="J1480" s="703"/>
      <c r="K1480" s="698"/>
      <c r="L1480" s="704"/>
      <c r="M1480" s="703"/>
      <c r="N1480" s="698"/>
      <c r="O1480" s="972"/>
      <c r="P1480" s="698">
        <f>836-836</f>
        <v>0</v>
      </c>
      <c r="Q1480" s="698"/>
      <c r="R1480" s="746" t="e">
        <f t="shared" si="187"/>
        <v>#DIV/0!</v>
      </c>
      <c r="S1480" s="682"/>
      <c r="T1480" s="682"/>
    </row>
    <row r="1481" spans="1:20" s="756" customFormat="1" ht="37.5" thickBot="1" thickTop="1">
      <c r="A1481" s="749">
        <v>853</v>
      </c>
      <c r="B1481" s="1027" t="s">
        <v>835</v>
      </c>
      <c r="C1481" s="751">
        <f>C1482+C1489+C1486+C1508+C1504</f>
        <v>5016817</v>
      </c>
      <c r="D1481" s="674">
        <f>D1482+D1489+D1486+D1508+D1504+D1506</f>
        <v>7150033</v>
      </c>
      <c r="E1481" s="674">
        <f>E1482+E1489+E1486+E1508+E1504+E1506</f>
        <v>6811022</v>
      </c>
      <c r="F1481" s="1028">
        <f t="shared" si="186"/>
        <v>95.25860929592912</v>
      </c>
      <c r="G1481" s="751">
        <f>G1482+G1489+G1486+G1508</f>
        <v>4347234</v>
      </c>
      <c r="H1481" s="674">
        <f>H1482+H1489+H1486+H1508</f>
        <v>4091015</v>
      </c>
      <c r="I1481" s="675">
        <f t="shared" si="180"/>
        <v>94.10616037692013</v>
      </c>
      <c r="J1481" s="678"/>
      <c r="K1481" s="674"/>
      <c r="L1481" s="753"/>
      <c r="M1481" s="678">
        <f>M1482+M1489+M1508+M1486+M1506</f>
        <v>2676799</v>
      </c>
      <c r="N1481" s="674">
        <f>N1482+N1489+N1508+N1486+N1506</f>
        <v>2594007</v>
      </c>
      <c r="O1481" s="1029">
        <f>N1481/M1481*100</f>
        <v>96.90705204238346</v>
      </c>
      <c r="P1481" s="674">
        <f>P1489+P1504</f>
        <v>126000</v>
      </c>
      <c r="Q1481" s="674">
        <f>Q1489+Q1504</f>
        <v>126000</v>
      </c>
      <c r="R1481" s="771">
        <f>Q1481/P1481*100</f>
        <v>100</v>
      </c>
      <c r="S1481" s="682"/>
      <c r="T1481" s="682"/>
    </row>
    <row r="1482" spans="1:20" s="756" customFormat="1" ht="13.5" thickTop="1">
      <c r="A1482" s="757">
        <v>85305</v>
      </c>
      <c r="B1482" s="959" t="s">
        <v>836</v>
      </c>
      <c r="C1482" s="725">
        <f>SUM(C1483:C1485)</f>
        <v>3216000</v>
      </c>
      <c r="D1482" s="712">
        <f>G1482+J1482+P1482+M1482</f>
        <v>3347000</v>
      </c>
      <c r="E1482" s="986">
        <f aca="true" t="shared" si="188" ref="E1482:E1488">SUM(H1482+K1482+N1482+Q1482)</f>
        <v>3340637</v>
      </c>
      <c r="F1482" s="1008">
        <f t="shared" si="186"/>
        <v>99.80988945324171</v>
      </c>
      <c r="G1482" s="725">
        <f>SUM(G1483:G1485)</f>
        <v>3347000</v>
      </c>
      <c r="H1482" s="712">
        <f>SUM(H1483:H1485)</f>
        <v>3340637</v>
      </c>
      <c r="I1482" s="713">
        <f t="shared" si="180"/>
        <v>99.80988945324171</v>
      </c>
      <c r="J1482" s="717"/>
      <c r="K1482" s="712"/>
      <c r="L1482" s="718"/>
      <c r="M1482" s="712"/>
      <c r="N1482" s="712"/>
      <c r="O1482" s="762"/>
      <c r="P1482" s="712"/>
      <c r="Q1482" s="712"/>
      <c r="R1482" s="846"/>
      <c r="S1482" s="682"/>
      <c r="T1482" s="682"/>
    </row>
    <row r="1483" spans="1:20" s="756" customFormat="1" ht="36">
      <c r="A1483" s="784">
        <v>2510</v>
      </c>
      <c r="B1483" s="979" t="s">
        <v>717</v>
      </c>
      <c r="C1483" s="723">
        <v>3050000</v>
      </c>
      <c r="D1483" s="732">
        <f aca="true" t="shared" si="189" ref="D1483:D1622">G1483+J1483+P1483+M1483</f>
        <v>3181000</v>
      </c>
      <c r="E1483" s="732">
        <f t="shared" si="188"/>
        <v>3181000</v>
      </c>
      <c r="F1483" s="786">
        <f t="shared" si="186"/>
        <v>100</v>
      </c>
      <c r="G1483" s="723">
        <f>3050000+26500+24500+80000</f>
        <v>3181000</v>
      </c>
      <c r="H1483" s="732">
        <v>3181000</v>
      </c>
      <c r="I1483" s="721">
        <f t="shared" si="180"/>
        <v>100</v>
      </c>
      <c r="J1483" s="735"/>
      <c r="K1483" s="732"/>
      <c r="L1483" s="736"/>
      <c r="M1483" s="732"/>
      <c r="N1483" s="732"/>
      <c r="O1483" s="803"/>
      <c r="P1483" s="732"/>
      <c r="Q1483" s="732"/>
      <c r="R1483" s="788"/>
      <c r="S1483" s="682"/>
      <c r="T1483" s="682"/>
    </row>
    <row r="1484" spans="1:20" s="756" customFormat="1" ht="36" hidden="1">
      <c r="A1484" s="764">
        <v>6050</v>
      </c>
      <c r="B1484" s="934" t="s">
        <v>246</v>
      </c>
      <c r="C1484" s="720"/>
      <c r="D1484" s="698">
        <f>G1484+J1484+P1484+M1484</f>
        <v>0</v>
      </c>
      <c r="E1484" s="698">
        <f>SUM(H1484+K1484+N1484+Q1484)</f>
        <v>0</v>
      </c>
      <c r="F1484" s="744" t="e">
        <f>E1484/D1484*100</f>
        <v>#DIV/0!</v>
      </c>
      <c r="G1484" s="720">
        <f>78500-78500</f>
        <v>0</v>
      </c>
      <c r="H1484" s="698"/>
      <c r="I1484" s="744" t="e">
        <f t="shared" si="180"/>
        <v>#DIV/0!</v>
      </c>
      <c r="J1484" s="703"/>
      <c r="K1484" s="698"/>
      <c r="L1484" s="704"/>
      <c r="M1484" s="698"/>
      <c r="N1484" s="698"/>
      <c r="O1484" s="766"/>
      <c r="P1484" s="698"/>
      <c r="Q1484" s="698"/>
      <c r="R1484" s="770"/>
      <c r="S1484" s="682"/>
      <c r="T1484" s="682"/>
    </row>
    <row r="1485" spans="1:20" s="756" customFormat="1" ht="78.75" customHeight="1">
      <c r="A1485" s="789">
        <v>6210</v>
      </c>
      <c r="B1485" s="790" t="s">
        <v>568</v>
      </c>
      <c r="C1485" s="791">
        <v>166000</v>
      </c>
      <c r="D1485" s="792">
        <f>G1485+J1485+P1485+M1485</f>
        <v>166000</v>
      </c>
      <c r="E1485" s="792">
        <f t="shared" si="188"/>
        <v>159637</v>
      </c>
      <c r="F1485" s="1005">
        <f>E1485/D1485*100</f>
        <v>96.16686746987952</v>
      </c>
      <c r="G1485" s="791">
        <v>166000</v>
      </c>
      <c r="H1485" s="792">
        <v>159637</v>
      </c>
      <c r="I1485" s="761">
        <f t="shared" si="180"/>
        <v>96.16686746987952</v>
      </c>
      <c r="J1485" s="793"/>
      <c r="K1485" s="792"/>
      <c r="L1485" s="794"/>
      <c r="M1485" s="792"/>
      <c r="N1485" s="792"/>
      <c r="O1485" s="806"/>
      <c r="P1485" s="792"/>
      <c r="Q1485" s="792"/>
      <c r="R1485" s="797"/>
      <c r="S1485" s="682"/>
      <c r="T1485" s="682"/>
    </row>
    <row r="1486" spans="1:20" s="756" customFormat="1" ht="36">
      <c r="A1486" s="757">
        <v>85311</v>
      </c>
      <c r="B1486" s="959" t="s">
        <v>837</v>
      </c>
      <c r="C1486" s="725">
        <f>SUM(C1487:C1488)</f>
        <v>200000</v>
      </c>
      <c r="D1486" s="712">
        <f t="shared" si="189"/>
        <v>199237</v>
      </c>
      <c r="E1486" s="712">
        <f t="shared" si="188"/>
        <v>164400</v>
      </c>
      <c r="F1486" s="1008">
        <f t="shared" si="186"/>
        <v>82.51479393887682</v>
      </c>
      <c r="G1486" s="725"/>
      <c r="H1486" s="712"/>
      <c r="I1486" s="713"/>
      <c r="J1486" s="717"/>
      <c r="K1486" s="712"/>
      <c r="L1486" s="718"/>
      <c r="M1486" s="725">
        <f>SUM(M1487:M1488)</f>
        <v>199237</v>
      </c>
      <c r="N1486" s="712">
        <f>SUM(N1487:N1488)</f>
        <v>164400</v>
      </c>
      <c r="O1486" s="713">
        <f>N1486/M1486*100</f>
        <v>82.51479393887682</v>
      </c>
      <c r="P1486" s="712"/>
      <c r="Q1486" s="712"/>
      <c r="R1486" s="802"/>
      <c r="S1486" s="682"/>
      <c r="T1486" s="682"/>
    </row>
    <row r="1487" spans="1:18" ht="51" customHeight="1">
      <c r="A1487" s="784">
        <v>2580</v>
      </c>
      <c r="B1487" s="942" t="s">
        <v>838</v>
      </c>
      <c r="C1487" s="723">
        <v>200000</v>
      </c>
      <c r="D1487" s="698">
        <f>G1487+J1487+P1487+M1487</f>
        <v>116385</v>
      </c>
      <c r="E1487" s="698">
        <f t="shared" si="188"/>
        <v>106934</v>
      </c>
      <c r="F1487" s="980">
        <f t="shared" si="186"/>
        <v>91.87953774111784</v>
      </c>
      <c r="G1487" s="723"/>
      <c r="H1487" s="732"/>
      <c r="I1487" s="721"/>
      <c r="J1487" s="735"/>
      <c r="K1487" s="732"/>
      <c r="L1487" s="736"/>
      <c r="M1487" s="723">
        <f>200000-83615</f>
        <v>116385</v>
      </c>
      <c r="N1487" s="732">
        <f>164400-57540+74</f>
        <v>106934</v>
      </c>
      <c r="O1487" s="699">
        <f>N1487/M1487*100</f>
        <v>91.87953774111784</v>
      </c>
      <c r="P1487" s="732"/>
      <c r="Q1487" s="732"/>
      <c r="R1487" s="788"/>
    </row>
    <row r="1488" spans="1:20" s="756" customFormat="1" ht="60.75" customHeight="1">
      <c r="A1488" s="764">
        <v>2580</v>
      </c>
      <c r="B1488" s="934" t="s">
        <v>472</v>
      </c>
      <c r="C1488" s="791"/>
      <c r="D1488" s="698">
        <f>G1488+J1488+P1488+M1488</f>
        <v>82852</v>
      </c>
      <c r="E1488" s="698">
        <f t="shared" si="188"/>
        <v>57466</v>
      </c>
      <c r="F1488" s="761"/>
      <c r="G1488" s="791"/>
      <c r="H1488" s="792"/>
      <c r="I1488" s="760"/>
      <c r="J1488" s="793"/>
      <c r="K1488" s="792"/>
      <c r="L1488" s="794"/>
      <c r="M1488" s="791">
        <v>82852</v>
      </c>
      <c r="N1488" s="792">
        <f>57540-74</f>
        <v>57466</v>
      </c>
      <c r="O1488" s="699">
        <f>N1488/M1488*100</f>
        <v>69.35982233380003</v>
      </c>
      <c r="P1488" s="792"/>
      <c r="Q1488" s="792"/>
      <c r="R1488" s="797"/>
      <c r="S1488" s="682"/>
      <c r="T1488" s="682"/>
    </row>
    <row r="1489" spans="1:20" s="756" customFormat="1" ht="24">
      <c r="A1489" s="757">
        <v>85321</v>
      </c>
      <c r="B1489" s="959" t="s">
        <v>839</v>
      </c>
      <c r="C1489" s="725">
        <f>SUM(C1490:C1503)</f>
        <v>196000</v>
      </c>
      <c r="D1489" s="712">
        <f t="shared" si="189"/>
        <v>206000</v>
      </c>
      <c r="E1489" s="712">
        <f>H1489+K1489+Q1489+N1489</f>
        <v>203433</v>
      </c>
      <c r="F1489" s="1008">
        <f t="shared" si="186"/>
        <v>98.75388349514563</v>
      </c>
      <c r="G1489" s="873"/>
      <c r="H1489" s="874"/>
      <c r="I1489" s="984"/>
      <c r="J1489" s="875"/>
      <c r="K1489" s="874"/>
      <c r="L1489" s="876"/>
      <c r="M1489" s="712">
        <f>SUM(M1490:M1503)</f>
        <v>80000</v>
      </c>
      <c r="N1489" s="712">
        <f>SUM(N1490:N1503)</f>
        <v>77433</v>
      </c>
      <c r="O1489" s="741">
        <f aca="true" t="shared" si="190" ref="O1489:O1507">N1489/M1489*100</f>
        <v>96.79124999999999</v>
      </c>
      <c r="P1489" s="712">
        <f>SUM(P1490:P1503)</f>
        <v>126000</v>
      </c>
      <c r="Q1489" s="712">
        <f>SUM(Q1490:Q1503)</f>
        <v>126000</v>
      </c>
      <c r="R1489" s="741">
        <f aca="true" t="shared" si="191" ref="R1489:R1501">Q1489/P1489*100</f>
        <v>100</v>
      </c>
      <c r="S1489" s="682"/>
      <c r="T1489" s="682"/>
    </row>
    <row r="1490" spans="1:20" s="756" customFormat="1" ht="29.25" customHeight="1">
      <c r="A1490" s="784">
        <v>4010</v>
      </c>
      <c r="B1490" s="979" t="s">
        <v>201</v>
      </c>
      <c r="C1490" s="723">
        <v>106066</v>
      </c>
      <c r="D1490" s="732">
        <f t="shared" si="189"/>
        <v>106066</v>
      </c>
      <c r="E1490" s="732">
        <f aca="true" t="shared" si="192" ref="E1490:E1581">SUM(H1490+K1490+N1490+Q1490)</f>
        <v>106066</v>
      </c>
      <c r="F1490" s="1009">
        <f t="shared" si="186"/>
        <v>100</v>
      </c>
      <c r="G1490" s="723"/>
      <c r="H1490" s="732"/>
      <c r="I1490" s="989"/>
      <c r="J1490" s="735"/>
      <c r="K1490" s="732"/>
      <c r="L1490" s="736"/>
      <c r="M1490" s="732">
        <v>27266</v>
      </c>
      <c r="N1490" s="884">
        <v>27266</v>
      </c>
      <c r="O1490" s="786">
        <f t="shared" si="190"/>
        <v>100</v>
      </c>
      <c r="P1490" s="735">
        <v>78800</v>
      </c>
      <c r="Q1490" s="732">
        <v>78800</v>
      </c>
      <c r="R1490" s="744">
        <f t="shared" si="191"/>
        <v>100</v>
      </c>
      <c r="S1490" s="682"/>
      <c r="T1490" s="682"/>
    </row>
    <row r="1491" spans="1:20" s="756" customFormat="1" ht="24">
      <c r="A1491" s="764">
        <v>4040</v>
      </c>
      <c r="B1491" s="934" t="s">
        <v>205</v>
      </c>
      <c r="C1491" s="720">
        <v>8520</v>
      </c>
      <c r="D1491" s="698">
        <f t="shared" si="189"/>
        <v>8116</v>
      </c>
      <c r="E1491" s="698">
        <f t="shared" si="192"/>
        <v>8115</v>
      </c>
      <c r="F1491" s="980">
        <f t="shared" si="186"/>
        <v>99.98767865943815</v>
      </c>
      <c r="G1491" s="720"/>
      <c r="H1491" s="698"/>
      <c r="I1491" s="990"/>
      <c r="J1491" s="703"/>
      <c r="K1491" s="698"/>
      <c r="L1491" s="704"/>
      <c r="M1491" s="698">
        <f>8520-404</f>
        <v>8116</v>
      </c>
      <c r="N1491" s="879">
        <v>8115</v>
      </c>
      <c r="O1491" s="744">
        <f t="shared" si="190"/>
        <v>99.98767865943815</v>
      </c>
      <c r="P1491" s="703"/>
      <c r="Q1491" s="698"/>
      <c r="R1491" s="744"/>
      <c r="S1491" s="682"/>
      <c r="T1491" s="682"/>
    </row>
    <row r="1492" spans="1:20" s="756" customFormat="1" ht="24.75" customHeight="1">
      <c r="A1492" s="764">
        <v>4110</v>
      </c>
      <c r="B1492" s="934" t="s">
        <v>207</v>
      </c>
      <c r="C1492" s="720">
        <v>17423</v>
      </c>
      <c r="D1492" s="698">
        <f t="shared" si="189"/>
        <v>19123</v>
      </c>
      <c r="E1492" s="698">
        <f t="shared" si="192"/>
        <v>19123</v>
      </c>
      <c r="F1492" s="980">
        <f t="shared" si="186"/>
        <v>100</v>
      </c>
      <c r="G1492" s="720"/>
      <c r="H1492" s="698"/>
      <c r="I1492" s="990"/>
      <c r="J1492" s="703"/>
      <c r="K1492" s="698"/>
      <c r="L1492" s="704"/>
      <c r="M1492" s="698">
        <v>11823</v>
      </c>
      <c r="N1492" s="879">
        <v>11823</v>
      </c>
      <c r="O1492" s="744">
        <f t="shared" si="190"/>
        <v>100</v>
      </c>
      <c r="P1492" s="703">
        <f>5600+1700</f>
        <v>7300</v>
      </c>
      <c r="Q1492" s="698">
        <v>7300</v>
      </c>
      <c r="R1492" s="744">
        <f t="shared" si="191"/>
        <v>100</v>
      </c>
      <c r="S1492" s="682"/>
      <c r="T1492" s="682"/>
    </row>
    <row r="1493" spans="1:20" s="756" customFormat="1" ht="14.25" customHeight="1">
      <c r="A1493" s="764">
        <v>4120</v>
      </c>
      <c r="B1493" s="934" t="s">
        <v>588</v>
      </c>
      <c r="C1493" s="720">
        <v>2700</v>
      </c>
      <c r="D1493" s="698">
        <f t="shared" si="189"/>
        <v>2870</v>
      </c>
      <c r="E1493" s="698">
        <f t="shared" si="192"/>
        <v>2870</v>
      </c>
      <c r="F1493" s="980">
        <f t="shared" si="186"/>
        <v>100</v>
      </c>
      <c r="G1493" s="720"/>
      <c r="H1493" s="698"/>
      <c r="I1493" s="990"/>
      <c r="J1493" s="703"/>
      <c r="K1493" s="698"/>
      <c r="L1493" s="704"/>
      <c r="M1493" s="698">
        <v>1000</v>
      </c>
      <c r="N1493" s="879">
        <v>1000</v>
      </c>
      <c r="O1493" s="744">
        <f t="shared" si="190"/>
        <v>100</v>
      </c>
      <c r="P1493" s="703">
        <f>1700+170</f>
        <v>1870</v>
      </c>
      <c r="Q1493" s="698">
        <v>1870</v>
      </c>
      <c r="R1493" s="744">
        <f t="shared" si="191"/>
        <v>100</v>
      </c>
      <c r="S1493" s="682"/>
      <c r="T1493" s="682"/>
    </row>
    <row r="1494" spans="1:20" s="756" customFormat="1" ht="24">
      <c r="A1494" s="764">
        <v>4170</v>
      </c>
      <c r="B1494" s="934" t="s">
        <v>242</v>
      </c>
      <c r="C1494" s="720">
        <v>10603</v>
      </c>
      <c r="D1494" s="698">
        <f t="shared" si="189"/>
        <v>9332</v>
      </c>
      <c r="E1494" s="698">
        <f t="shared" si="192"/>
        <v>7600</v>
      </c>
      <c r="F1494" s="980">
        <f t="shared" si="186"/>
        <v>81.44020574367767</v>
      </c>
      <c r="G1494" s="720"/>
      <c r="H1494" s="698"/>
      <c r="I1494" s="990"/>
      <c r="J1494" s="703"/>
      <c r="K1494" s="698"/>
      <c r="L1494" s="704"/>
      <c r="M1494" s="698">
        <f>5303-1771</f>
        <v>3532</v>
      </c>
      <c r="N1494" s="879">
        <v>1800</v>
      </c>
      <c r="O1494" s="744">
        <f t="shared" si="190"/>
        <v>50.962627406568515</v>
      </c>
      <c r="P1494" s="703">
        <f>5300+500</f>
        <v>5800</v>
      </c>
      <c r="Q1494" s="698">
        <v>5800</v>
      </c>
      <c r="R1494" s="744">
        <f t="shared" si="191"/>
        <v>100</v>
      </c>
      <c r="S1494" s="682"/>
      <c r="T1494" s="682"/>
    </row>
    <row r="1495" spans="1:20" s="756" customFormat="1" ht="24">
      <c r="A1495" s="764">
        <v>4210</v>
      </c>
      <c r="B1495" s="934" t="s">
        <v>211</v>
      </c>
      <c r="C1495" s="720">
        <v>5010</v>
      </c>
      <c r="D1495" s="698">
        <f t="shared" si="189"/>
        <v>9510</v>
      </c>
      <c r="E1495" s="698">
        <f t="shared" si="192"/>
        <v>9500</v>
      </c>
      <c r="F1495" s="980">
        <f t="shared" si="186"/>
        <v>99.89484752891693</v>
      </c>
      <c r="G1495" s="720"/>
      <c r="H1495" s="698"/>
      <c r="I1495" s="990"/>
      <c r="J1495" s="703"/>
      <c r="K1495" s="698"/>
      <c r="L1495" s="704"/>
      <c r="M1495" s="698">
        <v>5010</v>
      </c>
      <c r="N1495" s="879">
        <v>5000</v>
      </c>
      <c r="O1495" s="744">
        <f t="shared" si="190"/>
        <v>99.8003992015968</v>
      </c>
      <c r="P1495" s="703">
        <f>5000-500</f>
        <v>4500</v>
      </c>
      <c r="Q1495" s="698">
        <v>4500</v>
      </c>
      <c r="R1495" s="744">
        <f t="shared" si="191"/>
        <v>100</v>
      </c>
      <c r="S1495" s="682"/>
      <c r="T1495" s="682"/>
    </row>
    <row r="1496" spans="1:20" s="756" customFormat="1" ht="12" customHeight="1">
      <c r="A1496" s="764">
        <v>4300</v>
      </c>
      <c r="B1496" s="934" t="s">
        <v>219</v>
      </c>
      <c r="C1496" s="720">
        <v>37753</v>
      </c>
      <c r="D1496" s="698">
        <f t="shared" si="189"/>
        <v>40383</v>
      </c>
      <c r="E1496" s="698">
        <f t="shared" si="192"/>
        <v>40383</v>
      </c>
      <c r="F1496" s="980">
        <f t="shared" si="186"/>
        <v>100</v>
      </c>
      <c r="G1496" s="720"/>
      <c r="H1496" s="698"/>
      <c r="I1496" s="990"/>
      <c r="J1496" s="703"/>
      <c r="K1496" s="698"/>
      <c r="L1496" s="704"/>
      <c r="M1496" s="698">
        <v>13153</v>
      </c>
      <c r="N1496" s="879">
        <v>13153</v>
      </c>
      <c r="O1496" s="744">
        <f t="shared" si="190"/>
        <v>100</v>
      </c>
      <c r="P1496" s="703">
        <f>24600+2630</f>
        <v>27230</v>
      </c>
      <c r="Q1496" s="698">
        <v>27230</v>
      </c>
      <c r="R1496" s="744">
        <f t="shared" si="191"/>
        <v>100</v>
      </c>
      <c r="S1496" s="682"/>
      <c r="T1496" s="682"/>
    </row>
    <row r="1497" spans="1:20" s="756" customFormat="1" ht="24">
      <c r="A1497" s="764">
        <v>4350</v>
      </c>
      <c r="B1497" s="768" t="s">
        <v>544</v>
      </c>
      <c r="C1497" s="720">
        <v>500</v>
      </c>
      <c r="D1497" s="698">
        <f t="shared" si="189"/>
        <v>1300</v>
      </c>
      <c r="E1497" s="698">
        <f t="shared" si="192"/>
        <v>762</v>
      </c>
      <c r="F1497" s="980">
        <f t="shared" si="186"/>
        <v>58.61538461538461</v>
      </c>
      <c r="G1497" s="720"/>
      <c r="H1497" s="698"/>
      <c r="I1497" s="990"/>
      <c r="J1497" s="703"/>
      <c r="K1497" s="698"/>
      <c r="L1497" s="704"/>
      <c r="M1497" s="698">
        <f>500+800</f>
        <v>1300</v>
      </c>
      <c r="N1497" s="879">
        <f>761+1</f>
        <v>762</v>
      </c>
      <c r="O1497" s="744">
        <f t="shared" si="190"/>
        <v>58.61538461538461</v>
      </c>
      <c r="P1497" s="703"/>
      <c r="Q1497" s="698"/>
      <c r="R1497" s="744"/>
      <c r="S1497" s="682"/>
      <c r="T1497" s="682"/>
    </row>
    <row r="1498" spans="1:20" s="756" customFormat="1" ht="39" customHeight="1">
      <c r="A1498" s="764">
        <v>4370</v>
      </c>
      <c r="B1498" s="828" t="s">
        <v>635</v>
      </c>
      <c r="C1498" s="720">
        <v>1500</v>
      </c>
      <c r="D1498" s="698">
        <f t="shared" si="189"/>
        <v>2800</v>
      </c>
      <c r="E1498" s="698">
        <f t="shared" si="192"/>
        <v>2624</v>
      </c>
      <c r="F1498" s="980">
        <f t="shared" si="186"/>
        <v>93.71428571428572</v>
      </c>
      <c r="G1498" s="720"/>
      <c r="H1498" s="698"/>
      <c r="I1498" s="990"/>
      <c r="J1498" s="703"/>
      <c r="K1498" s="698"/>
      <c r="L1498" s="704"/>
      <c r="M1498" s="698">
        <f>1500+1300</f>
        <v>2800</v>
      </c>
      <c r="N1498" s="879">
        <v>2624</v>
      </c>
      <c r="O1498" s="744">
        <f t="shared" si="190"/>
        <v>93.71428571428572</v>
      </c>
      <c r="P1498" s="703"/>
      <c r="Q1498" s="698"/>
      <c r="R1498" s="744"/>
      <c r="S1498" s="682"/>
      <c r="T1498" s="682"/>
    </row>
    <row r="1499" spans="1:20" s="756" customFormat="1" ht="15.75" customHeight="1">
      <c r="A1499" s="764">
        <v>4410</v>
      </c>
      <c r="B1499" s="934" t="s">
        <v>193</v>
      </c>
      <c r="C1499" s="720">
        <v>500</v>
      </c>
      <c r="D1499" s="698">
        <f t="shared" si="189"/>
        <v>500</v>
      </c>
      <c r="E1499" s="698">
        <f t="shared" si="192"/>
        <v>499</v>
      </c>
      <c r="F1499" s="980">
        <f t="shared" si="186"/>
        <v>99.8</v>
      </c>
      <c r="G1499" s="720"/>
      <c r="H1499" s="698"/>
      <c r="I1499" s="990"/>
      <c r="J1499" s="703"/>
      <c r="K1499" s="698"/>
      <c r="L1499" s="704"/>
      <c r="M1499" s="698">
        <v>500</v>
      </c>
      <c r="N1499" s="879">
        <v>499</v>
      </c>
      <c r="O1499" s="744">
        <f t="shared" si="190"/>
        <v>99.8</v>
      </c>
      <c r="P1499" s="703"/>
      <c r="Q1499" s="698"/>
      <c r="R1499" s="744"/>
      <c r="S1499" s="682"/>
      <c r="T1499" s="682"/>
    </row>
    <row r="1500" spans="1:20" s="756" customFormat="1" ht="12.75">
      <c r="A1500" s="764">
        <v>4440</v>
      </c>
      <c r="B1500" s="828" t="s">
        <v>683</v>
      </c>
      <c r="C1500" s="720">
        <v>2925</v>
      </c>
      <c r="D1500" s="698">
        <f t="shared" si="189"/>
        <v>3000</v>
      </c>
      <c r="E1500" s="698">
        <f>SUM(H1500+K1500+N1500+Q1500)</f>
        <v>3000</v>
      </c>
      <c r="F1500" s="980">
        <f t="shared" si="186"/>
        <v>100</v>
      </c>
      <c r="G1500" s="720"/>
      <c r="H1500" s="698"/>
      <c r="I1500" s="990"/>
      <c r="J1500" s="703"/>
      <c r="K1500" s="698"/>
      <c r="L1500" s="704"/>
      <c r="M1500" s="698">
        <f>2925+75</f>
        <v>3000</v>
      </c>
      <c r="N1500" s="879">
        <v>3000</v>
      </c>
      <c r="O1500" s="744">
        <f t="shared" si="190"/>
        <v>100</v>
      </c>
      <c r="P1500" s="703"/>
      <c r="Q1500" s="698"/>
      <c r="R1500" s="744"/>
      <c r="S1500" s="682"/>
      <c r="T1500" s="682"/>
    </row>
    <row r="1501" spans="1:20" s="756" customFormat="1" ht="53.25" customHeight="1">
      <c r="A1501" s="764">
        <v>4740</v>
      </c>
      <c r="B1501" s="828" t="s">
        <v>235</v>
      </c>
      <c r="C1501" s="720">
        <v>500</v>
      </c>
      <c r="D1501" s="698">
        <f t="shared" si="189"/>
        <v>1000</v>
      </c>
      <c r="E1501" s="698">
        <f t="shared" si="192"/>
        <v>1000</v>
      </c>
      <c r="F1501" s="980">
        <f t="shared" si="186"/>
        <v>100</v>
      </c>
      <c r="G1501" s="720"/>
      <c r="H1501" s="698"/>
      <c r="I1501" s="990"/>
      <c r="J1501" s="703"/>
      <c r="K1501" s="698"/>
      <c r="L1501" s="704"/>
      <c r="M1501" s="698">
        <v>500</v>
      </c>
      <c r="N1501" s="879">
        <v>500</v>
      </c>
      <c r="O1501" s="744">
        <f t="shared" si="190"/>
        <v>100</v>
      </c>
      <c r="P1501" s="703">
        <v>500</v>
      </c>
      <c r="Q1501" s="698">
        <v>500</v>
      </c>
      <c r="R1501" s="744">
        <f t="shared" si="191"/>
        <v>100</v>
      </c>
      <c r="S1501" s="682"/>
      <c r="T1501" s="682"/>
    </row>
    <row r="1502" spans="1:20" s="756" customFormat="1" ht="36">
      <c r="A1502" s="764">
        <v>4750</v>
      </c>
      <c r="B1502" s="828" t="s">
        <v>551</v>
      </c>
      <c r="C1502" s="720">
        <v>2000</v>
      </c>
      <c r="D1502" s="698">
        <f t="shared" si="189"/>
        <v>2000</v>
      </c>
      <c r="E1502" s="698">
        <f t="shared" si="192"/>
        <v>1891</v>
      </c>
      <c r="F1502" s="980">
        <f t="shared" si="186"/>
        <v>94.55</v>
      </c>
      <c r="G1502" s="720"/>
      <c r="H1502" s="698"/>
      <c r="I1502" s="990"/>
      <c r="J1502" s="703"/>
      <c r="K1502" s="698"/>
      <c r="L1502" s="704"/>
      <c r="M1502" s="698">
        <v>2000</v>
      </c>
      <c r="N1502" s="879">
        <v>1891</v>
      </c>
      <c r="O1502" s="744">
        <f t="shared" si="190"/>
        <v>94.55</v>
      </c>
      <c r="P1502" s="703"/>
      <c r="Q1502" s="698"/>
      <c r="R1502" s="744"/>
      <c r="S1502" s="682"/>
      <c r="T1502" s="682"/>
    </row>
    <row r="1503" spans="1:20" s="756" customFormat="1" ht="48" hidden="1">
      <c r="A1503" s="789">
        <v>6060</v>
      </c>
      <c r="B1503" s="981" t="s">
        <v>593</v>
      </c>
      <c r="C1503" s="791"/>
      <c r="D1503" s="698">
        <f t="shared" si="189"/>
        <v>0</v>
      </c>
      <c r="E1503" s="698">
        <f>SUM(H1503+K1503+N1503+Q1503)</f>
        <v>0</v>
      </c>
      <c r="F1503" s="980" t="e">
        <f>E1503/D1503*100</f>
        <v>#DIV/0!</v>
      </c>
      <c r="G1503" s="791"/>
      <c r="H1503" s="792"/>
      <c r="I1503" s="991"/>
      <c r="J1503" s="793"/>
      <c r="K1503" s="792"/>
      <c r="L1503" s="794"/>
      <c r="M1503" s="792"/>
      <c r="N1503" s="903"/>
      <c r="O1503" s="744" t="e">
        <f t="shared" si="190"/>
        <v>#DIV/0!</v>
      </c>
      <c r="P1503" s="793"/>
      <c r="Q1503" s="792"/>
      <c r="R1503" s="761"/>
      <c r="S1503" s="682"/>
      <c r="T1503" s="682"/>
    </row>
    <row r="1504" spans="1:20" s="756" customFormat="1" ht="12.75" hidden="1">
      <c r="A1504" s="757">
        <v>85334</v>
      </c>
      <c r="B1504" s="959" t="s">
        <v>840</v>
      </c>
      <c r="C1504" s="725"/>
      <c r="D1504" s="698">
        <f t="shared" si="189"/>
        <v>0</v>
      </c>
      <c r="E1504" s="698">
        <f>SUM(H1504+K1504+N1504+Q1504)</f>
        <v>0</v>
      </c>
      <c r="F1504" s="980" t="e">
        <f>E1504/D1504*100</f>
        <v>#DIV/0!</v>
      </c>
      <c r="G1504" s="725"/>
      <c r="H1504" s="712"/>
      <c r="I1504" s="984"/>
      <c r="J1504" s="717"/>
      <c r="K1504" s="712"/>
      <c r="L1504" s="718"/>
      <c r="M1504" s="712"/>
      <c r="N1504" s="880"/>
      <c r="O1504" s="744" t="e">
        <f t="shared" si="190"/>
        <v>#DIV/0!</v>
      </c>
      <c r="P1504" s="717">
        <f>SUM(P1505)</f>
        <v>0</v>
      </c>
      <c r="Q1504" s="712">
        <f>SUM(Q1505)</f>
        <v>0</v>
      </c>
      <c r="R1504" s="726" t="e">
        <f>Q1504/P1504*100</f>
        <v>#DIV/0!</v>
      </c>
      <c r="S1504" s="682"/>
      <c r="T1504" s="682"/>
    </row>
    <row r="1505" spans="1:20" s="756" customFormat="1" ht="24" hidden="1">
      <c r="A1505" s="764">
        <v>3110</v>
      </c>
      <c r="B1505" s="934" t="s">
        <v>713</v>
      </c>
      <c r="C1505" s="720"/>
      <c r="D1505" s="698">
        <f t="shared" si="189"/>
        <v>0</v>
      </c>
      <c r="E1505" s="698">
        <f>SUM(H1505+K1505+N1505+Q1505)</f>
        <v>0</v>
      </c>
      <c r="F1505" s="980" t="e">
        <f>E1505/D1505*100</f>
        <v>#DIV/0!</v>
      </c>
      <c r="G1505" s="720"/>
      <c r="H1505" s="698"/>
      <c r="I1505" s="990"/>
      <c r="J1505" s="703"/>
      <c r="K1505" s="698"/>
      <c r="L1505" s="704"/>
      <c r="M1505" s="698"/>
      <c r="N1505" s="879"/>
      <c r="O1505" s="744" t="e">
        <f t="shared" si="190"/>
        <v>#DIV/0!</v>
      </c>
      <c r="P1505" s="703"/>
      <c r="Q1505" s="698"/>
      <c r="R1505" s="699" t="e">
        <f>Q1505/P1505*100</f>
        <v>#DIV/0!</v>
      </c>
      <c r="S1505" s="682"/>
      <c r="T1505" s="682"/>
    </row>
    <row r="1506" spans="1:20" s="756" customFormat="1" ht="18" customHeight="1">
      <c r="A1506" s="757">
        <v>85333</v>
      </c>
      <c r="B1506" s="959" t="s">
        <v>473</v>
      </c>
      <c r="C1506" s="725"/>
      <c r="D1506" s="712">
        <f t="shared" si="189"/>
        <v>1785580</v>
      </c>
      <c r="E1506" s="712">
        <f>SUM(H1506+K1506+N1506+Q1506)</f>
        <v>1785580</v>
      </c>
      <c r="F1506" s="1006">
        <f>E1506/D1506*100</f>
        <v>100</v>
      </c>
      <c r="G1506" s="725"/>
      <c r="H1506" s="712"/>
      <c r="I1506" s="1030"/>
      <c r="J1506" s="717"/>
      <c r="K1506" s="712"/>
      <c r="L1506" s="718"/>
      <c r="M1506" s="712">
        <f>SUM(M1507)</f>
        <v>1785580</v>
      </c>
      <c r="N1506" s="880">
        <f>SUM(N1507)</f>
        <v>1785580</v>
      </c>
      <c r="O1506" s="741">
        <f t="shared" si="190"/>
        <v>100</v>
      </c>
      <c r="P1506" s="717"/>
      <c r="Q1506" s="712"/>
      <c r="R1506" s="726"/>
      <c r="S1506" s="682"/>
      <c r="T1506" s="682"/>
    </row>
    <row r="1507" spans="1:20" s="756" customFormat="1" ht="63.75" customHeight="1">
      <c r="A1507" s="784">
        <v>2320</v>
      </c>
      <c r="B1507" s="785" t="s">
        <v>599</v>
      </c>
      <c r="C1507" s="791"/>
      <c r="D1507" s="874">
        <f t="shared" si="189"/>
        <v>1785580</v>
      </c>
      <c r="E1507" s="874">
        <f>SUM(H1507+K1507+N1507+Q1507)</f>
        <v>1785580</v>
      </c>
      <c r="F1507" s="1008">
        <f>E1507/D1507*100</f>
        <v>100</v>
      </c>
      <c r="G1507" s="791"/>
      <c r="H1507" s="792"/>
      <c r="I1507" s="991"/>
      <c r="J1507" s="793"/>
      <c r="K1507" s="792"/>
      <c r="L1507" s="794"/>
      <c r="M1507" s="792">
        <v>1785580</v>
      </c>
      <c r="N1507" s="903">
        <v>1785580</v>
      </c>
      <c r="O1507" s="744">
        <f t="shared" si="190"/>
        <v>100</v>
      </c>
      <c r="P1507" s="793"/>
      <c r="Q1507" s="792"/>
      <c r="R1507" s="760"/>
      <c r="S1507" s="682"/>
      <c r="T1507" s="682"/>
    </row>
    <row r="1508" spans="1:20" s="756" customFormat="1" ht="12.75">
      <c r="A1508" s="757">
        <v>85395</v>
      </c>
      <c r="B1508" s="959" t="s">
        <v>332</v>
      </c>
      <c r="C1508" s="725">
        <f>C1510+C1545+C1554</f>
        <v>1404817</v>
      </c>
      <c r="D1508" s="712">
        <f t="shared" si="189"/>
        <v>1612216</v>
      </c>
      <c r="E1508" s="712">
        <f t="shared" si="192"/>
        <v>1316972</v>
      </c>
      <c r="F1508" s="925">
        <f t="shared" si="186"/>
        <v>81.687069226456</v>
      </c>
      <c r="G1508" s="725">
        <f>SUM(G1511:G1545)</f>
        <v>1000234</v>
      </c>
      <c r="H1508" s="712">
        <f>SUM(H1511:H1545)</f>
        <v>750378</v>
      </c>
      <c r="I1508" s="1031">
        <f>H1508/G1508*100</f>
        <v>75.02024526260855</v>
      </c>
      <c r="J1508" s="717"/>
      <c r="K1508" s="712"/>
      <c r="L1508" s="718"/>
      <c r="M1508" s="712">
        <f>M1554+M1509</f>
        <v>611982</v>
      </c>
      <c r="N1508" s="880">
        <f>N1554+N1509</f>
        <v>566594</v>
      </c>
      <c r="O1508" s="925">
        <f>N1508/M1508*100</f>
        <v>92.58344199666003</v>
      </c>
      <c r="P1508" s="717"/>
      <c r="Q1508" s="712"/>
      <c r="R1508" s="726"/>
      <c r="S1508" s="682"/>
      <c r="T1508" s="682"/>
    </row>
    <row r="1509" spans="1:18" ht="24" hidden="1">
      <c r="A1509" s="764">
        <v>4300</v>
      </c>
      <c r="B1509" s="942" t="s">
        <v>219</v>
      </c>
      <c r="C1509" s="720"/>
      <c r="D1509" s="814">
        <f t="shared" si="189"/>
        <v>0</v>
      </c>
      <c r="E1509" s="814">
        <f>SUM(H1509+K1509+N1509+Q1509)</f>
        <v>0</v>
      </c>
      <c r="F1509" s="744" t="e">
        <f>E1509/D1509*100</f>
        <v>#DIV/0!</v>
      </c>
      <c r="G1509" s="720"/>
      <c r="H1509" s="698"/>
      <c r="I1509" s="990"/>
      <c r="J1509" s="703"/>
      <c r="K1509" s="698"/>
      <c r="L1509" s="704"/>
      <c r="M1509" s="698"/>
      <c r="N1509" s="879"/>
      <c r="O1509" s="702"/>
      <c r="P1509" s="703"/>
      <c r="Q1509" s="698"/>
      <c r="R1509" s="699"/>
    </row>
    <row r="1510" spans="1:20" s="1017" customFormat="1" ht="38.25">
      <c r="A1510" s="929"/>
      <c r="B1510" s="1032" t="s">
        <v>333</v>
      </c>
      <c r="C1510" s="857">
        <f>SUM(C1511:C1544)</f>
        <v>942284</v>
      </c>
      <c r="D1510" s="858">
        <f t="shared" si="189"/>
        <v>951410</v>
      </c>
      <c r="E1510" s="858">
        <f t="shared" si="192"/>
        <v>729126</v>
      </c>
      <c r="F1510" s="971">
        <f t="shared" si="186"/>
        <v>76.63636076980481</v>
      </c>
      <c r="G1510" s="857">
        <f>SUM(G1511:G1544)</f>
        <v>951410</v>
      </c>
      <c r="H1510" s="858">
        <f>SUM(H1511:H1544)</f>
        <v>729126</v>
      </c>
      <c r="I1510" s="1033">
        <f>H1510/G1510*100</f>
        <v>76.63636076980481</v>
      </c>
      <c r="J1510" s="859"/>
      <c r="K1510" s="858"/>
      <c r="L1510" s="1020"/>
      <c r="M1510" s="858"/>
      <c r="N1510" s="1034"/>
      <c r="O1510" s="1014"/>
      <c r="P1510" s="859"/>
      <c r="Q1510" s="858"/>
      <c r="R1510" s="1013"/>
      <c r="S1510" s="1016"/>
      <c r="T1510" s="1016"/>
    </row>
    <row r="1511" spans="1:20" s="756" customFormat="1" ht="17.25" customHeight="1">
      <c r="A1511" s="764">
        <v>3119</v>
      </c>
      <c r="B1511" s="934" t="s">
        <v>713</v>
      </c>
      <c r="C1511" s="720">
        <v>94232</v>
      </c>
      <c r="D1511" s="698">
        <f t="shared" si="189"/>
        <v>95141</v>
      </c>
      <c r="E1511" s="698">
        <f t="shared" si="192"/>
        <v>95141</v>
      </c>
      <c r="F1511" s="744">
        <f t="shared" si="186"/>
        <v>100</v>
      </c>
      <c r="G1511" s="720">
        <f>94232+909</f>
        <v>95141</v>
      </c>
      <c r="H1511" s="698">
        <v>95141</v>
      </c>
      <c r="I1511" s="990">
        <f>H1511/G1511*100</f>
        <v>100</v>
      </c>
      <c r="J1511" s="778"/>
      <c r="K1511" s="777"/>
      <c r="L1511" s="779"/>
      <c r="M1511" s="698"/>
      <c r="N1511" s="879"/>
      <c r="O1511" s="702"/>
      <c r="P1511" s="778"/>
      <c r="Q1511" s="777"/>
      <c r="R1511" s="747"/>
      <c r="S1511" s="682"/>
      <c r="T1511" s="682"/>
    </row>
    <row r="1512" spans="1:20" s="756" customFormat="1" ht="24.75" customHeight="1">
      <c r="A1512" s="764">
        <v>4018</v>
      </c>
      <c r="B1512" s="828" t="s">
        <v>201</v>
      </c>
      <c r="C1512" s="720">
        <v>196690</v>
      </c>
      <c r="D1512" s="698">
        <f t="shared" si="189"/>
        <v>196690</v>
      </c>
      <c r="E1512" s="698">
        <f t="shared" si="192"/>
        <v>165943</v>
      </c>
      <c r="F1512" s="744">
        <f t="shared" si="186"/>
        <v>84.3677868727439</v>
      </c>
      <c r="G1512" s="720">
        <v>196690</v>
      </c>
      <c r="H1512" s="698">
        <v>165943</v>
      </c>
      <c r="I1512" s="990">
        <f aca="true" t="shared" si="193" ref="I1512:I1553">H1512/G1512*100</f>
        <v>84.3677868727439</v>
      </c>
      <c r="J1512" s="778"/>
      <c r="K1512" s="777"/>
      <c r="L1512" s="779"/>
      <c r="M1512" s="698"/>
      <c r="N1512" s="879"/>
      <c r="O1512" s="702"/>
      <c r="P1512" s="778"/>
      <c r="Q1512" s="777"/>
      <c r="R1512" s="747"/>
      <c r="S1512" s="682"/>
      <c r="T1512" s="682"/>
    </row>
    <row r="1513" spans="1:20" s="756" customFormat="1" ht="24" customHeight="1">
      <c r="A1513" s="764">
        <v>4019</v>
      </c>
      <c r="B1513" s="934" t="s">
        <v>201</v>
      </c>
      <c r="C1513" s="720">
        <v>11580</v>
      </c>
      <c r="D1513" s="698">
        <f t="shared" si="189"/>
        <v>11580</v>
      </c>
      <c r="E1513" s="698">
        <f t="shared" si="192"/>
        <v>9770</v>
      </c>
      <c r="F1513" s="744">
        <f t="shared" si="186"/>
        <v>84.36960276338515</v>
      </c>
      <c r="G1513" s="720">
        <v>11580</v>
      </c>
      <c r="H1513" s="698">
        <v>9770</v>
      </c>
      <c r="I1513" s="990">
        <f t="shared" si="193"/>
        <v>84.36960276338515</v>
      </c>
      <c r="J1513" s="778"/>
      <c r="K1513" s="777"/>
      <c r="L1513" s="779"/>
      <c r="M1513" s="698"/>
      <c r="N1513" s="879"/>
      <c r="O1513" s="702"/>
      <c r="P1513" s="778"/>
      <c r="Q1513" s="777"/>
      <c r="R1513" s="747"/>
      <c r="S1513" s="682"/>
      <c r="T1513" s="682"/>
    </row>
    <row r="1514" spans="1:20" s="756" customFormat="1" ht="24">
      <c r="A1514" s="764">
        <v>4048</v>
      </c>
      <c r="B1514" s="934" t="s">
        <v>205</v>
      </c>
      <c r="C1514" s="720"/>
      <c r="D1514" s="698">
        <f>G1514+J1514+P1514+M1514</f>
        <v>6278</v>
      </c>
      <c r="E1514" s="698">
        <f>SUM(H1514+K1514+N1514+Q1514)</f>
        <v>6278</v>
      </c>
      <c r="F1514" s="744">
        <f>E1514/D1514*100</f>
        <v>100</v>
      </c>
      <c r="G1514" s="720">
        <f>4671+1607</f>
        <v>6278</v>
      </c>
      <c r="H1514" s="698">
        <v>6278</v>
      </c>
      <c r="I1514" s="990">
        <f t="shared" si="193"/>
        <v>100</v>
      </c>
      <c r="J1514" s="778"/>
      <c r="K1514" s="777"/>
      <c r="L1514" s="779"/>
      <c r="M1514" s="698"/>
      <c r="N1514" s="879"/>
      <c r="O1514" s="702"/>
      <c r="P1514" s="778"/>
      <c r="Q1514" s="777"/>
      <c r="R1514" s="747"/>
      <c r="S1514" s="682"/>
      <c r="T1514" s="682"/>
    </row>
    <row r="1515" spans="1:20" s="756" customFormat="1" ht="24">
      <c r="A1515" s="764">
        <v>4049</v>
      </c>
      <c r="B1515" s="934" t="s">
        <v>205</v>
      </c>
      <c r="C1515" s="720"/>
      <c r="D1515" s="698">
        <f>G1515+J1515+P1515+M1515</f>
        <v>370</v>
      </c>
      <c r="E1515" s="698">
        <f>SUM(H1515+K1515+N1515+Q1515)</f>
        <v>370</v>
      </c>
      <c r="F1515" s="744">
        <f>E1515/D1515*100</f>
        <v>100</v>
      </c>
      <c r="G1515" s="720">
        <f>275+95</f>
        <v>370</v>
      </c>
      <c r="H1515" s="698">
        <v>370</v>
      </c>
      <c r="I1515" s="990">
        <f t="shared" si="193"/>
        <v>100</v>
      </c>
      <c r="J1515" s="778"/>
      <c r="K1515" s="777"/>
      <c r="L1515" s="779"/>
      <c r="M1515" s="698"/>
      <c r="N1515" s="879"/>
      <c r="O1515" s="702"/>
      <c r="P1515" s="778"/>
      <c r="Q1515" s="777"/>
      <c r="R1515" s="747"/>
      <c r="S1515" s="682"/>
      <c r="T1515" s="682"/>
    </row>
    <row r="1516" spans="1:20" s="756" customFormat="1" ht="27" customHeight="1">
      <c r="A1516" s="764">
        <v>4118</v>
      </c>
      <c r="B1516" s="934" t="s">
        <v>207</v>
      </c>
      <c r="C1516" s="720">
        <v>38649</v>
      </c>
      <c r="D1516" s="698">
        <f t="shared" si="189"/>
        <v>38508</v>
      </c>
      <c r="E1516" s="698">
        <f t="shared" si="192"/>
        <v>25777</v>
      </c>
      <c r="F1516" s="744">
        <f t="shared" si="186"/>
        <v>66.93933728056508</v>
      </c>
      <c r="G1516" s="720">
        <f>38649+4649-4790</f>
        <v>38508</v>
      </c>
      <c r="H1516" s="698">
        <v>25777</v>
      </c>
      <c r="I1516" s="990">
        <f t="shared" si="193"/>
        <v>66.93933728056508</v>
      </c>
      <c r="J1516" s="778"/>
      <c r="K1516" s="777"/>
      <c r="L1516" s="779"/>
      <c r="M1516" s="698"/>
      <c r="N1516" s="879"/>
      <c r="O1516" s="702"/>
      <c r="P1516" s="778"/>
      <c r="Q1516" s="777"/>
      <c r="R1516" s="747"/>
      <c r="S1516" s="682"/>
      <c r="T1516" s="682"/>
    </row>
    <row r="1517" spans="1:20" s="756" customFormat="1" ht="27.75" customHeight="1">
      <c r="A1517" s="764">
        <v>4119</v>
      </c>
      <c r="B1517" s="934" t="s">
        <v>207</v>
      </c>
      <c r="C1517" s="720">
        <v>2275</v>
      </c>
      <c r="D1517" s="698">
        <f t="shared" si="189"/>
        <v>2267</v>
      </c>
      <c r="E1517" s="698">
        <f t="shared" si="192"/>
        <v>1518</v>
      </c>
      <c r="F1517" s="744">
        <f t="shared" si="186"/>
        <v>66.96074106749008</v>
      </c>
      <c r="G1517" s="720">
        <f>2275+274-282</f>
        <v>2267</v>
      </c>
      <c r="H1517" s="698">
        <v>1518</v>
      </c>
      <c r="I1517" s="990">
        <f t="shared" si="193"/>
        <v>66.96074106749008</v>
      </c>
      <c r="J1517" s="778"/>
      <c r="K1517" s="777"/>
      <c r="L1517" s="779"/>
      <c r="M1517" s="698"/>
      <c r="N1517" s="879"/>
      <c r="O1517" s="702"/>
      <c r="P1517" s="778"/>
      <c r="Q1517" s="777"/>
      <c r="R1517" s="747"/>
      <c r="S1517" s="682"/>
      <c r="T1517" s="682"/>
    </row>
    <row r="1518" spans="1:20" s="756" customFormat="1" ht="17.25" customHeight="1">
      <c r="A1518" s="764">
        <v>4128</v>
      </c>
      <c r="B1518" s="934" t="s">
        <v>588</v>
      </c>
      <c r="C1518" s="720">
        <v>5911</v>
      </c>
      <c r="D1518" s="698">
        <f t="shared" si="189"/>
        <v>6022</v>
      </c>
      <c r="E1518" s="698">
        <f t="shared" si="192"/>
        <v>3859</v>
      </c>
      <c r="F1518" s="744">
        <f t="shared" si="186"/>
        <v>64.08170043175025</v>
      </c>
      <c r="G1518" s="720">
        <f>5911+712-601</f>
        <v>6022</v>
      </c>
      <c r="H1518" s="698">
        <f>3860-1</f>
        <v>3859</v>
      </c>
      <c r="I1518" s="990">
        <f t="shared" si="193"/>
        <v>64.08170043175025</v>
      </c>
      <c r="J1518" s="778"/>
      <c r="K1518" s="777"/>
      <c r="L1518" s="779"/>
      <c r="M1518" s="698"/>
      <c r="N1518" s="879"/>
      <c r="O1518" s="702"/>
      <c r="P1518" s="778"/>
      <c r="Q1518" s="777"/>
      <c r="R1518" s="747"/>
      <c r="S1518" s="682"/>
      <c r="T1518" s="682"/>
    </row>
    <row r="1519" spans="1:20" s="756" customFormat="1" ht="16.5" customHeight="1">
      <c r="A1519" s="764">
        <v>4129</v>
      </c>
      <c r="B1519" s="934" t="s">
        <v>588</v>
      </c>
      <c r="C1519" s="720">
        <v>348</v>
      </c>
      <c r="D1519" s="698">
        <f t="shared" si="189"/>
        <v>354</v>
      </c>
      <c r="E1519" s="698">
        <f t="shared" si="192"/>
        <v>227</v>
      </c>
      <c r="F1519" s="744">
        <f t="shared" si="186"/>
        <v>64.12429378531074</v>
      </c>
      <c r="G1519" s="720">
        <f>348+42-36</f>
        <v>354</v>
      </c>
      <c r="H1519" s="698">
        <v>227</v>
      </c>
      <c r="I1519" s="990">
        <f t="shared" si="193"/>
        <v>64.12429378531074</v>
      </c>
      <c r="J1519" s="778"/>
      <c r="K1519" s="777"/>
      <c r="L1519" s="779"/>
      <c r="M1519" s="698"/>
      <c r="N1519" s="879"/>
      <c r="O1519" s="702"/>
      <c r="P1519" s="778"/>
      <c r="Q1519" s="777"/>
      <c r="R1519" s="747"/>
      <c r="S1519" s="682"/>
      <c r="T1519" s="682"/>
    </row>
    <row r="1520" spans="1:20" s="756" customFormat="1" ht="24">
      <c r="A1520" s="764">
        <v>4178</v>
      </c>
      <c r="B1520" s="934" t="s">
        <v>242</v>
      </c>
      <c r="C1520" s="720">
        <v>58364</v>
      </c>
      <c r="D1520" s="698">
        <f t="shared" si="189"/>
        <v>48826</v>
      </c>
      <c r="E1520" s="698">
        <f t="shared" si="192"/>
        <v>47368</v>
      </c>
      <c r="F1520" s="744">
        <f t="shared" si="186"/>
        <v>97.01388604432066</v>
      </c>
      <c r="G1520" s="720">
        <f>58364+24358-33896</f>
        <v>48826</v>
      </c>
      <c r="H1520" s="698">
        <v>47368</v>
      </c>
      <c r="I1520" s="990">
        <f t="shared" si="193"/>
        <v>97.01388604432066</v>
      </c>
      <c r="J1520" s="778"/>
      <c r="K1520" s="777"/>
      <c r="L1520" s="779"/>
      <c r="M1520" s="698"/>
      <c r="N1520" s="879"/>
      <c r="O1520" s="702"/>
      <c r="P1520" s="778"/>
      <c r="Q1520" s="777"/>
      <c r="R1520" s="747"/>
      <c r="S1520" s="682"/>
      <c r="T1520" s="682"/>
    </row>
    <row r="1521" spans="1:20" s="756" customFormat="1" ht="24">
      <c r="A1521" s="764">
        <v>4179</v>
      </c>
      <c r="B1521" s="934" t="s">
        <v>242</v>
      </c>
      <c r="C1521" s="720">
        <v>3436</v>
      </c>
      <c r="D1521" s="698">
        <f t="shared" si="189"/>
        <v>2874</v>
      </c>
      <c r="E1521" s="698">
        <f t="shared" si="192"/>
        <v>2789</v>
      </c>
      <c r="F1521" s="744">
        <f t="shared" si="186"/>
        <v>97.04244954766875</v>
      </c>
      <c r="G1521" s="720">
        <f>3436+1434-1996</f>
        <v>2874</v>
      </c>
      <c r="H1521" s="698">
        <v>2789</v>
      </c>
      <c r="I1521" s="990">
        <f t="shared" si="193"/>
        <v>97.04244954766875</v>
      </c>
      <c r="J1521" s="778"/>
      <c r="K1521" s="777"/>
      <c r="L1521" s="779"/>
      <c r="M1521" s="698"/>
      <c r="N1521" s="879"/>
      <c r="O1521" s="702"/>
      <c r="P1521" s="778"/>
      <c r="Q1521" s="777"/>
      <c r="R1521" s="747"/>
      <c r="S1521" s="682"/>
      <c r="T1521" s="682"/>
    </row>
    <row r="1522" spans="1:20" s="756" customFormat="1" ht="24">
      <c r="A1522" s="764">
        <v>4218</v>
      </c>
      <c r="B1522" s="934" t="s">
        <v>211</v>
      </c>
      <c r="C1522" s="720">
        <v>133164</v>
      </c>
      <c r="D1522" s="698">
        <f t="shared" si="189"/>
        <v>43300</v>
      </c>
      <c r="E1522" s="698">
        <f t="shared" si="192"/>
        <v>37249</v>
      </c>
      <c r="F1522" s="744">
        <f t="shared" si="186"/>
        <v>86.02540415704388</v>
      </c>
      <c r="G1522" s="720">
        <f>133164-104117+14253</f>
        <v>43300</v>
      </c>
      <c r="H1522" s="698">
        <v>37249</v>
      </c>
      <c r="I1522" s="990">
        <f t="shared" si="193"/>
        <v>86.02540415704388</v>
      </c>
      <c r="J1522" s="778"/>
      <c r="K1522" s="777"/>
      <c r="L1522" s="779"/>
      <c r="M1522" s="698"/>
      <c r="N1522" s="879"/>
      <c r="O1522" s="702"/>
      <c r="P1522" s="778"/>
      <c r="Q1522" s="777"/>
      <c r="R1522" s="747"/>
      <c r="S1522" s="682"/>
      <c r="T1522" s="682"/>
    </row>
    <row r="1523" spans="1:20" s="756" customFormat="1" ht="23.25" customHeight="1">
      <c r="A1523" s="764">
        <v>4219</v>
      </c>
      <c r="B1523" s="934" t="s">
        <v>211</v>
      </c>
      <c r="C1523" s="720">
        <v>7840</v>
      </c>
      <c r="D1523" s="698">
        <f t="shared" si="189"/>
        <v>2508</v>
      </c>
      <c r="E1523" s="698">
        <f t="shared" si="192"/>
        <v>2193</v>
      </c>
      <c r="F1523" s="744">
        <f t="shared" si="186"/>
        <v>87.4401913875598</v>
      </c>
      <c r="G1523" s="720">
        <f>7840-6171+839</f>
        <v>2508</v>
      </c>
      <c r="H1523" s="698">
        <v>2193</v>
      </c>
      <c r="I1523" s="990">
        <f t="shared" si="193"/>
        <v>87.4401913875598</v>
      </c>
      <c r="J1523" s="778"/>
      <c r="K1523" s="777"/>
      <c r="L1523" s="779"/>
      <c r="M1523" s="698"/>
      <c r="N1523" s="879"/>
      <c r="O1523" s="702"/>
      <c r="P1523" s="778"/>
      <c r="Q1523" s="777"/>
      <c r="R1523" s="747"/>
      <c r="S1523" s="682"/>
      <c r="T1523" s="682"/>
    </row>
    <row r="1524" spans="1:20" s="756" customFormat="1" ht="16.5" customHeight="1">
      <c r="A1524" s="764">
        <v>4288</v>
      </c>
      <c r="B1524" s="934" t="s">
        <v>542</v>
      </c>
      <c r="C1524" s="720">
        <v>9444</v>
      </c>
      <c r="D1524" s="698">
        <f>G1524+J1524+P1524+M1524</f>
        <v>8500</v>
      </c>
      <c r="E1524" s="698">
        <f>SUM(H1524+K1524+N1524+Q1524)</f>
        <v>6788</v>
      </c>
      <c r="F1524" s="744">
        <f>E1524/D1524*100</f>
        <v>79.85882352941177</v>
      </c>
      <c r="G1524" s="720">
        <f>9444-944</f>
        <v>8500</v>
      </c>
      <c r="H1524" s="698">
        <v>6788</v>
      </c>
      <c r="I1524" s="990">
        <f t="shared" si="193"/>
        <v>79.85882352941177</v>
      </c>
      <c r="J1524" s="778"/>
      <c r="K1524" s="777"/>
      <c r="L1524" s="779"/>
      <c r="M1524" s="698"/>
      <c r="N1524" s="879"/>
      <c r="O1524" s="702"/>
      <c r="P1524" s="778"/>
      <c r="Q1524" s="777"/>
      <c r="R1524" s="747"/>
      <c r="S1524" s="682"/>
      <c r="T1524" s="682"/>
    </row>
    <row r="1525" spans="1:20" s="756" customFormat="1" ht="16.5" customHeight="1">
      <c r="A1525" s="764">
        <v>4289</v>
      </c>
      <c r="B1525" s="934" t="s">
        <v>542</v>
      </c>
      <c r="C1525" s="720">
        <v>556</v>
      </c>
      <c r="D1525" s="698">
        <f>G1525+J1525+P1525+M1525</f>
        <v>500</v>
      </c>
      <c r="E1525" s="698">
        <f>SUM(H1525+K1525+N1525+Q1525)</f>
        <v>400</v>
      </c>
      <c r="F1525" s="744">
        <f>E1525/D1525*100</f>
        <v>80</v>
      </c>
      <c r="G1525" s="720">
        <f>556-56</f>
        <v>500</v>
      </c>
      <c r="H1525" s="698">
        <v>400</v>
      </c>
      <c r="I1525" s="990">
        <f t="shared" si="193"/>
        <v>80</v>
      </c>
      <c r="J1525" s="778"/>
      <c r="K1525" s="777"/>
      <c r="L1525" s="779"/>
      <c r="M1525" s="698"/>
      <c r="N1525" s="879"/>
      <c r="O1525" s="702"/>
      <c r="P1525" s="778"/>
      <c r="Q1525" s="777"/>
      <c r="R1525" s="747"/>
      <c r="S1525" s="682"/>
      <c r="T1525" s="682"/>
    </row>
    <row r="1526" spans="1:20" s="756" customFormat="1" ht="17.25" customHeight="1">
      <c r="A1526" s="764">
        <v>4308</v>
      </c>
      <c r="B1526" s="934" t="s">
        <v>236</v>
      </c>
      <c r="C1526" s="720">
        <v>306141</v>
      </c>
      <c r="D1526" s="698">
        <f t="shared" si="189"/>
        <v>437977</v>
      </c>
      <c r="E1526" s="698">
        <f t="shared" si="192"/>
        <v>287248</v>
      </c>
      <c r="F1526" s="744">
        <f t="shared" si="186"/>
        <v>65.58517913041095</v>
      </c>
      <c r="G1526" s="720">
        <f>306141+7798+98344+25694</f>
        <v>437977</v>
      </c>
      <c r="H1526" s="698">
        <v>287248</v>
      </c>
      <c r="I1526" s="990">
        <f t="shared" si="193"/>
        <v>65.58517913041095</v>
      </c>
      <c r="J1526" s="778"/>
      <c r="K1526" s="777"/>
      <c r="L1526" s="779"/>
      <c r="M1526" s="698"/>
      <c r="N1526" s="879"/>
      <c r="O1526" s="702"/>
      <c r="P1526" s="778"/>
      <c r="Q1526" s="777"/>
      <c r="R1526" s="747"/>
      <c r="S1526" s="682"/>
      <c r="T1526" s="682"/>
    </row>
    <row r="1527" spans="1:20" s="756" customFormat="1" ht="16.5" customHeight="1">
      <c r="A1527" s="764">
        <v>4309</v>
      </c>
      <c r="B1527" s="934" t="s">
        <v>236</v>
      </c>
      <c r="C1527" s="720">
        <v>18024</v>
      </c>
      <c r="D1527" s="698">
        <f t="shared" si="189"/>
        <v>25786</v>
      </c>
      <c r="E1527" s="698">
        <f t="shared" si="192"/>
        <v>16911</v>
      </c>
      <c r="F1527" s="744">
        <f t="shared" si="186"/>
        <v>65.58209881330956</v>
      </c>
      <c r="G1527" s="720">
        <f>18024+419+5830+1513</f>
        <v>25786</v>
      </c>
      <c r="H1527" s="698">
        <v>16911</v>
      </c>
      <c r="I1527" s="990">
        <f t="shared" si="193"/>
        <v>65.58209881330956</v>
      </c>
      <c r="J1527" s="778"/>
      <c r="K1527" s="777"/>
      <c r="L1527" s="779"/>
      <c r="M1527" s="698"/>
      <c r="N1527" s="879"/>
      <c r="O1527" s="702"/>
      <c r="P1527" s="778"/>
      <c r="Q1527" s="777"/>
      <c r="R1527" s="747"/>
      <c r="S1527" s="682"/>
      <c r="T1527" s="682"/>
    </row>
    <row r="1528" spans="1:20" s="756" customFormat="1" ht="24">
      <c r="A1528" s="764">
        <v>4358</v>
      </c>
      <c r="B1528" s="934" t="s">
        <v>544</v>
      </c>
      <c r="C1528" s="720">
        <v>2125</v>
      </c>
      <c r="D1528" s="698">
        <f t="shared" si="189"/>
        <v>0</v>
      </c>
      <c r="E1528" s="698">
        <f>SUM(H1528+K1528+N1528+Q1528)</f>
        <v>0</v>
      </c>
      <c r="F1528" s="744"/>
      <c r="G1528" s="720">
        <f>2125-2125</f>
        <v>0</v>
      </c>
      <c r="H1528" s="698"/>
      <c r="I1528" s="990"/>
      <c r="J1528" s="778"/>
      <c r="K1528" s="777"/>
      <c r="L1528" s="779"/>
      <c r="M1528" s="698"/>
      <c r="N1528" s="879"/>
      <c r="O1528" s="702"/>
      <c r="P1528" s="778"/>
      <c r="Q1528" s="777"/>
      <c r="R1528" s="747"/>
      <c r="S1528" s="682"/>
      <c r="T1528" s="682"/>
    </row>
    <row r="1529" spans="1:20" s="756" customFormat="1" ht="24">
      <c r="A1529" s="764">
        <v>4359</v>
      </c>
      <c r="B1529" s="934" t="s">
        <v>544</v>
      </c>
      <c r="C1529" s="720">
        <v>125</v>
      </c>
      <c r="D1529" s="698">
        <f t="shared" si="189"/>
        <v>0</v>
      </c>
      <c r="E1529" s="698">
        <f>SUM(H1529+K1529+N1529+Q1529)</f>
        <v>0</v>
      </c>
      <c r="F1529" s="744"/>
      <c r="G1529" s="720">
        <f>125-125</f>
        <v>0</v>
      </c>
      <c r="H1529" s="698"/>
      <c r="I1529" s="990"/>
      <c r="J1529" s="778"/>
      <c r="K1529" s="777"/>
      <c r="L1529" s="779"/>
      <c r="M1529" s="698"/>
      <c r="N1529" s="879"/>
      <c r="O1529" s="702"/>
      <c r="P1529" s="778"/>
      <c r="Q1529" s="777"/>
      <c r="R1529" s="747"/>
      <c r="S1529" s="682"/>
      <c r="T1529" s="682"/>
    </row>
    <row r="1530" spans="1:20" s="756" customFormat="1" ht="36.75" customHeight="1">
      <c r="A1530" s="764">
        <v>4368</v>
      </c>
      <c r="B1530" s="828" t="s">
        <v>545</v>
      </c>
      <c r="C1530" s="720">
        <v>2361</v>
      </c>
      <c r="D1530" s="698">
        <f t="shared" si="189"/>
        <v>0</v>
      </c>
      <c r="E1530" s="698">
        <f t="shared" si="192"/>
        <v>0</v>
      </c>
      <c r="F1530" s="744"/>
      <c r="G1530" s="720">
        <f>2361-2361</f>
        <v>0</v>
      </c>
      <c r="H1530" s="698"/>
      <c r="I1530" s="990"/>
      <c r="J1530" s="778"/>
      <c r="K1530" s="777"/>
      <c r="L1530" s="779"/>
      <c r="M1530" s="698"/>
      <c r="N1530" s="879"/>
      <c r="O1530" s="702"/>
      <c r="P1530" s="778"/>
      <c r="Q1530" s="777"/>
      <c r="R1530" s="747"/>
      <c r="S1530" s="682"/>
      <c r="T1530" s="682"/>
    </row>
    <row r="1531" spans="1:20" s="756" customFormat="1" ht="39.75" customHeight="1">
      <c r="A1531" s="764">
        <v>4369</v>
      </c>
      <c r="B1531" s="828" t="s">
        <v>545</v>
      </c>
      <c r="C1531" s="720">
        <v>139</v>
      </c>
      <c r="D1531" s="698">
        <f t="shared" si="189"/>
        <v>0</v>
      </c>
      <c r="E1531" s="698">
        <f t="shared" si="192"/>
        <v>0</v>
      </c>
      <c r="F1531" s="744"/>
      <c r="G1531" s="720">
        <f>139-139</f>
        <v>0</v>
      </c>
      <c r="H1531" s="698"/>
      <c r="I1531" s="990"/>
      <c r="J1531" s="778"/>
      <c r="K1531" s="777"/>
      <c r="L1531" s="779"/>
      <c r="M1531" s="698"/>
      <c r="N1531" s="879"/>
      <c r="O1531" s="702"/>
      <c r="P1531" s="778"/>
      <c r="Q1531" s="777"/>
      <c r="R1531" s="747"/>
      <c r="S1531" s="682"/>
      <c r="T1531" s="682"/>
    </row>
    <row r="1532" spans="1:20" s="756" customFormat="1" ht="39" customHeight="1">
      <c r="A1532" s="764">
        <v>4378</v>
      </c>
      <c r="B1532" s="828" t="s">
        <v>635</v>
      </c>
      <c r="C1532" s="720">
        <v>1889</v>
      </c>
      <c r="D1532" s="698">
        <f t="shared" si="189"/>
        <v>0</v>
      </c>
      <c r="E1532" s="698">
        <f t="shared" si="192"/>
        <v>0</v>
      </c>
      <c r="F1532" s="744"/>
      <c r="G1532" s="720">
        <f>1889-1889</f>
        <v>0</v>
      </c>
      <c r="H1532" s="698"/>
      <c r="I1532" s="990"/>
      <c r="J1532" s="778"/>
      <c r="K1532" s="777"/>
      <c r="L1532" s="779"/>
      <c r="M1532" s="698"/>
      <c r="N1532" s="879"/>
      <c r="O1532" s="702"/>
      <c r="P1532" s="778"/>
      <c r="Q1532" s="777"/>
      <c r="R1532" s="747"/>
      <c r="S1532" s="682"/>
      <c r="T1532" s="682"/>
    </row>
    <row r="1533" spans="1:20" s="756" customFormat="1" ht="37.5" customHeight="1">
      <c r="A1533" s="764">
        <v>4379</v>
      </c>
      <c r="B1533" s="828" t="s">
        <v>635</v>
      </c>
      <c r="C1533" s="720">
        <v>111</v>
      </c>
      <c r="D1533" s="698">
        <f t="shared" si="189"/>
        <v>0</v>
      </c>
      <c r="E1533" s="698">
        <f t="shared" si="192"/>
        <v>0</v>
      </c>
      <c r="F1533" s="744"/>
      <c r="G1533" s="720">
        <f>111-111</f>
        <v>0</v>
      </c>
      <c r="H1533" s="698"/>
      <c r="I1533" s="990"/>
      <c r="J1533" s="778"/>
      <c r="K1533" s="777"/>
      <c r="L1533" s="779"/>
      <c r="M1533" s="698"/>
      <c r="N1533" s="879"/>
      <c r="O1533" s="702"/>
      <c r="P1533" s="778"/>
      <c r="Q1533" s="777"/>
      <c r="R1533" s="747"/>
      <c r="S1533" s="682"/>
      <c r="T1533" s="682"/>
    </row>
    <row r="1534" spans="1:20" s="756" customFormat="1" ht="14.25" customHeight="1">
      <c r="A1534" s="764">
        <v>4418</v>
      </c>
      <c r="B1534" s="828" t="s">
        <v>193</v>
      </c>
      <c r="C1534" s="720">
        <v>8500</v>
      </c>
      <c r="D1534" s="698">
        <f t="shared" si="189"/>
        <v>0</v>
      </c>
      <c r="E1534" s="698">
        <f t="shared" si="192"/>
        <v>0</v>
      </c>
      <c r="F1534" s="744"/>
      <c r="G1534" s="720">
        <f>8500-8500</f>
        <v>0</v>
      </c>
      <c r="H1534" s="698"/>
      <c r="I1534" s="990"/>
      <c r="J1534" s="778"/>
      <c r="K1534" s="777"/>
      <c r="L1534" s="779"/>
      <c r="M1534" s="698"/>
      <c r="N1534" s="879"/>
      <c r="O1534" s="702"/>
      <c r="P1534" s="778"/>
      <c r="Q1534" s="777"/>
      <c r="R1534" s="747"/>
      <c r="S1534" s="682"/>
      <c r="T1534" s="682"/>
    </row>
    <row r="1535" spans="1:20" s="756" customFormat="1" ht="15.75" customHeight="1">
      <c r="A1535" s="764">
        <v>4419</v>
      </c>
      <c r="B1535" s="828" t="s">
        <v>193</v>
      </c>
      <c r="C1535" s="720">
        <v>500</v>
      </c>
      <c r="D1535" s="698">
        <f t="shared" si="189"/>
        <v>0</v>
      </c>
      <c r="E1535" s="698">
        <f t="shared" si="192"/>
        <v>0</v>
      </c>
      <c r="F1535" s="744"/>
      <c r="G1535" s="720">
        <f>500-500</f>
        <v>0</v>
      </c>
      <c r="H1535" s="698"/>
      <c r="I1535" s="990"/>
      <c r="J1535" s="778"/>
      <c r="K1535" s="777"/>
      <c r="L1535" s="779"/>
      <c r="M1535" s="698"/>
      <c r="N1535" s="879"/>
      <c r="O1535" s="702"/>
      <c r="P1535" s="778"/>
      <c r="Q1535" s="777"/>
      <c r="R1535" s="747"/>
      <c r="S1535" s="682"/>
      <c r="T1535" s="682"/>
    </row>
    <row r="1536" spans="1:20" s="756" customFormat="1" ht="12.75">
      <c r="A1536" s="764">
        <v>4438</v>
      </c>
      <c r="B1536" s="828" t="s">
        <v>221</v>
      </c>
      <c r="C1536" s="720">
        <v>6139</v>
      </c>
      <c r="D1536" s="698">
        <f t="shared" si="189"/>
        <v>2927</v>
      </c>
      <c r="E1536" s="698">
        <f t="shared" si="192"/>
        <v>1011</v>
      </c>
      <c r="F1536" s="744">
        <f aca="true" t="shared" si="194" ref="F1536:F1542">E1536/D1536*100</f>
        <v>34.540485138366925</v>
      </c>
      <c r="G1536" s="720">
        <f>6139+1511-4723</f>
        <v>2927</v>
      </c>
      <c r="H1536" s="698">
        <v>1011</v>
      </c>
      <c r="I1536" s="990">
        <f t="shared" si="193"/>
        <v>34.540485138366925</v>
      </c>
      <c r="J1536" s="778"/>
      <c r="K1536" s="777"/>
      <c r="L1536" s="779"/>
      <c r="M1536" s="698"/>
      <c r="N1536" s="879"/>
      <c r="O1536" s="702"/>
      <c r="P1536" s="778"/>
      <c r="Q1536" s="777"/>
      <c r="R1536" s="747"/>
      <c r="S1536" s="682"/>
      <c r="T1536" s="682"/>
    </row>
    <row r="1537" spans="1:20" s="756" customFormat="1" ht="12.75">
      <c r="A1537" s="764">
        <v>4439</v>
      </c>
      <c r="B1537" s="828" t="s">
        <v>221</v>
      </c>
      <c r="C1537" s="720">
        <v>361</v>
      </c>
      <c r="D1537" s="698">
        <f t="shared" si="189"/>
        <v>173</v>
      </c>
      <c r="E1537" s="698">
        <f t="shared" si="192"/>
        <v>60</v>
      </c>
      <c r="F1537" s="744">
        <f t="shared" si="194"/>
        <v>34.68208092485549</v>
      </c>
      <c r="G1537" s="720">
        <f>361+89-277</f>
        <v>173</v>
      </c>
      <c r="H1537" s="698">
        <f>60-1+1</f>
        <v>60</v>
      </c>
      <c r="I1537" s="990">
        <f t="shared" si="193"/>
        <v>34.68208092485549</v>
      </c>
      <c r="J1537" s="778"/>
      <c r="K1537" s="777"/>
      <c r="L1537" s="779"/>
      <c r="M1537" s="698"/>
      <c r="N1537" s="879"/>
      <c r="O1537" s="702"/>
      <c r="P1537" s="778"/>
      <c r="Q1537" s="777"/>
      <c r="R1537" s="747"/>
      <c r="S1537" s="682"/>
      <c r="T1537" s="682"/>
    </row>
    <row r="1538" spans="1:20" s="756" customFormat="1" ht="12.75">
      <c r="A1538" s="764">
        <v>4448</v>
      </c>
      <c r="B1538" s="828" t="s">
        <v>223</v>
      </c>
      <c r="C1538" s="720"/>
      <c r="D1538" s="698">
        <f>G1538+J1538+P1538+M1538</f>
        <v>5667</v>
      </c>
      <c r="E1538" s="698">
        <f>SUM(H1538+K1538+N1538+Q1538)</f>
        <v>5666</v>
      </c>
      <c r="F1538" s="744">
        <f t="shared" si="194"/>
        <v>99.9823539791777</v>
      </c>
      <c r="G1538" s="720">
        <v>5667</v>
      </c>
      <c r="H1538" s="698">
        <v>5666</v>
      </c>
      <c r="I1538" s="990">
        <f t="shared" si="193"/>
        <v>99.9823539791777</v>
      </c>
      <c r="J1538" s="778"/>
      <c r="K1538" s="777"/>
      <c r="L1538" s="779"/>
      <c r="M1538" s="698"/>
      <c r="N1538" s="879"/>
      <c r="O1538" s="702"/>
      <c r="P1538" s="778"/>
      <c r="Q1538" s="777"/>
      <c r="R1538" s="747"/>
      <c r="S1538" s="682"/>
      <c r="T1538" s="682"/>
    </row>
    <row r="1539" spans="1:20" s="756" customFormat="1" ht="12.75">
      <c r="A1539" s="764">
        <v>4449</v>
      </c>
      <c r="B1539" s="828" t="s">
        <v>223</v>
      </c>
      <c r="C1539" s="720"/>
      <c r="D1539" s="698">
        <f>G1539+J1539+P1539+M1539</f>
        <v>334</v>
      </c>
      <c r="E1539" s="698">
        <f>SUM(H1539+K1539+N1539+Q1539)</f>
        <v>334</v>
      </c>
      <c r="F1539" s="744">
        <f t="shared" si="194"/>
        <v>100</v>
      </c>
      <c r="G1539" s="720">
        <v>334</v>
      </c>
      <c r="H1539" s="698">
        <v>334</v>
      </c>
      <c r="I1539" s="990">
        <f t="shared" si="193"/>
        <v>100</v>
      </c>
      <c r="J1539" s="778"/>
      <c r="K1539" s="777"/>
      <c r="L1539" s="779"/>
      <c r="M1539" s="698"/>
      <c r="N1539" s="879"/>
      <c r="O1539" s="702"/>
      <c r="P1539" s="778"/>
      <c r="Q1539" s="777"/>
      <c r="R1539" s="747"/>
      <c r="S1539" s="682"/>
      <c r="T1539" s="682"/>
    </row>
    <row r="1540" spans="1:20" s="756" customFormat="1" ht="48" customHeight="1">
      <c r="A1540" s="764">
        <v>4748</v>
      </c>
      <c r="B1540" s="828" t="s">
        <v>235</v>
      </c>
      <c r="C1540" s="720">
        <v>18888</v>
      </c>
      <c r="D1540" s="698">
        <f t="shared" si="189"/>
        <v>1338</v>
      </c>
      <c r="E1540" s="698">
        <f t="shared" si="192"/>
        <v>991</v>
      </c>
      <c r="F1540" s="744">
        <f t="shared" si="194"/>
        <v>74.06576980568012</v>
      </c>
      <c r="G1540" s="720">
        <f>18888-18117+567</f>
        <v>1338</v>
      </c>
      <c r="H1540" s="698">
        <v>991</v>
      </c>
      <c r="I1540" s="990">
        <f t="shared" si="193"/>
        <v>74.06576980568012</v>
      </c>
      <c r="J1540" s="778"/>
      <c r="K1540" s="777"/>
      <c r="L1540" s="779"/>
      <c r="M1540" s="698"/>
      <c r="N1540" s="879"/>
      <c r="O1540" s="702"/>
      <c r="P1540" s="778"/>
      <c r="Q1540" s="777"/>
      <c r="R1540" s="747"/>
      <c r="S1540" s="682"/>
      <c r="T1540" s="682"/>
    </row>
    <row r="1541" spans="1:20" s="756" customFormat="1" ht="49.5" customHeight="1">
      <c r="A1541" s="764">
        <v>4749</v>
      </c>
      <c r="B1541" s="828" t="s">
        <v>235</v>
      </c>
      <c r="C1541" s="720">
        <v>1112</v>
      </c>
      <c r="D1541" s="698">
        <f t="shared" si="189"/>
        <v>78</v>
      </c>
      <c r="E1541" s="698">
        <f t="shared" si="192"/>
        <v>58</v>
      </c>
      <c r="F1541" s="744">
        <f t="shared" si="194"/>
        <v>74.35897435897436</v>
      </c>
      <c r="G1541" s="720">
        <f>1112-1067+33</f>
        <v>78</v>
      </c>
      <c r="H1541" s="698">
        <v>58</v>
      </c>
      <c r="I1541" s="990">
        <f t="shared" si="193"/>
        <v>74.35897435897436</v>
      </c>
      <c r="J1541" s="778"/>
      <c r="K1541" s="777"/>
      <c r="L1541" s="779"/>
      <c r="M1541" s="698"/>
      <c r="N1541" s="879"/>
      <c r="O1541" s="702"/>
      <c r="P1541" s="778"/>
      <c r="Q1541" s="777"/>
      <c r="R1541" s="747"/>
      <c r="S1541" s="682"/>
      <c r="T1541" s="682"/>
    </row>
    <row r="1542" spans="1:20" s="756" customFormat="1" ht="36">
      <c r="A1542" s="764">
        <v>4758</v>
      </c>
      <c r="B1542" s="828" t="s">
        <v>551</v>
      </c>
      <c r="C1542" s="720">
        <v>12636</v>
      </c>
      <c r="D1542" s="698">
        <f t="shared" si="189"/>
        <v>12666</v>
      </c>
      <c r="E1542" s="698">
        <f t="shared" si="192"/>
        <v>10556</v>
      </c>
      <c r="F1542" s="744">
        <f t="shared" si="194"/>
        <v>83.34122848570978</v>
      </c>
      <c r="G1542" s="720">
        <f>12636-1859+1889</f>
        <v>12666</v>
      </c>
      <c r="H1542" s="698">
        <v>10556</v>
      </c>
      <c r="I1542" s="990">
        <f t="shared" si="193"/>
        <v>83.34122848570978</v>
      </c>
      <c r="J1542" s="778"/>
      <c r="K1542" s="777"/>
      <c r="L1542" s="779"/>
      <c r="M1542" s="698"/>
      <c r="N1542" s="879"/>
      <c r="O1542" s="702"/>
      <c r="P1542" s="778"/>
      <c r="Q1542" s="777"/>
      <c r="R1542" s="747"/>
      <c r="S1542" s="682"/>
      <c r="T1542" s="682"/>
    </row>
    <row r="1543" spans="1:20" s="756" customFormat="1" ht="24" hidden="1">
      <c r="A1543" s="764">
        <v>4990</v>
      </c>
      <c r="B1543" s="828" t="s">
        <v>827</v>
      </c>
      <c r="C1543" s="720"/>
      <c r="D1543" s="698"/>
      <c r="E1543" s="698">
        <f>SUM(H1543+K1543+N1543+Q1543)</f>
        <v>0</v>
      </c>
      <c r="F1543" s="744"/>
      <c r="G1543" s="720"/>
      <c r="H1543" s="698"/>
      <c r="I1543" s="990"/>
      <c r="J1543" s="778"/>
      <c r="K1543" s="777"/>
      <c r="L1543" s="779"/>
      <c r="M1543" s="698"/>
      <c r="N1543" s="879"/>
      <c r="O1543" s="702"/>
      <c r="P1543" s="778"/>
      <c r="Q1543" s="777"/>
      <c r="R1543" s="747"/>
      <c r="S1543" s="682"/>
      <c r="T1543" s="682"/>
    </row>
    <row r="1544" spans="1:20" s="756" customFormat="1" ht="36">
      <c r="A1544" s="764">
        <v>4759</v>
      </c>
      <c r="B1544" s="828" t="s">
        <v>551</v>
      </c>
      <c r="C1544" s="720">
        <v>744</v>
      </c>
      <c r="D1544" s="698">
        <f t="shared" si="189"/>
        <v>746</v>
      </c>
      <c r="E1544" s="698">
        <f t="shared" si="192"/>
        <v>621</v>
      </c>
      <c r="F1544" s="744">
        <f aca="true" t="shared" si="195" ref="F1544:F1580">E1544/D1544*100</f>
        <v>83.24396782841823</v>
      </c>
      <c r="G1544" s="720">
        <f>744-109+111</f>
        <v>746</v>
      </c>
      <c r="H1544" s="698">
        <v>621</v>
      </c>
      <c r="I1544" s="990">
        <f t="shared" si="193"/>
        <v>83.24396782841823</v>
      </c>
      <c r="J1544" s="703"/>
      <c r="K1544" s="698"/>
      <c r="L1544" s="704"/>
      <c r="M1544" s="698"/>
      <c r="N1544" s="879"/>
      <c r="O1544" s="702"/>
      <c r="P1544" s="703"/>
      <c r="Q1544" s="698"/>
      <c r="R1544" s="699"/>
      <c r="S1544" s="682"/>
      <c r="T1544" s="682"/>
    </row>
    <row r="1545" spans="1:20" s="756" customFormat="1" ht="60">
      <c r="A1545" s="774"/>
      <c r="B1545" s="1023" t="s">
        <v>474</v>
      </c>
      <c r="C1545" s="776"/>
      <c r="D1545" s="777">
        <f t="shared" si="189"/>
        <v>48824</v>
      </c>
      <c r="E1545" s="777">
        <f t="shared" si="192"/>
        <v>21252</v>
      </c>
      <c r="F1545" s="967">
        <f t="shared" si="195"/>
        <v>43.52777322628216</v>
      </c>
      <c r="G1545" s="776">
        <f>SUM(G1546:G1553)</f>
        <v>48824</v>
      </c>
      <c r="H1545" s="777">
        <f>SUM(H1546:H1553)</f>
        <v>21252</v>
      </c>
      <c r="I1545" s="699">
        <f t="shared" si="193"/>
        <v>43.52777322628216</v>
      </c>
      <c r="J1545" s="778"/>
      <c r="K1545" s="777"/>
      <c r="L1545" s="779"/>
      <c r="M1545" s="778"/>
      <c r="N1545" s="777"/>
      <c r="O1545" s="972"/>
      <c r="P1545" s="777"/>
      <c r="Q1545" s="777"/>
      <c r="R1545" s="972"/>
      <c r="S1545" s="682"/>
      <c r="T1545" s="682"/>
    </row>
    <row r="1546" spans="1:20" s="756" customFormat="1" ht="24">
      <c r="A1546" s="764">
        <v>4178</v>
      </c>
      <c r="B1546" s="934" t="s">
        <v>242</v>
      </c>
      <c r="C1546" s="720"/>
      <c r="D1546" s="698">
        <f t="shared" si="189"/>
        <v>16898</v>
      </c>
      <c r="E1546" s="698">
        <f t="shared" si="192"/>
        <v>0</v>
      </c>
      <c r="F1546" s="967">
        <f t="shared" si="195"/>
        <v>0</v>
      </c>
      <c r="G1546" s="720">
        <v>16898</v>
      </c>
      <c r="H1546" s="698"/>
      <c r="I1546" s="699">
        <f t="shared" si="193"/>
        <v>0</v>
      </c>
      <c r="J1546" s="703"/>
      <c r="K1546" s="698"/>
      <c r="L1546" s="704"/>
      <c r="M1546" s="703"/>
      <c r="N1546" s="698"/>
      <c r="O1546" s="972"/>
      <c r="P1546" s="698"/>
      <c r="Q1546" s="698"/>
      <c r="R1546" s="746"/>
      <c r="S1546" s="682"/>
      <c r="T1546" s="682"/>
    </row>
    <row r="1547" spans="1:20" s="756" customFormat="1" ht="24">
      <c r="A1547" s="764">
        <v>4179</v>
      </c>
      <c r="B1547" s="934" t="s">
        <v>242</v>
      </c>
      <c r="C1547" s="720"/>
      <c r="D1547" s="698">
        <f t="shared" si="189"/>
        <v>2982</v>
      </c>
      <c r="E1547" s="698">
        <f t="shared" si="192"/>
        <v>0</v>
      </c>
      <c r="F1547" s="967">
        <f t="shared" si="195"/>
        <v>0</v>
      </c>
      <c r="G1547" s="720">
        <v>2982</v>
      </c>
      <c r="H1547" s="698"/>
      <c r="I1547" s="699">
        <f t="shared" si="193"/>
        <v>0</v>
      </c>
      <c r="J1547" s="703"/>
      <c r="K1547" s="698"/>
      <c r="L1547" s="704"/>
      <c r="M1547" s="703"/>
      <c r="N1547" s="698"/>
      <c r="O1547" s="972"/>
      <c r="P1547" s="698"/>
      <c r="Q1547" s="698"/>
      <c r="R1547" s="746"/>
      <c r="S1547" s="682"/>
      <c r="T1547" s="682"/>
    </row>
    <row r="1548" spans="1:20" s="756" customFormat="1" ht="24">
      <c r="A1548" s="764">
        <v>4218</v>
      </c>
      <c r="B1548" s="934" t="s">
        <v>211</v>
      </c>
      <c r="C1548" s="720"/>
      <c r="D1548" s="698">
        <f t="shared" si="189"/>
        <v>10625</v>
      </c>
      <c r="E1548" s="698">
        <f t="shared" si="192"/>
        <v>6134</v>
      </c>
      <c r="F1548" s="967">
        <f t="shared" si="195"/>
        <v>57.73176470588235</v>
      </c>
      <c r="G1548" s="720">
        <v>10625</v>
      </c>
      <c r="H1548" s="698">
        <v>6134</v>
      </c>
      <c r="I1548" s="699">
        <f t="shared" si="193"/>
        <v>57.73176470588235</v>
      </c>
      <c r="J1548" s="703"/>
      <c r="K1548" s="698"/>
      <c r="L1548" s="704"/>
      <c r="M1548" s="703"/>
      <c r="N1548" s="698"/>
      <c r="O1548" s="972"/>
      <c r="P1548" s="698"/>
      <c r="Q1548" s="698"/>
      <c r="R1548" s="746"/>
      <c r="S1548" s="682"/>
      <c r="T1548" s="682"/>
    </row>
    <row r="1549" spans="1:20" s="756" customFormat="1" ht="24">
      <c r="A1549" s="764">
        <v>4219</v>
      </c>
      <c r="B1549" s="934" t="s">
        <v>211</v>
      </c>
      <c r="C1549" s="720"/>
      <c r="D1549" s="698">
        <f t="shared" si="189"/>
        <v>1875</v>
      </c>
      <c r="E1549" s="698">
        <f t="shared" si="192"/>
        <v>1082</v>
      </c>
      <c r="F1549" s="967">
        <f t="shared" si="195"/>
        <v>57.70666666666666</v>
      </c>
      <c r="G1549" s="720">
        <v>1875</v>
      </c>
      <c r="H1549" s="698">
        <f>1083-1</f>
        <v>1082</v>
      </c>
      <c r="I1549" s="699">
        <f t="shared" si="193"/>
        <v>57.70666666666666</v>
      </c>
      <c r="J1549" s="703"/>
      <c r="K1549" s="698"/>
      <c r="L1549" s="704"/>
      <c r="M1549" s="703"/>
      <c r="N1549" s="698"/>
      <c r="O1549" s="972"/>
      <c r="P1549" s="698"/>
      <c r="Q1549" s="698"/>
      <c r="R1549" s="746"/>
      <c r="S1549" s="682"/>
      <c r="T1549" s="682"/>
    </row>
    <row r="1550" spans="1:20" s="756" customFormat="1" ht="27" customHeight="1">
      <c r="A1550" s="764">
        <v>4248</v>
      </c>
      <c r="B1550" s="768" t="s">
        <v>572</v>
      </c>
      <c r="C1550" s="720"/>
      <c r="D1550" s="698">
        <f t="shared" si="189"/>
        <v>12277</v>
      </c>
      <c r="E1550" s="698">
        <f t="shared" si="192"/>
        <v>10748</v>
      </c>
      <c r="F1550" s="967">
        <f t="shared" si="195"/>
        <v>87.5458173820966</v>
      </c>
      <c r="G1550" s="720">
        <v>12277</v>
      </c>
      <c r="H1550" s="698">
        <v>10748</v>
      </c>
      <c r="I1550" s="699">
        <f t="shared" si="193"/>
        <v>87.5458173820966</v>
      </c>
      <c r="J1550" s="703"/>
      <c r="K1550" s="698"/>
      <c r="L1550" s="704"/>
      <c r="M1550" s="703"/>
      <c r="N1550" s="698"/>
      <c r="O1550" s="972"/>
      <c r="P1550" s="698"/>
      <c r="Q1550" s="698"/>
      <c r="R1550" s="746"/>
      <c r="S1550" s="682"/>
      <c r="T1550" s="682"/>
    </row>
    <row r="1551" spans="1:20" s="756" customFormat="1" ht="26.25" customHeight="1">
      <c r="A1551" s="764">
        <v>4249</v>
      </c>
      <c r="B1551" s="768" t="s">
        <v>572</v>
      </c>
      <c r="C1551" s="720"/>
      <c r="D1551" s="698">
        <f t="shared" si="189"/>
        <v>2167</v>
      </c>
      <c r="E1551" s="698">
        <f t="shared" si="192"/>
        <v>1897</v>
      </c>
      <c r="F1551" s="967">
        <f t="shared" si="195"/>
        <v>87.54037840332256</v>
      </c>
      <c r="G1551" s="720">
        <v>2167</v>
      </c>
      <c r="H1551" s="698">
        <v>1897</v>
      </c>
      <c r="I1551" s="699">
        <f t="shared" si="193"/>
        <v>87.54037840332256</v>
      </c>
      <c r="J1551" s="703"/>
      <c r="K1551" s="698"/>
      <c r="L1551" s="704"/>
      <c r="M1551" s="703"/>
      <c r="N1551" s="698"/>
      <c r="O1551" s="972"/>
      <c r="P1551" s="698"/>
      <c r="Q1551" s="698"/>
      <c r="R1551" s="746"/>
      <c r="S1551" s="682"/>
      <c r="T1551" s="682"/>
    </row>
    <row r="1552" spans="1:20" s="756" customFormat="1" ht="16.5" customHeight="1">
      <c r="A1552" s="764">
        <v>4308</v>
      </c>
      <c r="B1552" s="934" t="s">
        <v>543</v>
      </c>
      <c r="C1552" s="720"/>
      <c r="D1552" s="698">
        <f t="shared" si="189"/>
        <v>1700</v>
      </c>
      <c r="E1552" s="698">
        <f t="shared" si="192"/>
        <v>1182</v>
      </c>
      <c r="F1552" s="967">
        <f t="shared" si="195"/>
        <v>69.52941176470588</v>
      </c>
      <c r="G1552" s="720">
        <v>1700</v>
      </c>
      <c r="H1552" s="698">
        <v>1182</v>
      </c>
      <c r="I1552" s="699">
        <f t="shared" si="193"/>
        <v>69.52941176470588</v>
      </c>
      <c r="J1552" s="703"/>
      <c r="K1552" s="698"/>
      <c r="L1552" s="704"/>
      <c r="M1552" s="703"/>
      <c r="N1552" s="698"/>
      <c r="O1552" s="972"/>
      <c r="P1552" s="698"/>
      <c r="Q1552" s="698"/>
      <c r="R1552" s="746"/>
      <c r="S1552" s="682"/>
      <c r="T1552" s="682"/>
    </row>
    <row r="1553" spans="1:20" s="756" customFormat="1" ht="15" customHeight="1">
      <c r="A1553" s="764">
        <v>4309</v>
      </c>
      <c r="B1553" s="934" t="s">
        <v>543</v>
      </c>
      <c r="C1553" s="720"/>
      <c r="D1553" s="698">
        <f t="shared" si="189"/>
        <v>300</v>
      </c>
      <c r="E1553" s="698">
        <f t="shared" si="192"/>
        <v>209</v>
      </c>
      <c r="F1553" s="967">
        <f t="shared" si="195"/>
        <v>69.66666666666667</v>
      </c>
      <c r="G1553" s="720">
        <v>300</v>
      </c>
      <c r="H1553" s="698">
        <v>209</v>
      </c>
      <c r="I1553" s="699">
        <f t="shared" si="193"/>
        <v>69.66666666666667</v>
      </c>
      <c r="J1553" s="703"/>
      <c r="K1553" s="698"/>
      <c r="L1553" s="704"/>
      <c r="M1553" s="703"/>
      <c r="N1553" s="698"/>
      <c r="O1553" s="972"/>
      <c r="P1553" s="698"/>
      <c r="Q1553" s="698"/>
      <c r="R1553" s="746"/>
      <c r="S1553" s="682"/>
      <c r="T1553" s="682"/>
    </row>
    <row r="1554" spans="1:20" s="862" customFormat="1" ht="25.5">
      <c r="A1554" s="855"/>
      <c r="B1554" s="930" t="s">
        <v>334</v>
      </c>
      <c r="C1554" s="857">
        <f>SUM(C1576:C1583)</f>
        <v>462533</v>
      </c>
      <c r="D1554" s="858">
        <f t="shared" si="189"/>
        <v>611982</v>
      </c>
      <c r="E1554" s="858">
        <f t="shared" si="192"/>
        <v>566594</v>
      </c>
      <c r="F1554" s="971">
        <f t="shared" si="195"/>
        <v>92.58344199666003</v>
      </c>
      <c r="G1554" s="1035"/>
      <c r="H1554" s="858"/>
      <c r="I1554" s="1033"/>
      <c r="J1554" s="859"/>
      <c r="K1554" s="858"/>
      <c r="L1554" s="779"/>
      <c r="M1554" s="1035">
        <f>SUM(M1555:M1583)</f>
        <v>611982</v>
      </c>
      <c r="N1554" s="858">
        <f>SUM(N1555:N1583)</f>
        <v>566594</v>
      </c>
      <c r="O1554" s="990">
        <f aca="true" t="shared" si="196" ref="O1554:O1617">N1554/M1554*100</f>
        <v>92.58344199666003</v>
      </c>
      <c r="P1554" s="859"/>
      <c r="Q1554" s="858"/>
      <c r="R1554" s="747"/>
      <c r="S1554" s="861"/>
      <c r="T1554" s="861"/>
    </row>
    <row r="1555" spans="1:18" ht="109.5" customHeight="1">
      <c r="A1555" s="764">
        <v>2338</v>
      </c>
      <c r="B1555" s="1036" t="s">
        <v>335</v>
      </c>
      <c r="C1555" s="720"/>
      <c r="D1555" s="698">
        <f t="shared" si="189"/>
        <v>12369</v>
      </c>
      <c r="E1555" s="698">
        <f t="shared" si="192"/>
        <v>11996</v>
      </c>
      <c r="F1555" s="966">
        <f t="shared" si="195"/>
        <v>96.98439647505862</v>
      </c>
      <c r="G1555" s="810"/>
      <c r="H1555" s="698"/>
      <c r="I1555" s="990"/>
      <c r="J1555" s="703"/>
      <c r="K1555" s="698"/>
      <c r="L1555" s="766"/>
      <c r="M1555" s="810">
        <f>9578+2791</f>
        <v>12369</v>
      </c>
      <c r="N1555" s="698">
        <f>11991+5</f>
        <v>11996</v>
      </c>
      <c r="O1555" s="990">
        <f t="shared" si="196"/>
        <v>96.98439647505862</v>
      </c>
      <c r="P1555" s="703"/>
      <c r="Q1555" s="698"/>
      <c r="R1555" s="863"/>
    </row>
    <row r="1556" spans="1:18" ht="105.75" customHeight="1">
      <c r="A1556" s="764">
        <v>2339</v>
      </c>
      <c r="B1556" s="1036" t="s">
        <v>335</v>
      </c>
      <c r="C1556" s="720"/>
      <c r="D1556" s="698">
        <f t="shared" si="189"/>
        <v>166</v>
      </c>
      <c r="E1556" s="698">
        <f t="shared" si="192"/>
        <v>161</v>
      </c>
      <c r="F1556" s="966">
        <f t="shared" si="195"/>
        <v>96.98795180722891</v>
      </c>
      <c r="G1556" s="810"/>
      <c r="H1556" s="698"/>
      <c r="I1556" s="990"/>
      <c r="J1556" s="703"/>
      <c r="K1556" s="698"/>
      <c r="L1556" s="766"/>
      <c r="M1556" s="810">
        <f>129+37</f>
        <v>166</v>
      </c>
      <c r="N1556" s="698">
        <f>166-5</f>
        <v>161</v>
      </c>
      <c r="O1556" s="990">
        <f t="shared" si="196"/>
        <v>96.98795180722891</v>
      </c>
      <c r="P1556" s="703"/>
      <c r="Q1556" s="698"/>
      <c r="R1556" s="863"/>
    </row>
    <row r="1557" spans="1:18" ht="114.75">
      <c r="A1557" s="764">
        <v>2678</v>
      </c>
      <c r="B1557" s="1036" t="s">
        <v>336</v>
      </c>
      <c r="C1557" s="720"/>
      <c r="D1557" s="698">
        <f t="shared" si="189"/>
        <v>5329</v>
      </c>
      <c r="E1557" s="698">
        <f t="shared" si="192"/>
        <v>5328</v>
      </c>
      <c r="F1557" s="966">
        <f t="shared" si="195"/>
        <v>99.981234753237</v>
      </c>
      <c r="G1557" s="810"/>
      <c r="H1557" s="698"/>
      <c r="I1557" s="990"/>
      <c r="J1557" s="703"/>
      <c r="K1557" s="698"/>
      <c r="L1557" s="766"/>
      <c r="M1557" s="810">
        <f>3494+1835</f>
        <v>5329</v>
      </c>
      <c r="N1557" s="698">
        <f>5329-1</f>
        <v>5328</v>
      </c>
      <c r="O1557" s="990">
        <f t="shared" si="196"/>
        <v>99.981234753237</v>
      </c>
      <c r="P1557" s="703"/>
      <c r="Q1557" s="698"/>
      <c r="R1557" s="863"/>
    </row>
    <row r="1558" spans="1:18" ht="114.75">
      <c r="A1558" s="764">
        <v>2679</v>
      </c>
      <c r="B1558" s="1036" t="s">
        <v>336</v>
      </c>
      <c r="C1558" s="720"/>
      <c r="D1558" s="698">
        <f t="shared" si="189"/>
        <v>72</v>
      </c>
      <c r="E1558" s="698">
        <f t="shared" si="192"/>
        <v>72</v>
      </c>
      <c r="F1558" s="966">
        <f t="shared" si="195"/>
        <v>100</v>
      </c>
      <c r="G1558" s="810"/>
      <c r="H1558" s="698"/>
      <c r="I1558" s="990"/>
      <c r="J1558" s="703"/>
      <c r="K1558" s="698"/>
      <c r="L1558" s="766"/>
      <c r="M1558" s="810">
        <f>7+65</f>
        <v>72</v>
      </c>
      <c r="N1558" s="698">
        <f>71+1</f>
        <v>72</v>
      </c>
      <c r="O1558" s="990">
        <f t="shared" si="196"/>
        <v>100</v>
      </c>
      <c r="P1558" s="703"/>
      <c r="Q1558" s="698"/>
      <c r="R1558" s="863"/>
    </row>
    <row r="1559" spans="1:18" ht="29.25" customHeight="1">
      <c r="A1559" s="764">
        <v>4018</v>
      </c>
      <c r="B1559" s="1036" t="s">
        <v>201</v>
      </c>
      <c r="C1559" s="720"/>
      <c r="D1559" s="698">
        <f t="shared" si="189"/>
        <v>15986</v>
      </c>
      <c r="E1559" s="698">
        <f t="shared" si="192"/>
        <v>15854</v>
      </c>
      <c r="F1559" s="966">
        <f t="shared" si="195"/>
        <v>99.17427749280621</v>
      </c>
      <c r="G1559" s="810"/>
      <c r="H1559" s="698"/>
      <c r="I1559" s="990"/>
      <c r="J1559" s="703"/>
      <c r="K1559" s="698"/>
      <c r="L1559" s="766"/>
      <c r="M1559" s="810">
        <f>15099+887</f>
        <v>15986</v>
      </c>
      <c r="N1559" s="698">
        <v>15854</v>
      </c>
      <c r="O1559" s="990">
        <f t="shared" si="196"/>
        <v>99.17427749280621</v>
      </c>
      <c r="P1559" s="703"/>
      <c r="Q1559" s="698"/>
      <c r="R1559" s="863"/>
    </row>
    <row r="1560" spans="1:18" ht="24.75" customHeight="1">
      <c r="A1560" s="764">
        <v>4019</v>
      </c>
      <c r="B1560" s="1036" t="s">
        <v>201</v>
      </c>
      <c r="C1560" s="720"/>
      <c r="D1560" s="698">
        <f t="shared" si="189"/>
        <v>215</v>
      </c>
      <c r="E1560" s="698">
        <f t="shared" si="192"/>
        <v>213</v>
      </c>
      <c r="F1560" s="966">
        <f t="shared" si="195"/>
        <v>99.06976744186046</v>
      </c>
      <c r="G1560" s="810"/>
      <c r="H1560" s="698"/>
      <c r="I1560" s="990"/>
      <c r="J1560" s="703"/>
      <c r="K1560" s="698"/>
      <c r="L1560" s="766"/>
      <c r="M1560" s="810">
        <f>203+12</f>
        <v>215</v>
      </c>
      <c r="N1560" s="698">
        <v>213</v>
      </c>
      <c r="O1560" s="990">
        <f t="shared" si="196"/>
        <v>99.06976744186046</v>
      </c>
      <c r="P1560" s="703"/>
      <c r="Q1560" s="698"/>
      <c r="R1560" s="863"/>
    </row>
    <row r="1561" spans="1:18" ht="36">
      <c r="A1561" s="764">
        <v>4110</v>
      </c>
      <c r="B1561" s="768" t="s">
        <v>207</v>
      </c>
      <c r="C1561" s="720"/>
      <c r="D1561" s="698">
        <f t="shared" si="189"/>
        <v>438</v>
      </c>
      <c r="E1561" s="698">
        <f t="shared" si="192"/>
        <v>256</v>
      </c>
      <c r="F1561" s="966">
        <f t="shared" si="195"/>
        <v>58.44748858447488</v>
      </c>
      <c r="G1561" s="810"/>
      <c r="H1561" s="698"/>
      <c r="I1561" s="990"/>
      <c r="J1561" s="703"/>
      <c r="K1561" s="698"/>
      <c r="L1561" s="766"/>
      <c r="M1561" s="810">
        <f>418+20</f>
        <v>438</v>
      </c>
      <c r="N1561" s="698">
        <v>256</v>
      </c>
      <c r="O1561" s="990">
        <f t="shared" si="196"/>
        <v>58.44748858447488</v>
      </c>
      <c r="P1561" s="703"/>
      <c r="Q1561" s="698"/>
      <c r="R1561" s="863"/>
    </row>
    <row r="1562" spans="1:18" ht="26.25" customHeight="1">
      <c r="A1562" s="764">
        <v>4118</v>
      </c>
      <c r="B1562" s="768" t="s">
        <v>207</v>
      </c>
      <c r="C1562" s="720"/>
      <c r="D1562" s="698">
        <f t="shared" si="189"/>
        <v>15128</v>
      </c>
      <c r="E1562" s="698">
        <f t="shared" si="192"/>
        <v>14983</v>
      </c>
      <c r="F1562" s="966">
        <f t="shared" si="195"/>
        <v>99.04151242728715</v>
      </c>
      <c r="G1562" s="810"/>
      <c r="H1562" s="698"/>
      <c r="I1562" s="990"/>
      <c r="J1562" s="703"/>
      <c r="K1562" s="698"/>
      <c r="L1562" s="766"/>
      <c r="M1562" s="810">
        <f>10464+5096-411-21</f>
        <v>15128</v>
      </c>
      <c r="N1562" s="698">
        <v>14983</v>
      </c>
      <c r="O1562" s="990">
        <f t="shared" si="196"/>
        <v>99.04151242728715</v>
      </c>
      <c r="P1562" s="703"/>
      <c r="Q1562" s="698"/>
      <c r="R1562" s="863"/>
    </row>
    <row r="1563" spans="1:20" s="756" customFormat="1" ht="27" customHeight="1">
      <c r="A1563" s="764">
        <v>4119</v>
      </c>
      <c r="B1563" s="768" t="s">
        <v>207</v>
      </c>
      <c r="C1563" s="720"/>
      <c r="D1563" s="698">
        <f t="shared" si="189"/>
        <v>9019</v>
      </c>
      <c r="E1563" s="698">
        <f t="shared" si="192"/>
        <v>8974</v>
      </c>
      <c r="F1563" s="966">
        <f t="shared" si="195"/>
        <v>99.50105333185498</v>
      </c>
      <c r="G1563" s="810"/>
      <c r="H1563" s="698"/>
      <c r="I1563" s="990"/>
      <c r="J1563" s="703"/>
      <c r="K1563" s="698"/>
      <c r="L1563" s="704"/>
      <c r="M1563" s="810">
        <f>8650+692-324-2+3</f>
        <v>9019</v>
      </c>
      <c r="N1563" s="698">
        <v>8974</v>
      </c>
      <c r="O1563" s="990">
        <f t="shared" si="196"/>
        <v>99.50105333185498</v>
      </c>
      <c r="P1563" s="703"/>
      <c r="Q1563" s="698"/>
      <c r="R1563" s="699"/>
      <c r="S1563" s="682"/>
      <c r="T1563" s="682"/>
    </row>
    <row r="1564" spans="1:20" s="756" customFormat="1" ht="12.75">
      <c r="A1564" s="764">
        <v>4120</v>
      </c>
      <c r="B1564" s="768" t="s">
        <v>584</v>
      </c>
      <c r="C1564" s="720"/>
      <c r="D1564" s="698">
        <f t="shared" si="189"/>
        <v>82</v>
      </c>
      <c r="E1564" s="698">
        <f t="shared" si="192"/>
        <v>43</v>
      </c>
      <c r="F1564" s="966">
        <f t="shared" si="195"/>
        <v>52.4390243902439</v>
      </c>
      <c r="G1564" s="810"/>
      <c r="H1564" s="698"/>
      <c r="I1564" s="990"/>
      <c r="J1564" s="703"/>
      <c r="K1564" s="698"/>
      <c r="L1564" s="704"/>
      <c r="M1564" s="810">
        <v>82</v>
      </c>
      <c r="N1564" s="698">
        <v>43</v>
      </c>
      <c r="O1564" s="990">
        <f t="shared" si="196"/>
        <v>52.4390243902439</v>
      </c>
      <c r="P1564" s="703"/>
      <c r="Q1564" s="698"/>
      <c r="R1564" s="699"/>
      <c r="S1564" s="682"/>
      <c r="T1564" s="682"/>
    </row>
    <row r="1565" spans="1:20" s="756" customFormat="1" ht="12.75">
      <c r="A1565" s="764">
        <v>4128</v>
      </c>
      <c r="B1565" s="768" t="s">
        <v>584</v>
      </c>
      <c r="C1565" s="720"/>
      <c r="D1565" s="698">
        <f t="shared" si="189"/>
        <v>2439</v>
      </c>
      <c r="E1565" s="698">
        <f t="shared" si="192"/>
        <v>2353</v>
      </c>
      <c r="F1565" s="966">
        <f t="shared" si="195"/>
        <v>96.4739647396474</v>
      </c>
      <c r="G1565" s="810"/>
      <c r="H1565" s="698"/>
      <c r="I1565" s="990"/>
      <c r="J1565" s="703"/>
      <c r="K1565" s="698"/>
      <c r="L1565" s="704"/>
      <c r="M1565" s="810">
        <f>1654+852-66-2+1</f>
        <v>2439</v>
      </c>
      <c r="N1565" s="698">
        <v>2353</v>
      </c>
      <c r="O1565" s="990">
        <f t="shared" si="196"/>
        <v>96.4739647396474</v>
      </c>
      <c r="P1565" s="703"/>
      <c r="Q1565" s="698"/>
      <c r="R1565" s="699"/>
      <c r="S1565" s="682"/>
      <c r="T1565" s="682"/>
    </row>
    <row r="1566" spans="1:20" s="756" customFormat="1" ht="12.75">
      <c r="A1566" s="764">
        <v>4129</v>
      </c>
      <c r="B1566" s="768" t="s">
        <v>584</v>
      </c>
      <c r="C1566" s="720"/>
      <c r="D1566" s="698">
        <f t="shared" si="189"/>
        <v>1450</v>
      </c>
      <c r="E1566" s="698">
        <f t="shared" si="192"/>
        <v>1445</v>
      </c>
      <c r="F1566" s="966">
        <f t="shared" si="195"/>
        <v>99.6551724137931</v>
      </c>
      <c r="G1566" s="810"/>
      <c r="H1566" s="698"/>
      <c r="I1566" s="990"/>
      <c r="J1566" s="703"/>
      <c r="K1566" s="698"/>
      <c r="L1566" s="704"/>
      <c r="M1566" s="810">
        <f>1391+112-53</f>
        <v>1450</v>
      </c>
      <c r="N1566" s="698">
        <v>1445</v>
      </c>
      <c r="O1566" s="990">
        <f t="shared" si="196"/>
        <v>99.6551724137931</v>
      </c>
      <c r="P1566" s="703"/>
      <c r="Q1566" s="698"/>
      <c r="R1566" s="699"/>
      <c r="S1566" s="682"/>
      <c r="T1566" s="682"/>
    </row>
    <row r="1567" spans="1:20" s="756" customFormat="1" ht="24">
      <c r="A1567" s="764">
        <v>4170</v>
      </c>
      <c r="B1567" s="768" t="s">
        <v>242</v>
      </c>
      <c r="C1567" s="720"/>
      <c r="D1567" s="698">
        <f t="shared" si="189"/>
        <v>2830</v>
      </c>
      <c r="E1567" s="698">
        <f t="shared" si="192"/>
        <v>1684</v>
      </c>
      <c r="F1567" s="966">
        <f t="shared" si="195"/>
        <v>59.505300353356894</v>
      </c>
      <c r="G1567" s="810"/>
      <c r="H1567" s="698"/>
      <c r="I1567" s="990"/>
      <c r="J1567" s="703"/>
      <c r="K1567" s="698"/>
      <c r="L1567" s="704"/>
      <c r="M1567" s="810">
        <v>2830</v>
      </c>
      <c r="N1567" s="698">
        <f>1683+1</f>
        <v>1684</v>
      </c>
      <c r="O1567" s="990">
        <f t="shared" si="196"/>
        <v>59.505300353356894</v>
      </c>
      <c r="P1567" s="703"/>
      <c r="Q1567" s="698"/>
      <c r="R1567" s="699"/>
      <c r="S1567" s="682"/>
      <c r="T1567" s="682"/>
    </row>
    <row r="1568" spans="1:20" s="756" customFormat="1" ht="23.25" customHeight="1">
      <c r="A1568" s="764">
        <v>4178</v>
      </c>
      <c r="B1568" s="768" t="s">
        <v>242</v>
      </c>
      <c r="C1568" s="720"/>
      <c r="D1568" s="698">
        <f t="shared" si="189"/>
        <v>103364</v>
      </c>
      <c r="E1568" s="698">
        <f t="shared" si="192"/>
        <v>101795</v>
      </c>
      <c r="F1568" s="971">
        <f t="shared" si="195"/>
        <v>98.4820633876398</v>
      </c>
      <c r="G1568" s="810"/>
      <c r="H1568" s="698"/>
      <c r="I1568" s="990"/>
      <c r="J1568" s="703"/>
      <c r="K1568" s="698"/>
      <c r="L1568" s="704"/>
      <c r="M1568" s="810">
        <f>71740+31124+477+23</f>
        <v>103364</v>
      </c>
      <c r="N1568" s="698">
        <v>101795</v>
      </c>
      <c r="O1568" s="990">
        <f t="shared" si="196"/>
        <v>98.4820633876398</v>
      </c>
      <c r="P1568" s="703"/>
      <c r="Q1568" s="698"/>
      <c r="R1568" s="699"/>
      <c r="S1568" s="682"/>
      <c r="T1568" s="682"/>
    </row>
    <row r="1569" spans="1:20" s="756" customFormat="1" ht="24">
      <c r="A1569" s="764">
        <v>4179</v>
      </c>
      <c r="B1569" s="768" t="s">
        <v>242</v>
      </c>
      <c r="C1569" s="720"/>
      <c r="D1569" s="698">
        <f t="shared" si="189"/>
        <v>61548</v>
      </c>
      <c r="E1569" s="698">
        <f t="shared" si="192"/>
        <v>60729</v>
      </c>
      <c r="F1569" s="971">
        <f t="shared" si="195"/>
        <v>98.66933125365568</v>
      </c>
      <c r="G1569" s="810"/>
      <c r="H1569" s="698"/>
      <c r="I1569" s="990"/>
      <c r="J1569" s="703"/>
      <c r="K1569" s="698"/>
      <c r="L1569" s="704"/>
      <c r="M1569" s="810">
        <f>56883+4290+377-3+1</f>
        <v>61548</v>
      </c>
      <c r="N1569" s="698">
        <v>60729</v>
      </c>
      <c r="O1569" s="990">
        <f t="shared" si="196"/>
        <v>98.66933125365568</v>
      </c>
      <c r="P1569" s="703"/>
      <c r="Q1569" s="698"/>
      <c r="R1569" s="699"/>
      <c r="S1569" s="682"/>
      <c r="T1569" s="682"/>
    </row>
    <row r="1570" spans="1:20" s="756" customFormat="1" ht="24">
      <c r="A1570" s="764">
        <v>4210</v>
      </c>
      <c r="B1570" s="768" t="s">
        <v>337</v>
      </c>
      <c r="C1570" s="720"/>
      <c r="D1570" s="698">
        <f t="shared" si="189"/>
        <v>9000</v>
      </c>
      <c r="E1570" s="698">
        <f t="shared" si="192"/>
        <v>3915</v>
      </c>
      <c r="F1570" s="971">
        <f t="shared" si="195"/>
        <v>43.5</v>
      </c>
      <c r="G1570" s="810"/>
      <c r="H1570" s="698"/>
      <c r="I1570" s="990"/>
      <c r="J1570" s="703"/>
      <c r="K1570" s="698"/>
      <c r="L1570" s="704"/>
      <c r="M1570" s="810">
        <f>5000+10000-6000</f>
        <v>9000</v>
      </c>
      <c r="N1570" s="698">
        <f>4725-810</f>
        <v>3915</v>
      </c>
      <c r="O1570" s="990">
        <f t="shared" si="196"/>
        <v>43.5</v>
      </c>
      <c r="P1570" s="703"/>
      <c r="Q1570" s="698"/>
      <c r="R1570" s="699"/>
      <c r="S1570" s="682"/>
      <c r="T1570" s="682"/>
    </row>
    <row r="1571" spans="1:20" s="756" customFormat="1" ht="24">
      <c r="A1571" s="764">
        <v>4218</v>
      </c>
      <c r="B1571" s="768" t="s">
        <v>337</v>
      </c>
      <c r="C1571" s="720"/>
      <c r="D1571" s="698">
        <f t="shared" si="189"/>
        <v>66703</v>
      </c>
      <c r="E1571" s="698">
        <f t="shared" si="192"/>
        <v>56651</v>
      </c>
      <c r="F1571" s="971">
        <f t="shared" si="195"/>
        <v>84.93021303389654</v>
      </c>
      <c r="G1571" s="810"/>
      <c r="H1571" s="698"/>
      <c r="I1571" s="990"/>
      <c r="J1571" s="703"/>
      <c r="K1571" s="698"/>
      <c r="L1571" s="704"/>
      <c r="M1571" s="810">
        <f>35427+34612-3849+513</f>
        <v>66703</v>
      </c>
      <c r="N1571" s="698">
        <f>55852+799</f>
        <v>56651</v>
      </c>
      <c r="O1571" s="990">
        <f t="shared" si="196"/>
        <v>84.93021303389654</v>
      </c>
      <c r="P1571" s="703"/>
      <c r="Q1571" s="698"/>
      <c r="R1571" s="699"/>
      <c r="S1571" s="682"/>
      <c r="T1571" s="682"/>
    </row>
    <row r="1572" spans="1:20" s="756" customFormat="1" ht="24">
      <c r="A1572" s="764">
        <v>4219</v>
      </c>
      <c r="B1572" s="768" t="s">
        <v>337</v>
      </c>
      <c r="C1572" s="720"/>
      <c r="D1572" s="698">
        <f t="shared" si="189"/>
        <v>13776</v>
      </c>
      <c r="E1572" s="698">
        <f t="shared" si="192"/>
        <v>13637</v>
      </c>
      <c r="F1572" s="971">
        <f t="shared" si="195"/>
        <v>98.99099883855982</v>
      </c>
      <c r="G1572" s="810"/>
      <c r="H1572" s="698"/>
      <c r="I1572" s="990"/>
      <c r="J1572" s="703"/>
      <c r="K1572" s="698"/>
      <c r="L1572" s="704"/>
      <c r="M1572" s="810">
        <f>10131+3690-52+7</f>
        <v>13776</v>
      </c>
      <c r="N1572" s="698">
        <f>13626+11</f>
        <v>13637</v>
      </c>
      <c r="O1572" s="990">
        <f t="shared" si="196"/>
        <v>98.99099883855982</v>
      </c>
      <c r="P1572" s="703"/>
      <c r="Q1572" s="698"/>
      <c r="R1572" s="699"/>
      <c r="S1572" s="682"/>
      <c r="T1572" s="682"/>
    </row>
    <row r="1573" spans="1:20" s="756" customFormat="1" ht="27" customHeight="1">
      <c r="A1573" s="764">
        <v>4248</v>
      </c>
      <c r="B1573" s="768" t="s">
        <v>572</v>
      </c>
      <c r="C1573" s="720"/>
      <c r="D1573" s="698">
        <f t="shared" si="189"/>
        <v>6926</v>
      </c>
      <c r="E1573" s="698">
        <f t="shared" si="192"/>
        <v>6763</v>
      </c>
      <c r="F1573" s="971">
        <f t="shared" si="195"/>
        <v>97.64654923476755</v>
      </c>
      <c r="G1573" s="810"/>
      <c r="H1573" s="698"/>
      <c r="I1573" s="990"/>
      <c r="J1573" s="703"/>
      <c r="K1573" s="698"/>
      <c r="L1573" s="704"/>
      <c r="M1573" s="810">
        <f>6215+711</f>
        <v>6926</v>
      </c>
      <c r="N1573" s="698">
        <v>6763</v>
      </c>
      <c r="O1573" s="990">
        <f t="shared" si="196"/>
        <v>97.64654923476755</v>
      </c>
      <c r="P1573" s="703"/>
      <c r="Q1573" s="698"/>
      <c r="R1573" s="699"/>
      <c r="S1573" s="682"/>
      <c r="T1573" s="682"/>
    </row>
    <row r="1574" spans="1:20" s="756" customFormat="1" ht="28.5" customHeight="1">
      <c r="A1574" s="764">
        <v>4249</v>
      </c>
      <c r="B1574" s="768" t="s">
        <v>572</v>
      </c>
      <c r="C1574" s="720"/>
      <c r="D1574" s="698">
        <f t="shared" si="189"/>
        <v>95</v>
      </c>
      <c r="E1574" s="698">
        <f t="shared" si="192"/>
        <v>91</v>
      </c>
      <c r="F1574" s="971">
        <f t="shared" si="195"/>
        <v>95.78947368421052</v>
      </c>
      <c r="G1574" s="810"/>
      <c r="H1574" s="698"/>
      <c r="I1574" s="990"/>
      <c r="J1574" s="703"/>
      <c r="K1574" s="698"/>
      <c r="L1574" s="704"/>
      <c r="M1574" s="810">
        <f>85+10</f>
        <v>95</v>
      </c>
      <c r="N1574" s="698">
        <v>91</v>
      </c>
      <c r="O1574" s="990">
        <f t="shared" si="196"/>
        <v>95.78947368421052</v>
      </c>
      <c r="P1574" s="703"/>
      <c r="Q1574" s="698"/>
      <c r="R1574" s="699"/>
      <c r="S1574" s="682"/>
      <c r="T1574" s="682"/>
    </row>
    <row r="1575" spans="1:20" s="756" customFormat="1" ht="24">
      <c r="A1575" s="764">
        <v>4300</v>
      </c>
      <c r="B1575" s="934" t="s">
        <v>543</v>
      </c>
      <c r="C1575" s="720"/>
      <c r="D1575" s="698">
        <f t="shared" si="189"/>
        <v>12093</v>
      </c>
      <c r="E1575" s="698">
        <f t="shared" si="192"/>
        <v>6021</v>
      </c>
      <c r="F1575" s="971">
        <f t="shared" si="195"/>
        <v>49.78913420987348</v>
      </c>
      <c r="G1575" s="810"/>
      <c r="H1575" s="698"/>
      <c r="I1575" s="990"/>
      <c r="J1575" s="703"/>
      <c r="K1575" s="698"/>
      <c r="L1575" s="704"/>
      <c r="M1575" s="810">
        <f>23113-5000-10000-2020+6000</f>
        <v>12093</v>
      </c>
      <c r="N1575" s="698">
        <v>6021</v>
      </c>
      <c r="O1575" s="990">
        <f t="shared" si="196"/>
        <v>49.78913420987348</v>
      </c>
      <c r="P1575" s="703"/>
      <c r="Q1575" s="698"/>
      <c r="R1575" s="699"/>
      <c r="S1575" s="682"/>
      <c r="T1575" s="682"/>
    </row>
    <row r="1576" spans="1:20" s="756" customFormat="1" ht="24">
      <c r="A1576" s="764">
        <v>4308</v>
      </c>
      <c r="B1576" s="934" t="s">
        <v>543</v>
      </c>
      <c r="C1576" s="810">
        <v>337578</v>
      </c>
      <c r="D1576" s="698">
        <f t="shared" si="189"/>
        <v>266760</v>
      </c>
      <c r="E1576" s="698">
        <f t="shared" si="192"/>
        <v>248020</v>
      </c>
      <c r="F1576" s="971">
        <f t="shared" si="195"/>
        <v>92.97495876443244</v>
      </c>
      <c r="G1576" s="810"/>
      <c r="H1576" s="698"/>
      <c r="I1576" s="990"/>
      <c r="J1576" s="703"/>
      <c r="K1576" s="698"/>
      <c r="L1576" s="704"/>
      <c r="M1576" s="810">
        <f>337578-136154+425+147471-85185+3849-1224</f>
        <v>266760</v>
      </c>
      <c r="N1576" s="698">
        <v>248020</v>
      </c>
      <c r="O1576" s="990">
        <f t="shared" si="196"/>
        <v>92.97495876443244</v>
      </c>
      <c r="P1576" s="703"/>
      <c r="Q1576" s="698"/>
      <c r="R1576" s="699"/>
      <c r="S1576" s="682"/>
      <c r="T1576" s="682"/>
    </row>
    <row r="1577" spans="1:20" s="756" customFormat="1" ht="24">
      <c r="A1577" s="764">
        <v>4309</v>
      </c>
      <c r="B1577" s="934" t="s">
        <v>543</v>
      </c>
      <c r="C1577" s="810">
        <v>124955</v>
      </c>
      <c r="D1577" s="698">
        <f t="shared" si="189"/>
        <v>3551</v>
      </c>
      <c r="E1577" s="698">
        <f t="shared" si="192"/>
        <v>3296</v>
      </c>
      <c r="F1577" s="971">
        <f t="shared" si="195"/>
        <v>92.81892424669107</v>
      </c>
      <c r="G1577" s="810"/>
      <c r="H1577" s="698"/>
      <c r="I1577" s="990"/>
      <c r="J1577" s="703"/>
      <c r="K1577" s="698"/>
      <c r="L1577" s="704"/>
      <c r="M1577" s="810">
        <f>124955-89696+1978-33721+52-17</f>
        <v>3551</v>
      </c>
      <c r="N1577" s="698">
        <v>3296</v>
      </c>
      <c r="O1577" s="990">
        <f t="shared" si="196"/>
        <v>92.81892424669107</v>
      </c>
      <c r="P1577" s="703"/>
      <c r="Q1577" s="698"/>
      <c r="R1577" s="699"/>
      <c r="S1577" s="682"/>
      <c r="T1577" s="682"/>
    </row>
    <row r="1578" spans="1:20" s="756" customFormat="1" ht="12.75">
      <c r="A1578" s="764">
        <v>4430</v>
      </c>
      <c r="B1578" s="768" t="s">
        <v>221</v>
      </c>
      <c r="C1578" s="720"/>
      <c r="D1578" s="698">
        <f t="shared" si="189"/>
        <v>480</v>
      </c>
      <c r="E1578" s="698">
        <f>SUM(H1578+K1578+N1578+Q1578)</f>
        <v>480</v>
      </c>
      <c r="F1578" s="971">
        <f>E1578/D1578*100</f>
        <v>100</v>
      </c>
      <c r="G1578" s="810"/>
      <c r="H1578" s="698"/>
      <c r="I1578" s="990"/>
      <c r="J1578" s="703"/>
      <c r="K1578" s="698"/>
      <c r="L1578" s="704"/>
      <c r="M1578" s="810">
        <v>480</v>
      </c>
      <c r="N1578" s="698">
        <v>480</v>
      </c>
      <c r="O1578" s="990">
        <f t="shared" si="196"/>
        <v>100</v>
      </c>
      <c r="P1578" s="703"/>
      <c r="Q1578" s="698"/>
      <c r="R1578" s="699"/>
      <c r="S1578" s="682"/>
      <c r="T1578" s="682"/>
    </row>
    <row r="1579" spans="1:20" s="756" customFormat="1" ht="50.25" customHeight="1">
      <c r="A1579" s="764">
        <v>4748</v>
      </c>
      <c r="B1579" s="828" t="s">
        <v>235</v>
      </c>
      <c r="C1579" s="720"/>
      <c r="D1579" s="698">
        <f t="shared" si="189"/>
        <v>160</v>
      </c>
      <c r="E1579" s="698">
        <f t="shared" si="192"/>
        <v>160</v>
      </c>
      <c r="F1579" s="971">
        <f t="shared" si="195"/>
        <v>100</v>
      </c>
      <c r="G1579" s="810"/>
      <c r="H1579" s="698"/>
      <c r="I1579" s="990"/>
      <c r="J1579" s="703"/>
      <c r="K1579" s="698"/>
      <c r="L1579" s="704"/>
      <c r="M1579" s="810">
        <f>488-328</f>
        <v>160</v>
      </c>
      <c r="N1579" s="698">
        <v>160</v>
      </c>
      <c r="O1579" s="990">
        <f t="shared" si="196"/>
        <v>100</v>
      </c>
      <c r="P1579" s="703"/>
      <c r="Q1579" s="698"/>
      <c r="R1579" s="699"/>
      <c r="S1579" s="682"/>
      <c r="T1579" s="682"/>
    </row>
    <row r="1580" spans="1:20" s="756" customFormat="1" ht="49.5" customHeight="1">
      <c r="A1580" s="764">
        <v>4749</v>
      </c>
      <c r="B1580" s="828" t="s">
        <v>235</v>
      </c>
      <c r="C1580" s="720"/>
      <c r="D1580" s="698">
        <f t="shared" si="189"/>
        <v>3</v>
      </c>
      <c r="E1580" s="698">
        <f t="shared" si="192"/>
        <v>2</v>
      </c>
      <c r="F1580" s="971">
        <f t="shared" si="195"/>
        <v>66.66666666666666</v>
      </c>
      <c r="G1580" s="810"/>
      <c r="H1580" s="698"/>
      <c r="I1580" s="990"/>
      <c r="J1580" s="703"/>
      <c r="K1580" s="698"/>
      <c r="L1580" s="704"/>
      <c r="M1580" s="810">
        <f>87-84</f>
        <v>3</v>
      </c>
      <c r="N1580" s="698">
        <f>1+1</f>
        <v>2</v>
      </c>
      <c r="O1580" s="990">
        <f t="shared" si="196"/>
        <v>66.66666666666666</v>
      </c>
      <c r="P1580" s="703"/>
      <c r="Q1580" s="698"/>
      <c r="R1580" s="699"/>
      <c r="S1580" s="682"/>
      <c r="T1580" s="682"/>
    </row>
    <row r="1581" spans="1:20" s="756" customFormat="1" ht="36.75" thickBot="1">
      <c r="A1581" s="764">
        <v>4750</v>
      </c>
      <c r="B1581" s="828" t="s">
        <v>551</v>
      </c>
      <c r="C1581" s="720"/>
      <c r="D1581" s="698">
        <f t="shared" si="189"/>
        <v>2000</v>
      </c>
      <c r="E1581" s="698">
        <f t="shared" si="192"/>
        <v>1672</v>
      </c>
      <c r="F1581" s="971">
        <f>E1581/D1581*100</f>
        <v>83.6</v>
      </c>
      <c r="G1581" s="810"/>
      <c r="H1581" s="698"/>
      <c r="I1581" s="990"/>
      <c r="J1581" s="703"/>
      <c r="K1581" s="698"/>
      <c r="L1581" s="704"/>
      <c r="M1581" s="810">
        <v>2000</v>
      </c>
      <c r="N1581" s="698">
        <v>1672</v>
      </c>
      <c r="O1581" s="990">
        <f t="shared" si="196"/>
        <v>83.6</v>
      </c>
      <c r="P1581" s="703"/>
      <c r="Q1581" s="698"/>
      <c r="R1581" s="699"/>
      <c r="S1581" s="682"/>
      <c r="T1581" s="682"/>
    </row>
    <row r="1582" spans="1:20" s="756" customFormat="1" ht="36.75" hidden="1" thickBot="1">
      <c r="A1582" s="764">
        <v>4758</v>
      </c>
      <c r="B1582" s="828" t="s">
        <v>331</v>
      </c>
      <c r="C1582" s="720"/>
      <c r="D1582" s="698">
        <f t="shared" si="189"/>
        <v>0</v>
      </c>
      <c r="E1582" s="698"/>
      <c r="F1582" s="971"/>
      <c r="G1582" s="810"/>
      <c r="H1582" s="698"/>
      <c r="I1582" s="990"/>
      <c r="J1582" s="703"/>
      <c r="K1582" s="698"/>
      <c r="L1582" s="704"/>
      <c r="M1582" s="879"/>
      <c r="N1582" s="698"/>
      <c r="O1582" s="990" t="e">
        <f t="shared" si="196"/>
        <v>#DIV/0!</v>
      </c>
      <c r="P1582" s="703"/>
      <c r="Q1582" s="698"/>
      <c r="R1582" s="699"/>
      <c r="S1582" s="682"/>
      <c r="T1582" s="682"/>
    </row>
    <row r="1583" spans="1:20" s="756" customFormat="1" ht="36.75" hidden="1" thickBot="1">
      <c r="A1583" s="764">
        <v>4759</v>
      </c>
      <c r="B1583" s="828" t="s">
        <v>331</v>
      </c>
      <c r="C1583" s="720"/>
      <c r="D1583" s="698">
        <f>G1583+J1583+P1583+M1583</f>
        <v>0</v>
      </c>
      <c r="E1583" s="698">
        <f>SUM(H1583+K1583+N1583+Q1583)</f>
        <v>0</v>
      </c>
      <c r="F1583" s="971" t="e">
        <f aca="true" t="shared" si="197" ref="F1583:F1621">E1583/D1583*100</f>
        <v>#DIV/0!</v>
      </c>
      <c r="G1583" s="810"/>
      <c r="H1583" s="698"/>
      <c r="I1583" s="990"/>
      <c r="J1583" s="703"/>
      <c r="K1583" s="698"/>
      <c r="L1583" s="704"/>
      <c r="M1583" s="879"/>
      <c r="N1583" s="698"/>
      <c r="O1583" s="990" t="e">
        <f t="shared" si="196"/>
        <v>#DIV/0!</v>
      </c>
      <c r="P1583" s="703"/>
      <c r="Q1583" s="698"/>
      <c r="R1583" s="699"/>
      <c r="S1583" s="682"/>
      <c r="T1583" s="682"/>
    </row>
    <row r="1584" spans="1:20" s="862" customFormat="1" ht="25.5" customHeight="1" thickBot="1" thickTop="1">
      <c r="A1584" s="1037">
        <v>854</v>
      </c>
      <c r="B1584" s="1027" t="s">
        <v>841</v>
      </c>
      <c r="C1584" s="751">
        <f>C1585+C1601+C1628+C1664+C1688+C1738+C1714+C1761+C1766+C1759</f>
        <v>13465500</v>
      </c>
      <c r="D1584" s="674">
        <f t="shared" si="189"/>
        <v>13575039</v>
      </c>
      <c r="E1584" s="674">
        <f>H1584+K1584+Q1584+N1584</f>
        <v>13046947</v>
      </c>
      <c r="F1584" s="752">
        <f t="shared" si="197"/>
        <v>96.10983069735563</v>
      </c>
      <c r="G1584" s="882">
        <f>G1585+G1601+G1628+G1664+G1688+G1714+G1738+G1761+G1766+G1759</f>
        <v>2569093</v>
      </c>
      <c r="H1584" s="674">
        <f>H1585+H1601+H1628+H1664+H1688+H1714+H1738+H1761+H1766+H1759</f>
        <v>2452151</v>
      </c>
      <c r="I1584" s="675">
        <f aca="true" t="shared" si="198" ref="I1584:I1593">H1584/G1584*100</f>
        <v>95.44812118518092</v>
      </c>
      <c r="J1584" s="678"/>
      <c r="K1584" s="674"/>
      <c r="L1584" s="753"/>
      <c r="M1584" s="674">
        <f>M1585+M1601+M1628+M1664+M1688+M1714+M1738+M1761+M1766+M1759</f>
        <v>11005946</v>
      </c>
      <c r="N1584" s="674">
        <f>N1585+N1601+N1628+N1664+N1688+N1714+N1738+N1761+N1766+N1759</f>
        <v>10594796</v>
      </c>
      <c r="O1584" s="752">
        <f t="shared" si="196"/>
        <v>96.2642920472261</v>
      </c>
      <c r="P1584" s="674"/>
      <c r="Q1584" s="674"/>
      <c r="R1584" s="1038"/>
      <c r="S1584" s="861"/>
      <c r="T1584" s="861"/>
    </row>
    <row r="1585" spans="1:20" s="756" customFormat="1" ht="15.75" customHeight="1" thickTop="1">
      <c r="A1585" s="835">
        <v>85401</v>
      </c>
      <c r="B1585" s="1002" t="s">
        <v>842</v>
      </c>
      <c r="C1585" s="837">
        <f>SUM(C1586:C1600)</f>
        <v>1498100</v>
      </c>
      <c r="D1585" s="759">
        <f t="shared" si="189"/>
        <v>1617721</v>
      </c>
      <c r="E1585" s="759">
        <f>H1585+K1585+Q1585+N1585</f>
        <v>1615532</v>
      </c>
      <c r="F1585" s="982">
        <f t="shared" si="197"/>
        <v>99.86468618507148</v>
      </c>
      <c r="G1585" s="837">
        <f>SUM(G1586:G1600)</f>
        <v>1320121</v>
      </c>
      <c r="H1585" s="759">
        <f>SUM(H1586:H1600)</f>
        <v>1318132</v>
      </c>
      <c r="I1585" s="760">
        <f t="shared" si="198"/>
        <v>99.84933199305215</v>
      </c>
      <c r="J1585" s="839"/>
      <c r="K1585" s="759"/>
      <c r="L1585" s="865"/>
      <c r="M1585" s="759">
        <f>SUM(M1586:M1600)</f>
        <v>297600</v>
      </c>
      <c r="N1585" s="759">
        <f>SUM(N1586:N1600)</f>
        <v>297400</v>
      </c>
      <c r="O1585" s="761">
        <f t="shared" si="196"/>
        <v>99.93279569892472</v>
      </c>
      <c r="P1585" s="759"/>
      <c r="Q1585" s="759"/>
      <c r="R1585" s="954"/>
      <c r="S1585" s="682"/>
      <c r="T1585" s="682"/>
    </row>
    <row r="1586" spans="1:20" s="818" customFormat="1" ht="36">
      <c r="A1586" s="784">
        <v>3020</v>
      </c>
      <c r="B1586" s="979" t="s">
        <v>709</v>
      </c>
      <c r="C1586" s="723">
        <v>4100</v>
      </c>
      <c r="D1586" s="732">
        <f t="shared" si="189"/>
        <v>3400</v>
      </c>
      <c r="E1586" s="732">
        <f aca="true" t="shared" si="199" ref="E1586:E1600">SUM(H1586+K1586+N1586+Q1586)</f>
        <v>3000</v>
      </c>
      <c r="F1586" s="976">
        <f t="shared" si="197"/>
        <v>88.23529411764706</v>
      </c>
      <c r="G1586" s="723">
        <f>3800-400-300</f>
        <v>3100</v>
      </c>
      <c r="H1586" s="732">
        <v>2700</v>
      </c>
      <c r="I1586" s="721">
        <f t="shared" si="198"/>
        <v>87.09677419354838</v>
      </c>
      <c r="J1586" s="735"/>
      <c r="K1586" s="732"/>
      <c r="L1586" s="736"/>
      <c r="M1586" s="732">
        <v>300</v>
      </c>
      <c r="N1586" s="732">
        <v>300</v>
      </c>
      <c r="O1586" s="786">
        <f t="shared" si="196"/>
        <v>100</v>
      </c>
      <c r="P1586" s="732"/>
      <c r="Q1586" s="732"/>
      <c r="R1586" s="989"/>
      <c r="S1586" s="817"/>
      <c r="T1586" s="817"/>
    </row>
    <row r="1587" spans="1:20" s="818" customFormat="1" ht="27" customHeight="1">
      <c r="A1587" s="764">
        <v>4010</v>
      </c>
      <c r="B1587" s="828" t="s">
        <v>201</v>
      </c>
      <c r="C1587" s="720">
        <v>1071100</v>
      </c>
      <c r="D1587" s="698">
        <f t="shared" si="189"/>
        <v>1190159</v>
      </c>
      <c r="E1587" s="698">
        <f t="shared" si="199"/>
        <v>1189124</v>
      </c>
      <c r="F1587" s="699">
        <f t="shared" si="197"/>
        <v>99.91303682953287</v>
      </c>
      <c r="G1587" s="703">
        <f>884300+61219+18181</f>
        <v>963700</v>
      </c>
      <c r="H1587" s="703">
        <v>962665</v>
      </c>
      <c r="I1587" s="744">
        <f t="shared" si="198"/>
        <v>99.8926014319809</v>
      </c>
      <c r="J1587" s="703"/>
      <c r="K1587" s="698"/>
      <c r="L1587" s="704"/>
      <c r="M1587" s="698">
        <f>186800+23509+16150</f>
        <v>226459</v>
      </c>
      <c r="N1587" s="698">
        <v>226459</v>
      </c>
      <c r="O1587" s="744">
        <f t="shared" si="196"/>
        <v>100</v>
      </c>
      <c r="P1587" s="698"/>
      <c r="Q1587" s="698"/>
      <c r="R1587" s="990"/>
      <c r="S1587" s="817"/>
      <c r="T1587" s="817"/>
    </row>
    <row r="1588" spans="1:20" s="818" customFormat="1" ht="24.75" customHeight="1">
      <c r="A1588" s="764">
        <v>4040</v>
      </c>
      <c r="B1588" s="934" t="s">
        <v>280</v>
      </c>
      <c r="C1588" s="720">
        <v>84500</v>
      </c>
      <c r="D1588" s="698">
        <f t="shared" si="189"/>
        <v>79800</v>
      </c>
      <c r="E1588" s="698">
        <f t="shared" si="199"/>
        <v>79662</v>
      </c>
      <c r="F1588" s="699">
        <f t="shared" si="197"/>
        <v>99.82706766917293</v>
      </c>
      <c r="G1588" s="698">
        <f>70000-2390+100</f>
        <v>67710</v>
      </c>
      <c r="H1588" s="703">
        <v>67572</v>
      </c>
      <c r="I1588" s="744">
        <f t="shared" si="198"/>
        <v>99.7961896322552</v>
      </c>
      <c r="J1588" s="703"/>
      <c r="K1588" s="698"/>
      <c r="L1588" s="704"/>
      <c r="M1588" s="698">
        <f>14500-2410</f>
        <v>12090</v>
      </c>
      <c r="N1588" s="698">
        <v>12090</v>
      </c>
      <c r="O1588" s="744">
        <f t="shared" si="196"/>
        <v>100</v>
      </c>
      <c r="P1588" s="698"/>
      <c r="Q1588" s="698"/>
      <c r="R1588" s="770"/>
      <c r="S1588" s="817"/>
      <c r="T1588" s="817"/>
    </row>
    <row r="1589" spans="1:20" s="818" customFormat="1" ht="23.25" customHeight="1">
      <c r="A1589" s="764">
        <v>4110</v>
      </c>
      <c r="B1589" s="934" t="s">
        <v>207</v>
      </c>
      <c r="C1589" s="720">
        <v>189200</v>
      </c>
      <c r="D1589" s="698">
        <f t="shared" si="189"/>
        <v>191700</v>
      </c>
      <c r="E1589" s="698">
        <f t="shared" si="199"/>
        <v>191570</v>
      </c>
      <c r="F1589" s="699">
        <f t="shared" si="197"/>
        <v>99.9321857068336</v>
      </c>
      <c r="G1589" s="698">
        <f>158700-2250</f>
        <v>156450</v>
      </c>
      <c r="H1589" s="703">
        <v>156320</v>
      </c>
      <c r="I1589" s="744">
        <f t="shared" si="198"/>
        <v>99.91690635985938</v>
      </c>
      <c r="J1589" s="703"/>
      <c r="K1589" s="698"/>
      <c r="L1589" s="704"/>
      <c r="M1589" s="698">
        <f>30500+2300+2450</f>
        <v>35250</v>
      </c>
      <c r="N1589" s="698">
        <v>35250</v>
      </c>
      <c r="O1589" s="744">
        <f t="shared" si="196"/>
        <v>100</v>
      </c>
      <c r="P1589" s="698"/>
      <c r="Q1589" s="698"/>
      <c r="R1589" s="770"/>
      <c r="S1589" s="817"/>
      <c r="T1589" s="817"/>
    </row>
    <row r="1590" spans="1:20" s="818" customFormat="1" ht="12.75">
      <c r="A1590" s="764">
        <v>4120</v>
      </c>
      <c r="B1590" s="934" t="s">
        <v>584</v>
      </c>
      <c r="C1590" s="720">
        <v>28500</v>
      </c>
      <c r="D1590" s="698">
        <f t="shared" si="189"/>
        <v>29900</v>
      </c>
      <c r="E1590" s="698">
        <f t="shared" si="199"/>
        <v>29614</v>
      </c>
      <c r="F1590" s="699">
        <f t="shared" si="197"/>
        <v>99.04347826086956</v>
      </c>
      <c r="G1590" s="698">
        <f>23700+880</f>
        <v>24580</v>
      </c>
      <c r="H1590" s="703">
        <v>24294</v>
      </c>
      <c r="I1590" s="744">
        <f t="shared" si="198"/>
        <v>98.83645240032547</v>
      </c>
      <c r="J1590" s="703"/>
      <c r="K1590" s="698"/>
      <c r="L1590" s="704"/>
      <c r="M1590" s="698">
        <f>4800+400+120</f>
        <v>5320</v>
      </c>
      <c r="N1590" s="698">
        <v>5320</v>
      </c>
      <c r="O1590" s="744">
        <f t="shared" si="196"/>
        <v>100</v>
      </c>
      <c r="P1590" s="698"/>
      <c r="Q1590" s="698"/>
      <c r="R1590" s="770"/>
      <c r="S1590" s="817"/>
      <c r="T1590" s="817"/>
    </row>
    <row r="1591" spans="1:20" s="818" customFormat="1" ht="12.75">
      <c r="A1591" s="764">
        <v>4140</v>
      </c>
      <c r="B1591" s="934" t="s">
        <v>283</v>
      </c>
      <c r="C1591" s="720">
        <v>3100</v>
      </c>
      <c r="D1591" s="698">
        <f t="shared" si="189"/>
        <v>3170</v>
      </c>
      <c r="E1591" s="698">
        <f t="shared" si="199"/>
        <v>3170</v>
      </c>
      <c r="F1591" s="699">
        <f t="shared" si="197"/>
        <v>100</v>
      </c>
      <c r="G1591" s="698">
        <f>3100+70</f>
        <v>3170</v>
      </c>
      <c r="H1591" s="703">
        <v>3170</v>
      </c>
      <c r="I1591" s="744">
        <f t="shared" si="198"/>
        <v>100</v>
      </c>
      <c r="J1591" s="703"/>
      <c r="K1591" s="698"/>
      <c r="L1591" s="704"/>
      <c r="M1591" s="698"/>
      <c r="N1591" s="698"/>
      <c r="O1591" s="702"/>
      <c r="P1591" s="698"/>
      <c r="Q1591" s="698"/>
      <c r="R1591" s="770"/>
      <c r="S1591" s="817"/>
      <c r="T1591" s="817"/>
    </row>
    <row r="1592" spans="1:20" s="818" customFormat="1" ht="24">
      <c r="A1592" s="764">
        <v>4210</v>
      </c>
      <c r="B1592" s="934" t="s">
        <v>211</v>
      </c>
      <c r="C1592" s="720">
        <v>21800</v>
      </c>
      <c r="D1592" s="698">
        <f t="shared" si="189"/>
        <v>22400</v>
      </c>
      <c r="E1592" s="698">
        <f t="shared" si="199"/>
        <v>22400</v>
      </c>
      <c r="F1592" s="699">
        <f t="shared" si="197"/>
        <v>100</v>
      </c>
      <c r="G1592" s="698">
        <f>19700+600</f>
        <v>20300</v>
      </c>
      <c r="H1592" s="703">
        <v>20300</v>
      </c>
      <c r="I1592" s="744">
        <f t="shared" si="198"/>
        <v>100</v>
      </c>
      <c r="J1592" s="703"/>
      <c r="K1592" s="698"/>
      <c r="L1592" s="704"/>
      <c r="M1592" s="698">
        <v>2100</v>
      </c>
      <c r="N1592" s="698">
        <v>2100</v>
      </c>
      <c r="O1592" s="744">
        <f t="shared" si="196"/>
        <v>100</v>
      </c>
      <c r="P1592" s="698"/>
      <c r="Q1592" s="698"/>
      <c r="R1592" s="770"/>
      <c r="S1592" s="817"/>
      <c r="T1592" s="817"/>
    </row>
    <row r="1593" spans="1:20" s="818" customFormat="1" ht="39" customHeight="1">
      <c r="A1593" s="764">
        <v>4240</v>
      </c>
      <c r="B1593" s="934" t="s">
        <v>710</v>
      </c>
      <c r="C1593" s="720">
        <v>12800</v>
      </c>
      <c r="D1593" s="698">
        <f t="shared" si="189"/>
        <v>11200</v>
      </c>
      <c r="E1593" s="698">
        <f t="shared" si="199"/>
        <v>11200</v>
      </c>
      <c r="F1593" s="699">
        <f t="shared" si="197"/>
        <v>100</v>
      </c>
      <c r="G1593" s="698">
        <f>11800-600-1000</f>
        <v>10200</v>
      </c>
      <c r="H1593" s="703">
        <v>10200</v>
      </c>
      <c r="I1593" s="744">
        <f t="shared" si="198"/>
        <v>100</v>
      </c>
      <c r="J1593" s="703"/>
      <c r="K1593" s="698"/>
      <c r="L1593" s="704"/>
      <c r="M1593" s="698">
        <v>1000</v>
      </c>
      <c r="N1593" s="698">
        <v>1000</v>
      </c>
      <c r="O1593" s="744">
        <f t="shared" si="196"/>
        <v>100</v>
      </c>
      <c r="P1593" s="698"/>
      <c r="Q1593" s="698"/>
      <c r="R1593" s="770"/>
      <c r="S1593" s="817"/>
      <c r="T1593" s="817"/>
    </row>
    <row r="1594" spans="1:20" s="818" customFormat="1" ht="15" customHeight="1">
      <c r="A1594" s="764">
        <v>4260</v>
      </c>
      <c r="B1594" s="934" t="s">
        <v>215</v>
      </c>
      <c r="C1594" s="720">
        <v>3000</v>
      </c>
      <c r="D1594" s="698">
        <f t="shared" si="189"/>
        <v>3000</v>
      </c>
      <c r="E1594" s="698">
        <f t="shared" si="199"/>
        <v>3000</v>
      </c>
      <c r="F1594" s="699">
        <f t="shared" si="197"/>
        <v>100</v>
      </c>
      <c r="G1594" s="698"/>
      <c r="H1594" s="703"/>
      <c r="I1594" s="744"/>
      <c r="J1594" s="703"/>
      <c r="K1594" s="698"/>
      <c r="L1594" s="704"/>
      <c r="M1594" s="698">
        <v>3000</v>
      </c>
      <c r="N1594" s="698">
        <v>3000</v>
      </c>
      <c r="O1594" s="744">
        <f t="shared" si="196"/>
        <v>100</v>
      </c>
      <c r="P1594" s="698"/>
      <c r="Q1594" s="698"/>
      <c r="R1594" s="770"/>
      <c r="S1594" s="817"/>
      <c r="T1594" s="817"/>
    </row>
    <row r="1595" spans="1:20" s="818" customFormat="1" ht="17.25" customHeight="1">
      <c r="A1595" s="764">
        <v>4270</v>
      </c>
      <c r="B1595" s="934" t="s">
        <v>217</v>
      </c>
      <c r="C1595" s="720">
        <v>300</v>
      </c>
      <c r="D1595" s="698">
        <f t="shared" si="189"/>
        <v>300</v>
      </c>
      <c r="E1595" s="698">
        <f t="shared" si="199"/>
        <v>300</v>
      </c>
      <c r="F1595" s="699">
        <f t="shared" si="197"/>
        <v>100</v>
      </c>
      <c r="G1595" s="698"/>
      <c r="H1595" s="703"/>
      <c r="I1595" s="744"/>
      <c r="J1595" s="703"/>
      <c r="K1595" s="698"/>
      <c r="L1595" s="704"/>
      <c r="M1595" s="698">
        <v>300</v>
      </c>
      <c r="N1595" s="698">
        <v>300</v>
      </c>
      <c r="O1595" s="744">
        <f t="shared" si="196"/>
        <v>100</v>
      </c>
      <c r="P1595" s="720"/>
      <c r="Q1595" s="698"/>
      <c r="R1595" s="770"/>
      <c r="S1595" s="817"/>
      <c r="T1595" s="817"/>
    </row>
    <row r="1596" spans="1:20" s="818" customFormat="1" ht="15.75" customHeight="1">
      <c r="A1596" s="764">
        <v>4280</v>
      </c>
      <c r="B1596" s="934" t="s">
        <v>542</v>
      </c>
      <c r="C1596" s="720">
        <v>100</v>
      </c>
      <c r="D1596" s="698">
        <f t="shared" si="189"/>
        <v>100</v>
      </c>
      <c r="E1596" s="698">
        <f t="shared" si="199"/>
        <v>100</v>
      </c>
      <c r="F1596" s="699">
        <f t="shared" si="197"/>
        <v>100</v>
      </c>
      <c r="G1596" s="698"/>
      <c r="H1596" s="703"/>
      <c r="I1596" s="744"/>
      <c r="J1596" s="703"/>
      <c r="K1596" s="698"/>
      <c r="L1596" s="704"/>
      <c r="M1596" s="698">
        <v>100</v>
      </c>
      <c r="N1596" s="698">
        <v>100</v>
      </c>
      <c r="O1596" s="744">
        <f t="shared" si="196"/>
        <v>100</v>
      </c>
      <c r="P1596" s="698"/>
      <c r="Q1596" s="698"/>
      <c r="R1596" s="770"/>
      <c r="S1596" s="817"/>
      <c r="T1596" s="817"/>
    </row>
    <row r="1597" spans="1:20" s="818" customFormat="1" ht="15.75" customHeight="1">
      <c r="A1597" s="764">
        <v>4300</v>
      </c>
      <c r="B1597" s="934" t="s">
        <v>219</v>
      </c>
      <c r="C1597" s="720">
        <v>1700</v>
      </c>
      <c r="D1597" s="698">
        <f t="shared" si="189"/>
        <v>1700</v>
      </c>
      <c r="E1597" s="698">
        <f>H1597+K1597+Q1597+N1597</f>
        <v>1700</v>
      </c>
      <c r="F1597" s="699">
        <f t="shared" si="197"/>
        <v>100</v>
      </c>
      <c r="G1597" s="698"/>
      <c r="H1597" s="703"/>
      <c r="I1597" s="744"/>
      <c r="J1597" s="703"/>
      <c r="K1597" s="698"/>
      <c r="L1597" s="704"/>
      <c r="M1597" s="698">
        <v>1700</v>
      </c>
      <c r="N1597" s="698">
        <v>1700</v>
      </c>
      <c r="O1597" s="744">
        <f t="shared" si="196"/>
        <v>100</v>
      </c>
      <c r="P1597" s="698"/>
      <c r="Q1597" s="698"/>
      <c r="R1597" s="770"/>
      <c r="S1597" s="817"/>
      <c r="T1597" s="817"/>
    </row>
    <row r="1598" spans="1:20" s="818" customFormat="1" ht="39" customHeight="1">
      <c r="A1598" s="764">
        <v>4370</v>
      </c>
      <c r="B1598" s="828" t="s">
        <v>635</v>
      </c>
      <c r="C1598" s="720">
        <v>200</v>
      </c>
      <c r="D1598" s="698">
        <f>G1598+J1598+P1598+M1598</f>
        <v>200</v>
      </c>
      <c r="E1598" s="698">
        <f>H1598+K1598+Q1598+N1598</f>
        <v>200</v>
      </c>
      <c r="F1598" s="699">
        <f>E1598/D1598*100</f>
        <v>100</v>
      </c>
      <c r="G1598" s="698"/>
      <c r="H1598" s="703"/>
      <c r="I1598" s="744"/>
      <c r="J1598" s="703"/>
      <c r="K1598" s="698"/>
      <c r="L1598" s="704"/>
      <c r="M1598" s="698">
        <v>200</v>
      </c>
      <c r="N1598" s="698">
        <v>200</v>
      </c>
      <c r="O1598" s="744">
        <f t="shared" si="196"/>
        <v>100</v>
      </c>
      <c r="P1598" s="698"/>
      <c r="Q1598" s="698"/>
      <c r="R1598" s="770"/>
      <c r="S1598" s="817"/>
      <c r="T1598" s="817"/>
    </row>
    <row r="1599" spans="1:20" s="818" customFormat="1" ht="15.75" customHeight="1">
      <c r="A1599" s="764">
        <v>4440</v>
      </c>
      <c r="B1599" s="828" t="s">
        <v>683</v>
      </c>
      <c r="C1599" s="720">
        <v>77500</v>
      </c>
      <c r="D1599" s="698">
        <f>G1599+J1599+P1599+M1599</f>
        <v>80492</v>
      </c>
      <c r="E1599" s="698">
        <f>H1599+K1599+Q1599+N1599</f>
        <v>80492</v>
      </c>
      <c r="F1599" s="699">
        <f>E1599/D1599*100</f>
        <v>100</v>
      </c>
      <c r="G1599" s="698">
        <f>68000+4217-1306</f>
        <v>70911</v>
      </c>
      <c r="H1599" s="703">
        <v>70911</v>
      </c>
      <c r="I1599" s="744">
        <f>H1599/G1599*100</f>
        <v>100</v>
      </c>
      <c r="J1599" s="703"/>
      <c r="K1599" s="698"/>
      <c r="L1599" s="704"/>
      <c r="M1599" s="698">
        <f>9500+776-695</f>
        <v>9581</v>
      </c>
      <c r="N1599" s="698">
        <v>9581</v>
      </c>
      <c r="O1599" s="744">
        <f t="shared" si="196"/>
        <v>100</v>
      </c>
      <c r="P1599" s="698"/>
      <c r="Q1599" s="698"/>
      <c r="R1599" s="770"/>
      <c r="S1599" s="817"/>
      <c r="T1599" s="817"/>
    </row>
    <row r="1600" spans="1:20" s="818" customFormat="1" ht="41.25" customHeight="1">
      <c r="A1600" s="764">
        <v>4700</v>
      </c>
      <c r="B1600" s="828" t="s">
        <v>550</v>
      </c>
      <c r="C1600" s="791">
        <v>200</v>
      </c>
      <c r="D1600" s="792">
        <f t="shared" si="189"/>
        <v>200</v>
      </c>
      <c r="E1600" s="792">
        <f t="shared" si="199"/>
        <v>0</v>
      </c>
      <c r="F1600" s="760">
        <f t="shared" si="197"/>
        <v>0</v>
      </c>
      <c r="G1600" s="792"/>
      <c r="H1600" s="793"/>
      <c r="I1600" s="796"/>
      <c r="J1600" s="793"/>
      <c r="K1600" s="792"/>
      <c r="L1600" s="794"/>
      <c r="M1600" s="792">
        <v>200</v>
      </c>
      <c r="N1600" s="792"/>
      <c r="O1600" s="744">
        <f t="shared" si="196"/>
        <v>0</v>
      </c>
      <c r="P1600" s="792"/>
      <c r="Q1600" s="792"/>
      <c r="R1600" s="797"/>
      <c r="S1600" s="817"/>
      <c r="T1600" s="817"/>
    </row>
    <row r="1601" spans="1:20" s="818" customFormat="1" ht="22.5" customHeight="1">
      <c r="A1601" s="757">
        <v>85403</v>
      </c>
      <c r="B1601" s="959" t="s">
        <v>843</v>
      </c>
      <c r="C1601" s="725">
        <f>SUM(C1602:C1627)</f>
        <v>1425300</v>
      </c>
      <c r="D1601" s="712">
        <f t="shared" si="189"/>
        <v>1562606</v>
      </c>
      <c r="E1601" s="712">
        <f>H1601+K1601+Q1601+N1601</f>
        <v>1561228</v>
      </c>
      <c r="F1601" s="713">
        <f t="shared" si="197"/>
        <v>99.91181398253943</v>
      </c>
      <c r="G1601" s="712"/>
      <c r="H1601" s="717"/>
      <c r="I1601" s="762"/>
      <c r="J1601" s="717"/>
      <c r="K1601" s="712"/>
      <c r="L1601" s="718"/>
      <c r="M1601" s="712">
        <f>SUM(M1602:M1627)</f>
        <v>1562606</v>
      </c>
      <c r="N1601" s="712">
        <f>SUM(N1602:N1627)</f>
        <v>1561228</v>
      </c>
      <c r="O1601" s="741">
        <f t="shared" si="196"/>
        <v>99.91181398253943</v>
      </c>
      <c r="P1601" s="712"/>
      <c r="Q1601" s="712"/>
      <c r="R1601" s="846"/>
      <c r="S1601" s="817"/>
      <c r="T1601" s="817"/>
    </row>
    <row r="1602" spans="1:20" s="818" customFormat="1" ht="36">
      <c r="A1602" s="784">
        <v>3020</v>
      </c>
      <c r="B1602" s="934" t="s">
        <v>709</v>
      </c>
      <c r="C1602" s="723">
        <v>4000</v>
      </c>
      <c r="D1602" s="732">
        <f t="shared" si="189"/>
        <v>6200</v>
      </c>
      <c r="E1602" s="732">
        <f aca="true" t="shared" si="200" ref="E1602:E1627">SUM(H1602+K1602+N1602+Q1602)</f>
        <v>5686</v>
      </c>
      <c r="F1602" s="721">
        <f t="shared" si="197"/>
        <v>91.70967741935485</v>
      </c>
      <c r="G1602" s="732"/>
      <c r="H1602" s="735"/>
      <c r="I1602" s="803"/>
      <c r="J1602" s="735"/>
      <c r="K1602" s="732"/>
      <c r="L1602" s="736"/>
      <c r="M1602" s="723">
        <f>4000+2200</f>
        <v>6200</v>
      </c>
      <c r="N1602" s="732">
        <v>5686</v>
      </c>
      <c r="O1602" s="786">
        <f t="shared" si="196"/>
        <v>91.70967741935485</v>
      </c>
      <c r="P1602" s="732"/>
      <c r="Q1602" s="732"/>
      <c r="R1602" s="788"/>
      <c r="S1602" s="817"/>
      <c r="T1602" s="817"/>
    </row>
    <row r="1603" spans="1:20" s="818" customFormat="1" ht="24" hidden="1">
      <c r="A1603" s="764">
        <v>3110</v>
      </c>
      <c r="B1603" s="934" t="s">
        <v>713</v>
      </c>
      <c r="C1603" s="720"/>
      <c r="D1603" s="698">
        <f t="shared" si="189"/>
        <v>0</v>
      </c>
      <c r="E1603" s="698">
        <f t="shared" si="200"/>
        <v>0</v>
      </c>
      <c r="F1603" s="699" t="e">
        <f t="shared" si="197"/>
        <v>#DIV/0!</v>
      </c>
      <c r="G1603" s="698"/>
      <c r="H1603" s="703"/>
      <c r="I1603" s="766"/>
      <c r="J1603" s="703"/>
      <c r="K1603" s="698"/>
      <c r="L1603" s="704"/>
      <c r="M1603" s="720"/>
      <c r="N1603" s="698"/>
      <c r="O1603" s="744" t="e">
        <f t="shared" si="196"/>
        <v>#DIV/0!</v>
      </c>
      <c r="P1603" s="698"/>
      <c r="Q1603" s="698"/>
      <c r="R1603" s="770"/>
      <c r="S1603" s="817"/>
      <c r="T1603" s="817"/>
    </row>
    <row r="1604" spans="1:20" s="818" customFormat="1" ht="27.75" customHeight="1">
      <c r="A1604" s="764">
        <v>4010</v>
      </c>
      <c r="B1604" s="934" t="s">
        <v>201</v>
      </c>
      <c r="C1604" s="720">
        <v>925000</v>
      </c>
      <c r="D1604" s="698">
        <f t="shared" si="189"/>
        <v>1024800</v>
      </c>
      <c r="E1604" s="698">
        <f t="shared" si="200"/>
        <v>1024800</v>
      </c>
      <c r="F1604" s="699">
        <f t="shared" si="197"/>
        <v>100</v>
      </c>
      <c r="G1604" s="698"/>
      <c r="H1604" s="703"/>
      <c r="I1604" s="766"/>
      <c r="J1604" s="703"/>
      <c r="K1604" s="698"/>
      <c r="L1604" s="704"/>
      <c r="M1604" s="720">
        <f>925000+99800</f>
        <v>1024800</v>
      </c>
      <c r="N1604" s="698">
        <v>1024800</v>
      </c>
      <c r="O1604" s="744">
        <f t="shared" si="196"/>
        <v>100</v>
      </c>
      <c r="P1604" s="698"/>
      <c r="Q1604" s="698"/>
      <c r="R1604" s="770"/>
      <c r="S1604" s="817"/>
      <c r="T1604" s="817"/>
    </row>
    <row r="1605" spans="1:20" s="818" customFormat="1" ht="24">
      <c r="A1605" s="764">
        <v>4040</v>
      </c>
      <c r="B1605" s="934" t="s">
        <v>205</v>
      </c>
      <c r="C1605" s="720">
        <v>66300</v>
      </c>
      <c r="D1605" s="698">
        <f t="shared" si="189"/>
        <v>74305</v>
      </c>
      <c r="E1605" s="698">
        <f t="shared" si="200"/>
        <v>74305</v>
      </c>
      <c r="F1605" s="699">
        <f t="shared" si="197"/>
        <v>100</v>
      </c>
      <c r="G1605" s="698"/>
      <c r="H1605" s="703"/>
      <c r="I1605" s="766"/>
      <c r="J1605" s="703"/>
      <c r="K1605" s="698"/>
      <c r="L1605" s="704"/>
      <c r="M1605" s="720">
        <f>66300+8005</f>
        <v>74305</v>
      </c>
      <c r="N1605" s="698">
        <v>74305</v>
      </c>
      <c r="O1605" s="744">
        <f t="shared" si="196"/>
        <v>100</v>
      </c>
      <c r="P1605" s="698"/>
      <c r="Q1605" s="698"/>
      <c r="R1605" s="770"/>
      <c r="S1605" s="817"/>
      <c r="T1605" s="817"/>
    </row>
    <row r="1606" spans="1:20" s="818" customFormat="1" ht="24" customHeight="1">
      <c r="A1606" s="764">
        <v>4110</v>
      </c>
      <c r="B1606" s="934" t="s">
        <v>207</v>
      </c>
      <c r="C1606" s="720">
        <v>152700</v>
      </c>
      <c r="D1606" s="698">
        <f t="shared" si="189"/>
        <v>164500</v>
      </c>
      <c r="E1606" s="698">
        <f t="shared" si="200"/>
        <v>164500</v>
      </c>
      <c r="F1606" s="699">
        <f t="shared" si="197"/>
        <v>100</v>
      </c>
      <c r="G1606" s="698"/>
      <c r="H1606" s="703"/>
      <c r="I1606" s="766"/>
      <c r="J1606" s="703"/>
      <c r="K1606" s="698"/>
      <c r="L1606" s="704"/>
      <c r="M1606" s="720">
        <f>152700+11800</f>
        <v>164500</v>
      </c>
      <c r="N1606" s="698">
        <v>164500</v>
      </c>
      <c r="O1606" s="744">
        <f t="shared" si="196"/>
        <v>100</v>
      </c>
      <c r="P1606" s="698"/>
      <c r="Q1606" s="698"/>
      <c r="R1606" s="770"/>
      <c r="S1606" s="817"/>
      <c r="T1606" s="817"/>
    </row>
    <row r="1607" spans="1:20" s="818" customFormat="1" ht="12.75">
      <c r="A1607" s="764">
        <v>4120</v>
      </c>
      <c r="B1607" s="934" t="s">
        <v>584</v>
      </c>
      <c r="C1607" s="720">
        <v>23600</v>
      </c>
      <c r="D1607" s="698">
        <f t="shared" si="189"/>
        <v>25100</v>
      </c>
      <c r="E1607" s="698">
        <f t="shared" si="200"/>
        <v>25100</v>
      </c>
      <c r="F1607" s="699">
        <f t="shared" si="197"/>
        <v>100</v>
      </c>
      <c r="G1607" s="698"/>
      <c r="H1607" s="703"/>
      <c r="I1607" s="766"/>
      <c r="J1607" s="703"/>
      <c r="K1607" s="698"/>
      <c r="L1607" s="704"/>
      <c r="M1607" s="720">
        <f>23600+1500</f>
        <v>25100</v>
      </c>
      <c r="N1607" s="698">
        <v>25100</v>
      </c>
      <c r="O1607" s="744">
        <f t="shared" si="196"/>
        <v>100</v>
      </c>
      <c r="P1607" s="698"/>
      <c r="Q1607" s="698"/>
      <c r="R1607" s="770"/>
      <c r="S1607" s="817"/>
      <c r="T1607" s="817"/>
    </row>
    <row r="1608" spans="1:20" s="818" customFormat="1" ht="36" hidden="1">
      <c r="A1608" s="764">
        <v>4130</v>
      </c>
      <c r="B1608" s="934" t="s">
        <v>714</v>
      </c>
      <c r="C1608" s="720"/>
      <c r="D1608" s="698">
        <f t="shared" si="189"/>
        <v>0</v>
      </c>
      <c r="E1608" s="698">
        <f>H1608+K1608+Q1608+N1608</f>
        <v>0</v>
      </c>
      <c r="F1608" s="699" t="e">
        <f t="shared" si="197"/>
        <v>#DIV/0!</v>
      </c>
      <c r="G1608" s="698"/>
      <c r="H1608" s="703"/>
      <c r="I1608" s="766"/>
      <c r="J1608" s="703"/>
      <c r="K1608" s="698"/>
      <c r="L1608" s="704"/>
      <c r="M1608" s="720"/>
      <c r="N1608" s="698"/>
      <c r="O1608" s="744" t="e">
        <f t="shared" si="196"/>
        <v>#DIV/0!</v>
      </c>
      <c r="P1608" s="698"/>
      <c r="Q1608" s="698"/>
      <c r="R1608" s="770"/>
      <c r="S1608" s="817"/>
      <c r="T1608" s="817"/>
    </row>
    <row r="1609" spans="1:20" s="818" customFormat="1" ht="24" hidden="1">
      <c r="A1609" s="764">
        <v>4170</v>
      </c>
      <c r="B1609" s="934" t="s">
        <v>242</v>
      </c>
      <c r="C1609" s="720"/>
      <c r="D1609" s="698">
        <f t="shared" si="189"/>
        <v>0</v>
      </c>
      <c r="E1609" s="698">
        <f>H1609+K1609+Q1609+N1609</f>
        <v>0</v>
      </c>
      <c r="F1609" s="699" t="e">
        <f t="shared" si="197"/>
        <v>#DIV/0!</v>
      </c>
      <c r="G1609" s="698"/>
      <c r="H1609" s="703"/>
      <c r="I1609" s="766"/>
      <c r="J1609" s="703"/>
      <c r="K1609" s="698"/>
      <c r="L1609" s="704"/>
      <c r="M1609" s="720"/>
      <c r="N1609" s="698"/>
      <c r="O1609" s="744" t="e">
        <f t="shared" si="196"/>
        <v>#DIV/0!</v>
      </c>
      <c r="P1609" s="698"/>
      <c r="Q1609" s="698"/>
      <c r="R1609" s="770"/>
      <c r="S1609" s="817"/>
      <c r="T1609" s="817"/>
    </row>
    <row r="1610" spans="1:20" s="818" customFormat="1" ht="24">
      <c r="A1610" s="764">
        <v>4210</v>
      </c>
      <c r="B1610" s="934" t="s">
        <v>211</v>
      </c>
      <c r="C1610" s="720">
        <v>50000</v>
      </c>
      <c r="D1610" s="698">
        <f t="shared" si="189"/>
        <v>58000</v>
      </c>
      <c r="E1610" s="698">
        <f t="shared" si="200"/>
        <v>58000</v>
      </c>
      <c r="F1610" s="699">
        <f t="shared" si="197"/>
        <v>100</v>
      </c>
      <c r="G1610" s="698"/>
      <c r="H1610" s="703"/>
      <c r="I1610" s="766"/>
      <c r="J1610" s="703"/>
      <c r="K1610" s="698"/>
      <c r="L1610" s="704"/>
      <c r="M1610" s="720">
        <f>50000+2000+6000</f>
        <v>58000</v>
      </c>
      <c r="N1610" s="698">
        <v>58000</v>
      </c>
      <c r="O1610" s="744">
        <f t="shared" si="196"/>
        <v>100</v>
      </c>
      <c r="P1610" s="698"/>
      <c r="Q1610" s="698"/>
      <c r="R1610" s="770"/>
      <c r="S1610" s="817"/>
      <c r="T1610" s="817"/>
    </row>
    <row r="1611" spans="1:20" s="818" customFormat="1" ht="13.5" customHeight="1">
      <c r="A1611" s="764">
        <v>4220</v>
      </c>
      <c r="B1611" s="934" t="s">
        <v>680</v>
      </c>
      <c r="C1611" s="720">
        <v>70000</v>
      </c>
      <c r="D1611" s="698">
        <f t="shared" si="189"/>
        <v>64000</v>
      </c>
      <c r="E1611" s="698">
        <f t="shared" si="200"/>
        <v>63981</v>
      </c>
      <c r="F1611" s="699">
        <f t="shared" si="197"/>
        <v>99.9703125</v>
      </c>
      <c r="G1611" s="698"/>
      <c r="H1611" s="703"/>
      <c r="I1611" s="766"/>
      <c r="J1611" s="703"/>
      <c r="K1611" s="698"/>
      <c r="L1611" s="704"/>
      <c r="M1611" s="720">
        <f>70000-6000</f>
        <v>64000</v>
      </c>
      <c r="N1611" s="698">
        <v>63981</v>
      </c>
      <c r="O1611" s="744">
        <f t="shared" si="196"/>
        <v>99.9703125</v>
      </c>
      <c r="P1611" s="698"/>
      <c r="Q1611" s="698"/>
      <c r="R1611" s="770"/>
      <c r="S1611" s="817"/>
      <c r="T1611" s="817"/>
    </row>
    <row r="1612" spans="1:20" s="818" customFormat="1" ht="36">
      <c r="A1612" s="764">
        <v>4240</v>
      </c>
      <c r="B1612" s="934" t="s">
        <v>844</v>
      </c>
      <c r="C1612" s="720">
        <v>5000</v>
      </c>
      <c r="D1612" s="698">
        <f t="shared" si="189"/>
        <v>5000</v>
      </c>
      <c r="E1612" s="698">
        <f t="shared" si="200"/>
        <v>4980</v>
      </c>
      <c r="F1612" s="699">
        <f t="shared" si="197"/>
        <v>99.6</v>
      </c>
      <c r="G1612" s="698"/>
      <c r="H1612" s="703"/>
      <c r="I1612" s="766"/>
      <c r="J1612" s="703"/>
      <c r="K1612" s="698"/>
      <c r="L1612" s="704"/>
      <c r="M1612" s="720">
        <v>5000</v>
      </c>
      <c r="N1612" s="698">
        <v>4980</v>
      </c>
      <c r="O1612" s="744">
        <f t="shared" si="196"/>
        <v>99.6</v>
      </c>
      <c r="P1612" s="698"/>
      <c r="Q1612" s="698"/>
      <c r="R1612" s="770"/>
      <c r="S1612" s="817"/>
      <c r="T1612" s="817"/>
    </row>
    <row r="1613" spans="1:20" s="818" customFormat="1" ht="12.75">
      <c r="A1613" s="764">
        <v>4260</v>
      </c>
      <c r="B1613" s="934" t="s">
        <v>215</v>
      </c>
      <c r="C1613" s="720">
        <v>40000</v>
      </c>
      <c r="D1613" s="698">
        <f t="shared" si="189"/>
        <v>49000</v>
      </c>
      <c r="E1613" s="698">
        <f t="shared" si="200"/>
        <v>49000</v>
      </c>
      <c r="F1613" s="699">
        <f t="shared" si="197"/>
        <v>100</v>
      </c>
      <c r="G1613" s="698"/>
      <c r="H1613" s="703"/>
      <c r="I1613" s="766"/>
      <c r="J1613" s="703"/>
      <c r="K1613" s="698"/>
      <c r="L1613" s="704"/>
      <c r="M1613" s="720">
        <f>40000+9000</f>
        <v>49000</v>
      </c>
      <c r="N1613" s="698">
        <v>49000</v>
      </c>
      <c r="O1613" s="744">
        <f t="shared" si="196"/>
        <v>100</v>
      </c>
      <c r="P1613" s="698"/>
      <c r="Q1613" s="698"/>
      <c r="R1613" s="770"/>
      <c r="S1613" s="817"/>
      <c r="T1613" s="817"/>
    </row>
    <row r="1614" spans="1:20" s="818" customFormat="1" ht="13.5" customHeight="1">
      <c r="A1614" s="764">
        <v>4270</v>
      </c>
      <c r="B1614" s="934" t="s">
        <v>217</v>
      </c>
      <c r="C1614" s="720">
        <v>8000</v>
      </c>
      <c r="D1614" s="698">
        <f t="shared" si="189"/>
        <v>8000</v>
      </c>
      <c r="E1614" s="698">
        <f t="shared" si="200"/>
        <v>7978</v>
      </c>
      <c r="F1614" s="699">
        <f t="shared" si="197"/>
        <v>99.725</v>
      </c>
      <c r="G1614" s="698"/>
      <c r="H1614" s="703"/>
      <c r="I1614" s="766"/>
      <c r="J1614" s="703"/>
      <c r="K1614" s="698"/>
      <c r="L1614" s="704"/>
      <c r="M1614" s="720">
        <v>8000</v>
      </c>
      <c r="N1614" s="698">
        <v>7978</v>
      </c>
      <c r="O1614" s="744">
        <f t="shared" si="196"/>
        <v>99.725</v>
      </c>
      <c r="P1614" s="698"/>
      <c r="Q1614" s="698"/>
      <c r="R1614" s="770"/>
      <c r="S1614" s="817"/>
      <c r="T1614" s="817"/>
    </row>
    <row r="1615" spans="1:20" s="818" customFormat="1" ht="16.5" customHeight="1">
      <c r="A1615" s="764">
        <v>4280</v>
      </c>
      <c r="B1615" s="934" t="s">
        <v>542</v>
      </c>
      <c r="C1615" s="720">
        <v>1600</v>
      </c>
      <c r="D1615" s="698">
        <f t="shared" si="189"/>
        <v>700</v>
      </c>
      <c r="E1615" s="698">
        <f t="shared" si="200"/>
        <v>700</v>
      </c>
      <c r="F1615" s="699">
        <f t="shared" si="197"/>
        <v>100</v>
      </c>
      <c r="G1615" s="698"/>
      <c r="H1615" s="703"/>
      <c r="I1615" s="766"/>
      <c r="J1615" s="703"/>
      <c r="K1615" s="698"/>
      <c r="L1615" s="704"/>
      <c r="M1615" s="720">
        <f>1600-900</f>
        <v>700</v>
      </c>
      <c r="N1615" s="698">
        <v>700</v>
      </c>
      <c r="O1615" s="744">
        <f t="shared" si="196"/>
        <v>100</v>
      </c>
      <c r="P1615" s="698"/>
      <c r="Q1615" s="698"/>
      <c r="R1615" s="770"/>
      <c r="S1615" s="817"/>
      <c r="T1615" s="817"/>
    </row>
    <row r="1616" spans="1:20" s="818" customFormat="1" ht="15.75" customHeight="1">
      <c r="A1616" s="764">
        <v>4300</v>
      </c>
      <c r="B1616" s="934" t="s">
        <v>219</v>
      </c>
      <c r="C1616" s="720">
        <v>20000</v>
      </c>
      <c r="D1616" s="698">
        <f t="shared" si="189"/>
        <v>16400</v>
      </c>
      <c r="E1616" s="698">
        <f t="shared" si="200"/>
        <v>16400</v>
      </c>
      <c r="F1616" s="699">
        <f t="shared" si="197"/>
        <v>100</v>
      </c>
      <c r="G1616" s="698"/>
      <c r="H1616" s="703"/>
      <c r="I1616" s="766"/>
      <c r="J1616" s="703"/>
      <c r="K1616" s="698"/>
      <c r="L1616" s="704"/>
      <c r="M1616" s="720">
        <f>20000-3600</f>
        <v>16400</v>
      </c>
      <c r="N1616" s="698">
        <v>16400</v>
      </c>
      <c r="O1616" s="744">
        <f t="shared" si="196"/>
        <v>100</v>
      </c>
      <c r="P1616" s="698"/>
      <c r="Q1616" s="698"/>
      <c r="R1616" s="770"/>
      <c r="S1616" s="817"/>
      <c r="T1616" s="817"/>
    </row>
    <row r="1617" spans="1:20" s="818" customFormat="1" ht="24">
      <c r="A1617" s="764">
        <v>4350</v>
      </c>
      <c r="B1617" s="934" t="s">
        <v>544</v>
      </c>
      <c r="C1617" s="720">
        <v>600</v>
      </c>
      <c r="D1617" s="698">
        <f t="shared" si="189"/>
        <v>900</v>
      </c>
      <c r="E1617" s="698">
        <f t="shared" si="200"/>
        <v>584</v>
      </c>
      <c r="F1617" s="699">
        <f t="shared" si="197"/>
        <v>64.88888888888889</v>
      </c>
      <c r="G1617" s="698"/>
      <c r="H1617" s="703"/>
      <c r="I1617" s="766"/>
      <c r="J1617" s="703"/>
      <c r="K1617" s="698"/>
      <c r="L1617" s="704"/>
      <c r="M1617" s="720">
        <f>600+300</f>
        <v>900</v>
      </c>
      <c r="N1617" s="698">
        <v>584</v>
      </c>
      <c r="O1617" s="744">
        <f t="shared" si="196"/>
        <v>64.88888888888889</v>
      </c>
      <c r="P1617" s="698"/>
      <c r="Q1617" s="698"/>
      <c r="R1617" s="770"/>
      <c r="S1617" s="817"/>
      <c r="T1617" s="817"/>
    </row>
    <row r="1618" spans="1:20" s="818" customFormat="1" ht="38.25" customHeight="1">
      <c r="A1618" s="764">
        <v>4360</v>
      </c>
      <c r="B1618" s="828" t="s">
        <v>682</v>
      </c>
      <c r="C1618" s="720">
        <v>1000</v>
      </c>
      <c r="D1618" s="698">
        <f>G1618+J1618+P1618+M1618</f>
        <v>2000</v>
      </c>
      <c r="E1618" s="698">
        <f>SUM(H1618+K1618+N1618+Q1618)</f>
        <v>1988</v>
      </c>
      <c r="F1618" s="699">
        <f>E1618/D1618*100</f>
        <v>99.4</v>
      </c>
      <c r="G1618" s="698"/>
      <c r="H1618" s="703"/>
      <c r="I1618" s="766"/>
      <c r="J1618" s="703"/>
      <c r="K1618" s="698"/>
      <c r="L1618" s="704"/>
      <c r="M1618" s="720">
        <f>1000+800+200</f>
        <v>2000</v>
      </c>
      <c r="N1618" s="698">
        <v>1988</v>
      </c>
      <c r="O1618" s="744">
        <f aca="true" t="shared" si="201" ref="O1618:O1681">N1618/M1618*100</f>
        <v>99.4</v>
      </c>
      <c r="P1618" s="698"/>
      <c r="Q1618" s="698"/>
      <c r="R1618" s="770"/>
      <c r="S1618" s="817"/>
      <c r="T1618" s="817"/>
    </row>
    <row r="1619" spans="1:20" s="818" customFormat="1" ht="38.25" customHeight="1">
      <c r="A1619" s="764">
        <v>4370</v>
      </c>
      <c r="B1619" s="828" t="s">
        <v>635</v>
      </c>
      <c r="C1619" s="720">
        <v>2200</v>
      </c>
      <c r="D1619" s="698">
        <f>G1619+J1619+P1619+M1619</f>
        <v>1100</v>
      </c>
      <c r="E1619" s="698">
        <f>SUM(H1619+K1619+N1619+Q1619)</f>
        <v>903</v>
      </c>
      <c r="F1619" s="699">
        <f>E1619/D1619*100</f>
        <v>82.0909090909091</v>
      </c>
      <c r="G1619" s="698"/>
      <c r="H1619" s="703"/>
      <c r="I1619" s="766"/>
      <c r="J1619" s="703"/>
      <c r="K1619" s="698"/>
      <c r="L1619" s="704"/>
      <c r="M1619" s="720">
        <f>2200-800-300</f>
        <v>1100</v>
      </c>
      <c r="N1619" s="698">
        <v>903</v>
      </c>
      <c r="O1619" s="744">
        <f t="shared" si="201"/>
        <v>82.0909090909091</v>
      </c>
      <c r="P1619" s="698"/>
      <c r="Q1619" s="698"/>
      <c r="R1619" s="770"/>
      <c r="S1619" s="817"/>
      <c r="T1619" s="817"/>
    </row>
    <row r="1620" spans="1:20" s="818" customFormat="1" ht="38.25" customHeight="1">
      <c r="A1620" s="764">
        <v>4390</v>
      </c>
      <c r="B1620" s="768" t="s">
        <v>243</v>
      </c>
      <c r="C1620" s="720">
        <v>1000</v>
      </c>
      <c r="D1620" s="698">
        <f>G1620+J1620+P1620+M1620</f>
        <v>4800</v>
      </c>
      <c r="E1620" s="698">
        <f>SUM(H1620+K1620+N1620+Q1620)</f>
        <v>4730</v>
      </c>
      <c r="F1620" s="699"/>
      <c r="G1620" s="698"/>
      <c r="H1620" s="703"/>
      <c r="I1620" s="766"/>
      <c r="J1620" s="703"/>
      <c r="K1620" s="698"/>
      <c r="L1620" s="704"/>
      <c r="M1620" s="720">
        <f>1000+3800</f>
        <v>4800</v>
      </c>
      <c r="N1620" s="698">
        <v>4730</v>
      </c>
      <c r="O1620" s="744">
        <f t="shared" si="201"/>
        <v>98.54166666666667</v>
      </c>
      <c r="P1620" s="698"/>
      <c r="Q1620" s="698"/>
      <c r="R1620" s="770"/>
      <c r="S1620" s="817"/>
      <c r="T1620" s="817"/>
    </row>
    <row r="1621" spans="1:20" s="818" customFormat="1" ht="14.25" customHeight="1">
      <c r="A1621" s="764">
        <v>4410</v>
      </c>
      <c r="B1621" s="934" t="s">
        <v>193</v>
      </c>
      <c r="C1621" s="720">
        <v>300</v>
      </c>
      <c r="D1621" s="698">
        <f t="shared" si="189"/>
        <v>300</v>
      </c>
      <c r="E1621" s="698">
        <f t="shared" si="200"/>
        <v>92</v>
      </c>
      <c r="F1621" s="699">
        <f t="shared" si="197"/>
        <v>30.666666666666664</v>
      </c>
      <c r="G1621" s="698"/>
      <c r="H1621" s="703"/>
      <c r="I1621" s="766"/>
      <c r="J1621" s="703"/>
      <c r="K1621" s="698"/>
      <c r="L1621" s="704"/>
      <c r="M1621" s="720">
        <v>300</v>
      </c>
      <c r="N1621" s="698">
        <v>92</v>
      </c>
      <c r="O1621" s="744">
        <f t="shared" si="201"/>
        <v>30.666666666666664</v>
      </c>
      <c r="P1621" s="698"/>
      <c r="Q1621" s="698"/>
      <c r="R1621" s="770"/>
      <c r="S1621" s="817"/>
      <c r="T1621" s="817"/>
    </row>
    <row r="1622" spans="1:20" s="818" customFormat="1" ht="12.75">
      <c r="A1622" s="764">
        <v>4440</v>
      </c>
      <c r="B1622" s="828" t="s">
        <v>223</v>
      </c>
      <c r="C1622" s="720">
        <v>47500</v>
      </c>
      <c r="D1622" s="698">
        <f t="shared" si="189"/>
        <v>52701</v>
      </c>
      <c r="E1622" s="698">
        <f t="shared" si="200"/>
        <v>52701</v>
      </c>
      <c r="F1622" s="699">
        <f>E1622/D1622*100</f>
        <v>100</v>
      </c>
      <c r="G1622" s="698"/>
      <c r="H1622" s="703"/>
      <c r="I1622" s="766"/>
      <c r="J1622" s="703"/>
      <c r="K1622" s="698"/>
      <c r="L1622" s="704"/>
      <c r="M1622" s="720">
        <f>47500+6511-1310</f>
        <v>52701</v>
      </c>
      <c r="N1622" s="698">
        <v>52701</v>
      </c>
      <c r="O1622" s="744">
        <f t="shared" si="201"/>
        <v>100</v>
      </c>
      <c r="P1622" s="698"/>
      <c r="Q1622" s="698"/>
      <c r="R1622" s="770"/>
      <c r="S1622" s="817"/>
      <c r="T1622" s="817"/>
    </row>
    <row r="1623" spans="1:20" s="818" customFormat="1" ht="40.5" customHeight="1">
      <c r="A1623" s="764">
        <v>4700</v>
      </c>
      <c r="B1623" s="828" t="s">
        <v>550</v>
      </c>
      <c r="C1623" s="720">
        <v>3000</v>
      </c>
      <c r="D1623" s="698">
        <f aca="true" t="shared" si="202" ref="D1623:D1689">G1623+J1623+P1623+M1623</f>
        <v>1300</v>
      </c>
      <c r="E1623" s="698">
        <f t="shared" si="200"/>
        <v>1300</v>
      </c>
      <c r="F1623" s="699">
        <f>E1623/D1623*100</f>
        <v>100</v>
      </c>
      <c r="G1623" s="698"/>
      <c r="H1623" s="703"/>
      <c r="I1623" s="766"/>
      <c r="J1623" s="703"/>
      <c r="K1623" s="698"/>
      <c r="L1623" s="704"/>
      <c r="M1623" s="720">
        <f>3000-1700</f>
        <v>1300</v>
      </c>
      <c r="N1623" s="698">
        <v>1300</v>
      </c>
      <c r="O1623" s="744">
        <f t="shared" si="201"/>
        <v>100</v>
      </c>
      <c r="P1623" s="698"/>
      <c r="Q1623" s="698"/>
      <c r="R1623" s="770"/>
      <c r="S1623" s="817"/>
      <c r="T1623" s="817"/>
    </row>
    <row r="1624" spans="1:20" s="818" customFormat="1" ht="47.25" customHeight="1">
      <c r="A1624" s="764">
        <v>4740</v>
      </c>
      <c r="B1624" s="828" t="s">
        <v>235</v>
      </c>
      <c r="C1624" s="720">
        <v>1500</v>
      </c>
      <c r="D1624" s="698">
        <f t="shared" si="202"/>
        <v>1500</v>
      </c>
      <c r="E1624" s="698">
        <f>SUM(H1624+K1624+N1624+Q1624)</f>
        <v>1500</v>
      </c>
      <c r="F1624" s="699">
        <f>E1624/D1624*100</f>
        <v>100</v>
      </c>
      <c r="G1624" s="698"/>
      <c r="H1624" s="703"/>
      <c r="I1624" s="766"/>
      <c r="J1624" s="703"/>
      <c r="K1624" s="698"/>
      <c r="L1624" s="704"/>
      <c r="M1624" s="720">
        <v>1500</v>
      </c>
      <c r="N1624" s="698">
        <v>1500</v>
      </c>
      <c r="O1624" s="744">
        <f t="shared" si="201"/>
        <v>100</v>
      </c>
      <c r="P1624" s="698"/>
      <c r="Q1624" s="698"/>
      <c r="R1624" s="770"/>
      <c r="S1624" s="817"/>
      <c r="T1624" s="817"/>
    </row>
    <row r="1625" spans="1:20" s="818" customFormat="1" ht="36">
      <c r="A1625" s="764">
        <v>4750</v>
      </c>
      <c r="B1625" s="828" t="s">
        <v>551</v>
      </c>
      <c r="C1625" s="720">
        <v>2000</v>
      </c>
      <c r="D1625" s="698">
        <f t="shared" si="202"/>
        <v>2000</v>
      </c>
      <c r="E1625" s="698">
        <f>SUM(H1625+K1625+N1625+Q1625)</f>
        <v>2000</v>
      </c>
      <c r="F1625" s="699">
        <f>E1625/D1625*100</f>
        <v>100</v>
      </c>
      <c r="G1625" s="698"/>
      <c r="H1625" s="703"/>
      <c r="I1625" s="766"/>
      <c r="J1625" s="703"/>
      <c r="K1625" s="698"/>
      <c r="L1625" s="704"/>
      <c r="M1625" s="720">
        <v>2000</v>
      </c>
      <c r="N1625" s="698">
        <v>2000</v>
      </c>
      <c r="O1625" s="744">
        <f t="shared" si="201"/>
        <v>100</v>
      </c>
      <c r="P1625" s="698"/>
      <c r="Q1625" s="698"/>
      <c r="R1625" s="770"/>
      <c r="S1625" s="817"/>
      <c r="T1625" s="817"/>
    </row>
    <row r="1626" spans="1:20" s="818" customFormat="1" ht="36" hidden="1">
      <c r="A1626" s="764">
        <v>6050</v>
      </c>
      <c r="B1626" s="828" t="s">
        <v>246</v>
      </c>
      <c r="C1626" s="720"/>
      <c r="D1626" s="698">
        <f t="shared" si="202"/>
        <v>0</v>
      </c>
      <c r="E1626" s="698">
        <f>SUM(H1626+K1626+N1626+Q1626)</f>
        <v>0</v>
      </c>
      <c r="F1626" s="699" t="e">
        <f>E1626/D1626*100</f>
        <v>#DIV/0!</v>
      </c>
      <c r="G1626" s="698"/>
      <c r="H1626" s="703"/>
      <c r="I1626" s="766"/>
      <c r="J1626" s="703"/>
      <c r="K1626" s="698"/>
      <c r="L1626" s="704"/>
      <c r="M1626" s="720"/>
      <c r="N1626" s="698"/>
      <c r="O1626" s="744" t="e">
        <f t="shared" si="201"/>
        <v>#DIV/0!</v>
      </c>
      <c r="P1626" s="698"/>
      <c r="Q1626" s="698"/>
      <c r="R1626" s="770"/>
      <c r="S1626" s="817"/>
      <c r="T1626" s="817"/>
    </row>
    <row r="1627" spans="1:20" s="818" customFormat="1" ht="48" hidden="1">
      <c r="A1627" s="764">
        <v>6060</v>
      </c>
      <c r="B1627" s="828" t="s">
        <v>593</v>
      </c>
      <c r="C1627" s="791"/>
      <c r="D1627" s="792">
        <f t="shared" si="202"/>
        <v>0</v>
      </c>
      <c r="E1627" s="792">
        <f t="shared" si="200"/>
        <v>0</v>
      </c>
      <c r="F1627" s="760" t="e">
        <f aca="true" t="shared" si="203" ref="F1627:F1648">E1627/D1627*100</f>
        <v>#DIV/0!</v>
      </c>
      <c r="G1627" s="792"/>
      <c r="H1627" s="793"/>
      <c r="I1627" s="806"/>
      <c r="J1627" s="793"/>
      <c r="K1627" s="792"/>
      <c r="L1627" s="794"/>
      <c r="M1627" s="791"/>
      <c r="N1627" s="792"/>
      <c r="O1627" s="744" t="e">
        <f t="shared" si="201"/>
        <v>#DIV/0!</v>
      </c>
      <c r="P1627" s="792"/>
      <c r="Q1627" s="792"/>
      <c r="R1627" s="797"/>
      <c r="S1627" s="817"/>
      <c r="T1627" s="817"/>
    </row>
    <row r="1628" spans="1:20" s="756" customFormat="1" ht="36">
      <c r="A1628" s="757">
        <v>85406</v>
      </c>
      <c r="B1628" s="959" t="s">
        <v>845</v>
      </c>
      <c r="C1628" s="725">
        <f>SUM(C1629:C1651)</f>
        <v>1481100</v>
      </c>
      <c r="D1628" s="712">
        <f t="shared" si="202"/>
        <v>1543200</v>
      </c>
      <c r="E1628" s="712">
        <f>H1628+K1628+Q1628+N1628</f>
        <v>1530762</v>
      </c>
      <c r="F1628" s="713">
        <f t="shared" si="203"/>
        <v>99.19401244167962</v>
      </c>
      <c r="G1628" s="874"/>
      <c r="H1628" s="875"/>
      <c r="I1628" s="762"/>
      <c r="J1628" s="875"/>
      <c r="K1628" s="874"/>
      <c r="L1628" s="876"/>
      <c r="M1628" s="712">
        <f>SUM(M1629:M1652)+M1658</f>
        <v>1543200</v>
      </c>
      <c r="N1628" s="712">
        <f>SUM(N1629:N1652)+N1658</f>
        <v>1530762</v>
      </c>
      <c r="O1628" s="741">
        <f t="shared" si="201"/>
        <v>99.19401244167962</v>
      </c>
      <c r="P1628" s="712"/>
      <c r="Q1628" s="712"/>
      <c r="R1628" s="846"/>
      <c r="S1628" s="682"/>
      <c r="T1628" s="682"/>
    </row>
    <row r="1629" spans="1:20" s="756" customFormat="1" ht="36">
      <c r="A1629" s="764">
        <v>3020</v>
      </c>
      <c r="B1629" s="934" t="s">
        <v>709</v>
      </c>
      <c r="C1629" s="720">
        <v>4800</v>
      </c>
      <c r="D1629" s="698">
        <f t="shared" si="202"/>
        <v>3300</v>
      </c>
      <c r="E1629" s="698">
        <f aca="true" t="shared" si="204" ref="E1629:E1648">SUM(H1629+K1629+N1629+Q1629)</f>
        <v>3250</v>
      </c>
      <c r="F1629" s="699">
        <f t="shared" si="203"/>
        <v>98.48484848484848</v>
      </c>
      <c r="G1629" s="698"/>
      <c r="H1629" s="703"/>
      <c r="I1629" s="766"/>
      <c r="J1629" s="703"/>
      <c r="K1629" s="698"/>
      <c r="L1629" s="704"/>
      <c r="M1629" s="720">
        <f>4800-1500</f>
        <v>3300</v>
      </c>
      <c r="N1629" s="698">
        <v>3250</v>
      </c>
      <c r="O1629" s="744">
        <f t="shared" si="201"/>
        <v>98.48484848484848</v>
      </c>
      <c r="P1629" s="698"/>
      <c r="Q1629" s="698"/>
      <c r="R1629" s="770"/>
      <c r="S1629" s="682"/>
      <c r="T1629" s="682"/>
    </row>
    <row r="1630" spans="1:20" s="756" customFormat="1" ht="25.5" customHeight="1">
      <c r="A1630" s="764">
        <v>4010</v>
      </c>
      <c r="B1630" s="934" t="s">
        <v>201</v>
      </c>
      <c r="C1630" s="720">
        <v>1008600</v>
      </c>
      <c r="D1630" s="698">
        <f t="shared" si="202"/>
        <v>1063600</v>
      </c>
      <c r="E1630" s="698">
        <f t="shared" si="204"/>
        <v>1057145</v>
      </c>
      <c r="F1630" s="699">
        <f t="shared" si="203"/>
        <v>99.39309890936443</v>
      </c>
      <c r="G1630" s="698"/>
      <c r="H1630" s="703"/>
      <c r="I1630" s="766"/>
      <c r="J1630" s="703"/>
      <c r="K1630" s="698"/>
      <c r="L1630" s="704"/>
      <c r="M1630" s="720">
        <f>1008600+55000</f>
        <v>1063600</v>
      </c>
      <c r="N1630" s="698">
        <v>1057145</v>
      </c>
      <c r="O1630" s="744">
        <f t="shared" si="201"/>
        <v>99.39309890936443</v>
      </c>
      <c r="P1630" s="698"/>
      <c r="Q1630" s="698"/>
      <c r="R1630" s="770"/>
      <c r="S1630" s="682"/>
      <c r="T1630" s="682"/>
    </row>
    <row r="1631" spans="1:20" s="756" customFormat="1" ht="24">
      <c r="A1631" s="764">
        <v>4040</v>
      </c>
      <c r="B1631" s="934" t="s">
        <v>205</v>
      </c>
      <c r="C1631" s="720">
        <v>76800</v>
      </c>
      <c r="D1631" s="698">
        <f t="shared" si="202"/>
        <v>75200</v>
      </c>
      <c r="E1631" s="698">
        <f t="shared" si="204"/>
        <v>75193</v>
      </c>
      <c r="F1631" s="699">
        <f t="shared" si="203"/>
        <v>99.99069148936171</v>
      </c>
      <c r="G1631" s="698"/>
      <c r="H1631" s="703"/>
      <c r="I1631" s="766"/>
      <c r="J1631" s="703"/>
      <c r="K1631" s="698"/>
      <c r="L1631" s="704"/>
      <c r="M1631" s="720">
        <f>76800-1600</f>
        <v>75200</v>
      </c>
      <c r="N1631" s="698">
        <v>75193</v>
      </c>
      <c r="O1631" s="744">
        <f t="shared" si="201"/>
        <v>99.99069148936171</v>
      </c>
      <c r="P1631" s="698"/>
      <c r="Q1631" s="698"/>
      <c r="R1631" s="770"/>
      <c r="S1631" s="682"/>
      <c r="T1631" s="682"/>
    </row>
    <row r="1632" spans="1:20" s="756" customFormat="1" ht="25.5" customHeight="1">
      <c r="A1632" s="764">
        <v>4110</v>
      </c>
      <c r="B1632" s="934" t="s">
        <v>207</v>
      </c>
      <c r="C1632" s="720">
        <v>167500</v>
      </c>
      <c r="D1632" s="698">
        <f t="shared" si="202"/>
        <v>168900</v>
      </c>
      <c r="E1632" s="698">
        <f t="shared" si="204"/>
        <v>168371</v>
      </c>
      <c r="F1632" s="699">
        <f t="shared" si="203"/>
        <v>99.68679692125518</v>
      </c>
      <c r="G1632" s="698"/>
      <c r="H1632" s="703"/>
      <c r="I1632" s="766"/>
      <c r="J1632" s="703"/>
      <c r="K1632" s="698"/>
      <c r="L1632" s="704"/>
      <c r="M1632" s="720">
        <f>167500+1400</f>
        <v>168900</v>
      </c>
      <c r="N1632" s="698">
        <v>168371</v>
      </c>
      <c r="O1632" s="744">
        <f t="shared" si="201"/>
        <v>99.68679692125518</v>
      </c>
      <c r="P1632" s="698"/>
      <c r="Q1632" s="698"/>
      <c r="R1632" s="770"/>
      <c r="S1632" s="682"/>
      <c r="T1632" s="682"/>
    </row>
    <row r="1633" spans="1:20" s="756" customFormat="1" ht="12.75">
      <c r="A1633" s="764">
        <v>4120</v>
      </c>
      <c r="B1633" s="934" t="s">
        <v>584</v>
      </c>
      <c r="C1633" s="720">
        <v>25600</v>
      </c>
      <c r="D1633" s="698">
        <f t="shared" si="202"/>
        <v>26300</v>
      </c>
      <c r="E1633" s="698">
        <f>SUM(H1633+K1633+N1633+Q1633)</f>
        <v>26300</v>
      </c>
      <c r="F1633" s="699">
        <f>E1633/D1633*100</f>
        <v>100</v>
      </c>
      <c r="G1633" s="698"/>
      <c r="H1633" s="703"/>
      <c r="I1633" s="766"/>
      <c r="J1633" s="703"/>
      <c r="K1633" s="698"/>
      <c r="L1633" s="704"/>
      <c r="M1633" s="720">
        <f>25600+700</f>
        <v>26300</v>
      </c>
      <c r="N1633" s="698">
        <v>26300</v>
      </c>
      <c r="O1633" s="744">
        <f t="shared" si="201"/>
        <v>100</v>
      </c>
      <c r="P1633" s="698"/>
      <c r="Q1633" s="698"/>
      <c r="R1633" s="770"/>
      <c r="S1633" s="682"/>
      <c r="T1633" s="682"/>
    </row>
    <row r="1634" spans="1:20" s="756" customFormat="1" ht="12.75">
      <c r="A1634" s="764">
        <v>4140</v>
      </c>
      <c r="B1634" s="934" t="s">
        <v>283</v>
      </c>
      <c r="C1634" s="720">
        <v>27200</v>
      </c>
      <c r="D1634" s="698">
        <f t="shared" si="202"/>
        <v>27200</v>
      </c>
      <c r="E1634" s="698">
        <f t="shared" si="204"/>
        <v>27200</v>
      </c>
      <c r="F1634" s="699">
        <f t="shared" si="203"/>
        <v>100</v>
      </c>
      <c r="G1634" s="698"/>
      <c r="H1634" s="703"/>
      <c r="I1634" s="766"/>
      <c r="J1634" s="703"/>
      <c r="K1634" s="698"/>
      <c r="L1634" s="704"/>
      <c r="M1634" s="720">
        <v>27200</v>
      </c>
      <c r="N1634" s="698">
        <v>27200</v>
      </c>
      <c r="O1634" s="744">
        <f t="shared" si="201"/>
        <v>100</v>
      </c>
      <c r="P1634" s="698"/>
      <c r="Q1634" s="698"/>
      <c r="R1634" s="770"/>
      <c r="S1634" s="682"/>
      <c r="T1634" s="682"/>
    </row>
    <row r="1635" spans="1:20" s="756" customFormat="1" ht="24">
      <c r="A1635" s="764">
        <v>4170</v>
      </c>
      <c r="B1635" s="934" t="s">
        <v>242</v>
      </c>
      <c r="C1635" s="720"/>
      <c r="D1635" s="698">
        <f t="shared" si="202"/>
        <v>10700</v>
      </c>
      <c r="E1635" s="698">
        <f>SUM(H1635+K1635+N1635+Q1635)</f>
        <v>10610</v>
      </c>
      <c r="F1635" s="699">
        <f>E1635/D1635*100</f>
        <v>99.1588785046729</v>
      </c>
      <c r="G1635" s="698"/>
      <c r="H1635" s="703"/>
      <c r="I1635" s="766"/>
      <c r="J1635" s="703"/>
      <c r="K1635" s="698"/>
      <c r="L1635" s="704"/>
      <c r="M1635" s="720">
        <f>8400+2300</f>
        <v>10700</v>
      </c>
      <c r="N1635" s="698">
        <v>10610</v>
      </c>
      <c r="O1635" s="744">
        <f t="shared" si="201"/>
        <v>99.1588785046729</v>
      </c>
      <c r="P1635" s="698"/>
      <c r="Q1635" s="698"/>
      <c r="R1635" s="770"/>
      <c r="S1635" s="682"/>
      <c r="T1635" s="682"/>
    </row>
    <row r="1636" spans="1:20" s="756" customFormat="1" ht="24">
      <c r="A1636" s="764">
        <v>4210</v>
      </c>
      <c r="B1636" s="934" t="s">
        <v>211</v>
      </c>
      <c r="C1636" s="720">
        <v>15000</v>
      </c>
      <c r="D1636" s="698">
        <f t="shared" si="202"/>
        <v>18000</v>
      </c>
      <c r="E1636" s="698">
        <f t="shared" si="204"/>
        <v>16827</v>
      </c>
      <c r="F1636" s="699">
        <f t="shared" si="203"/>
        <v>93.48333333333333</v>
      </c>
      <c r="G1636" s="698"/>
      <c r="H1636" s="703"/>
      <c r="I1636" s="766"/>
      <c r="J1636" s="703"/>
      <c r="K1636" s="698"/>
      <c r="L1636" s="704"/>
      <c r="M1636" s="720">
        <f>15000+3000</f>
        <v>18000</v>
      </c>
      <c r="N1636" s="698">
        <v>16827</v>
      </c>
      <c r="O1636" s="744">
        <f t="shared" si="201"/>
        <v>93.48333333333333</v>
      </c>
      <c r="P1636" s="698"/>
      <c r="Q1636" s="698"/>
      <c r="R1636" s="770"/>
      <c r="S1636" s="682"/>
      <c r="T1636" s="682"/>
    </row>
    <row r="1637" spans="1:20" s="756" customFormat="1" ht="36">
      <c r="A1637" s="764">
        <v>4240</v>
      </c>
      <c r="B1637" s="934" t="s">
        <v>846</v>
      </c>
      <c r="C1637" s="720">
        <v>1500</v>
      </c>
      <c r="D1637" s="698">
        <f t="shared" si="202"/>
        <v>10500</v>
      </c>
      <c r="E1637" s="698">
        <f t="shared" si="204"/>
        <v>10448</v>
      </c>
      <c r="F1637" s="699">
        <f t="shared" si="203"/>
        <v>99.5047619047619</v>
      </c>
      <c r="G1637" s="698"/>
      <c r="H1637" s="703"/>
      <c r="I1637" s="766"/>
      <c r="J1637" s="703"/>
      <c r="K1637" s="698"/>
      <c r="L1637" s="704"/>
      <c r="M1637" s="720">
        <f>1500+9000</f>
        <v>10500</v>
      </c>
      <c r="N1637" s="698">
        <v>10448</v>
      </c>
      <c r="O1637" s="744">
        <f t="shared" si="201"/>
        <v>99.5047619047619</v>
      </c>
      <c r="P1637" s="698"/>
      <c r="Q1637" s="698"/>
      <c r="R1637" s="770"/>
      <c r="S1637" s="682"/>
      <c r="T1637" s="682"/>
    </row>
    <row r="1638" spans="1:20" s="756" customFormat="1" ht="12.75">
      <c r="A1638" s="764">
        <v>4260</v>
      </c>
      <c r="B1638" s="934" t="s">
        <v>215</v>
      </c>
      <c r="C1638" s="720">
        <v>34100</v>
      </c>
      <c r="D1638" s="698">
        <f t="shared" si="202"/>
        <v>32600</v>
      </c>
      <c r="E1638" s="698">
        <f t="shared" si="204"/>
        <v>32054</v>
      </c>
      <c r="F1638" s="699">
        <f t="shared" si="203"/>
        <v>98.32515337423314</v>
      </c>
      <c r="G1638" s="698"/>
      <c r="H1638" s="703"/>
      <c r="I1638" s="766"/>
      <c r="J1638" s="703"/>
      <c r="K1638" s="698"/>
      <c r="L1638" s="704"/>
      <c r="M1638" s="720">
        <f>34100-1500</f>
        <v>32600</v>
      </c>
      <c r="N1638" s="698">
        <v>32054</v>
      </c>
      <c r="O1638" s="744">
        <f t="shared" si="201"/>
        <v>98.32515337423314</v>
      </c>
      <c r="P1638" s="698"/>
      <c r="Q1638" s="698"/>
      <c r="R1638" s="770"/>
      <c r="S1638" s="682"/>
      <c r="T1638" s="682"/>
    </row>
    <row r="1639" spans="1:20" s="756" customFormat="1" ht="15.75" customHeight="1">
      <c r="A1639" s="764">
        <v>4270</v>
      </c>
      <c r="B1639" s="934" t="s">
        <v>217</v>
      </c>
      <c r="C1639" s="720">
        <v>1000</v>
      </c>
      <c r="D1639" s="698">
        <f t="shared" si="202"/>
        <v>1000</v>
      </c>
      <c r="E1639" s="698">
        <f>SUM(H1639+K1639+N1639+Q1639)</f>
        <v>926</v>
      </c>
      <c r="F1639" s="699">
        <f>E1639/D1639*100</f>
        <v>92.60000000000001</v>
      </c>
      <c r="G1639" s="698"/>
      <c r="H1639" s="703"/>
      <c r="I1639" s="766"/>
      <c r="J1639" s="703"/>
      <c r="K1639" s="698"/>
      <c r="L1639" s="704"/>
      <c r="M1639" s="720">
        <v>1000</v>
      </c>
      <c r="N1639" s="698">
        <v>926</v>
      </c>
      <c r="O1639" s="744">
        <f t="shared" si="201"/>
        <v>92.60000000000001</v>
      </c>
      <c r="P1639" s="698"/>
      <c r="Q1639" s="698"/>
      <c r="R1639" s="770"/>
      <c r="S1639" s="682"/>
      <c r="T1639" s="682"/>
    </row>
    <row r="1640" spans="1:20" s="756" customFormat="1" ht="15.75" customHeight="1">
      <c r="A1640" s="764">
        <v>4280</v>
      </c>
      <c r="B1640" s="934" t="s">
        <v>542</v>
      </c>
      <c r="C1640" s="720">
        <v>1000</v>
      </c>
      <c r="D1640" s="698">
        <f t="shared" si="202"/>
        <v>1200</v>
      </c>
      <c r="E1640" s="698">
        <f t="shared" si="204"/>
        <v>1168</v>
      </c>
      <c r="F1640" s="699">
        <f t="shared" si="203"/>
        <v>97.33333333333334</v>
      </c>
      <c r="G1640" s="698"/>
      <c r="H1640" s="703"/>
      <c r="I1640" s="766"/>
      <c r="J1640" s="703"/>
      <c r="K1640" s="698"/>
      <c r="L1640" s="704"/>
      <c r="M1640" s="720">
        <f>1000+200</f>
        <v>1200</v>
      </c>
      <c r="N1640" s="698">
        <f>1168+1-1</f>
        <v>1168</v>
      </c>
      <c r="O1640" s="744">
        <f t="shared" si="201"/>
        <v>97.33333333333334</v>
      </c>
      <c r="P1640" s="698"/>
      <c r="Q1640" s="698"/>
      <c r="R1640" s="770"/>
      <c r="S1640" s="682"/>
      <c r="T1640" s="682"/>
    </row>
    <row r="1641" spans="1:20" s="756" customFormat="1" ht="16.5" customHeight="1">
      <c r="A1641" s="764">
        <v>4300</v>
      </c>
      <c r="B1641" s="934" t="s">
        <v>219</v>
      </c>
      <c r="C1641" s="720">
        <v>40000</v>
      </c>
      <c r="D1641" s="698">
        <f t="shared" si="202"/>
        <v>23900</v>
      </c>
      <c r="E1641" s="698">
        <f t="shared" si="204"/>
        <v>21627</v>
      </c>
      <c r="F1641" s="699">
        <f t="shared" si="203"/>
        <v>90.48953974895397</v>
      </c>
      <c r="G1641" s="698"/>
      <c r="H1641" s="703"/>
      <c r="I1641" s="766"/>
      <c r="J1641" s="703"/>
      <c r="K1641" s="698"/>
      <c r="L1641" s="704"/>
      <c r="M1641" s="720">
        <f>40000-6800-12800+3500</f>
        <v>23900</v>
      </c>
      <c r="N1641" s="698">
        <v>21627</v>
      </c>
      <c r="O1641" s="744">
        <f t="shared" si="201"/>
        <v>90.48953974895397</v>
      </c>
      <c r="P1641" s="698"/>
      <c r="Q1641" s="698"/>
      <c r="R1641" s="770"/>
      <c r="S1641" s="682"/>
      <c r="T1641" s="682"/>
    </row>
    <row r="1642" spans="1:20" s="756" customFormat="1" ht="24">
      <c r="A1642" s="764">
        <v>4350</v>
      </c>
      <c r="B1642" s="934" t="s">
        <v>544</v>
      </c>
      <c r="C1642" s="720">
        <v>1700</v>
      </c>
      <c r="D1642" s="698">
        <f t="shared" si="202"/>
        <v>1700</v>
      </c>
      <c r="E1642" s="698">
        <f t="shared" si="204"/>
        <v>1685</v>
      </c>
      <c r="F1642" s="699">
        <f t="shared" si="203"/>
        <v>99.11764705882354</v>
      </c>
      <c r="G1642" s="698"/>
      <c r="H1642" s="703"/>
      <c r="I1642" s="766"/>
      <c r="J1642" s="703"/>
      <c r="K1642" s="698"/>
      <c r="L1642" s="704"/>
      <c r="M1642" s="720">
        <v>1700</v>
      </c>
      <c r="N1642" s="698">
        <v>1685</v>
      </c>
      <c r="O1642" s="744">
        <f t="shared" si="201"/>
        <v>99.11764705882354</v>
      </c>
      <c r="P1642" s="698"/>
      <c r="Q1642" s="698"/>
      <c r="R1642" s="770"/>
      <c r="S1642" s="682"/>
      <c r="T1642" s="682"/>
    </row>
    <row r="1643" spans="1:20" s="756" customFormat="1" ht="38.25" customHeight="1">
      <c r="A1643" s="764">
        <v>4360</v>
      </c>
      <c r="B1643" s="828" t="s">
        <v>682</v>
      </c>
      <c r="C1643" s="720">
        <v>4800</v>
      </c>
      <c r="D1643" s="698">
        <f t="shared" si="202"/>
        <v>4800</v>
      </c>
      <c r="E1643" s="698">
        <f>SUM(H1643+K1643+N1643+Q1643)</f>
        <v>4465</v>
      </c>
      <c r="F1643" s="699">
        <f>E1643/D1643*100</f>
        <v>93.02083333333333</v>
      </c>
      <c r="G1643" s="698"/>
      <c r="H1643" s="703"/>
      <c r="I1643" s="766"/>
      <c r="J1643" s="703"/>
      <c r="K1643" s="698"/>
      <c r="L1643" s="704"/>
      <c r="M1643" s="720">
        <v>4800</v>
      </c>
      <c r="N1643" s="698">
        <v>4465</v>
      </c>
      <c r="O1643" s="744">
        <f t="shared" si="201"/>
        <v>93.02083333333333</v>
      </c>
      <c r="P1643" s="698"/>
      <c r="Q1643" s="698"/>
      <c r="R1643" s="770"/>
      <c r="S1643" s="682"/>
      <c r="T1643" s="682"/>
    </row>
    <row r="1644" spans="1:20" s="756" customFormat="1" ht="40.5" customHeight="1">
      <c r="A1644" s="764">
        <v>4370</v>
      </c>
      <c r="B1644" s="828" t="s">
        <v>635</v>
      </c>
      <c r="C1644" s="720">
        <v>4000</v>
      </c>
      <c r="D1644" s="698">
        <f>G1644+J1644+P1644+M1644</f>
        <v>4000</v>
      </c>
      <c r="E1644" s="698">
        <f>SUM(H1644+K1644+N1644+Q1644)</f>
        <v>3451</v>
      </c>
      <c r="F1644" s="699">
        <f>E1644/D1644*100</f>
        <v>86.275</v>
      </c>
      <c r="G1644" s="698"/>
      <c r="H1644" s="703"/>
      <c r="I1644" s="766"/>
      <c r="J1644" s="703"/>
      <c r="K1644" s="698"/>
      <c r="L1644" s="704"/>
      <c r="M1644" s="720">
        <v>4000</v>
      </c>
      <c r="N1644" s="698">
        <v>3451</v>
      </c>
      <c r="O1644" s="744">
        <f t="shared" si="201"/>
        <v>86.275</v>
      </c>
      <c r="P1644" s="698"/>
      <c r="Q1644" s="698"/>
      <c r="R1644" s="770"/>
      <c r="S1644" s="682"/>
      <c r="T1644" s="682"/>
    </row>
    <row r="1645" spans="1:20" s="756" customFormat="1" ht="39.75" customHeight="1">
      <c r="A1645" s="764">
        <v>4390</v>
      </c>
      <c r="B1645" s="768" t="s">
        <v>243</v>
      </c>
      <c r="C1645" s="720">
        <v>2000</v>
      </c>
      <c r="D1645" s="698">
        <f>G1645+J1645+P1645+M1645</f>
        <v>2000</v>
      </c>
      <c r="E1645" s="698">
        <f>SUM(H1645+K1645+N1645+Q1645)</f>
        <v>1913</v>
      </c>
      <c r="F1645" s="699">
        <f>E1645/D1645*100</f>
        <v>95.65</v>
      </c>
      <c r="G1645" s="698"/>
      <c r="H1645" s="703"/>
      <c r="I1645" s="766"/>
      <c r="J1645" s="703"/>
      <c r="K1645" s="698"/>
      <c r="L1645" s="704"/>
      <c r="M1645" s="720">
        <v>2000</v>
      </c>
      <c r="N1645" s="698">
        <v>1913</v>
      </c>
      <c r="O1645" s="744">
        <f t="shared" si="201"/>
        <v>95.65</v>
      </c>
      <c r="P1645" s="698"/>
      <c r="Q1645" s="698"/>
      <c r="R1645" s="770"/>
      <c r="S1645" s="682"/>
      <c r="T1645" s="682"/>
    </row>
    <row r="1646" spans="1:20" s="756" customFormat="1" ht="15.75" customHeight="1">
      <c r="A1646" s="764">
        <v>4410</v>
      </c>
      <c r="B1646" s="934" t="s">
        <v>193</v>
      </c>
      <c r="C1646" s="720">
        <v>500</v>
      </c>
      <c r="D1646" s="698">
        <f>G1646+J1646+P1646+M1646</f>
        <v>0</v>
      </c>
      <c r="E1646" s="698">
        <f>SUM(H1646+K1646+N1646+Q1646)</f>
        <v>0</v>
      </c>
      <c r="F1646" s="699"/>
      <c r="G1646" s="698"/>
      <c r="H1646" s="703"/>
      <c r="I1646" s="766"/>
      <c r="J1646" s="703"/>
      <c r="K1646" s="698"/>
      <c r="L1646" s="704"/>
      <c r="M1646" s="720">
        <f>500-500</f>
        <v>0</v>
      </c>
      <c r="N1646" s="698"/>
      <c r="O1646" s="744"/>
      <c r="P1646" s="698"/>
      <c r="Q1646" s="698"/>
      <c r="R1646" s="770"/>
      <c r="S1646" s="682"/>
      <c r="T1646" s="682"/>
    </row>
    <row r="1647" spans="1:20" s="756" customFormat="1" ht="12.75">
      <c r="A1647" s="764">
        <v>4440</v>
      </c>
      <c r="B1647" s="934" t="s">
        <v>223</v>
      </c>
      <c r="C1647" s="720">
        <v>61300</v>
      </c>
      <c r="D1647" s="698">
        <f t="shared" si="202"/>
        <v>63800</v>
      </c>
      <c r="E1647" s="698">
        <f t="shared" si="204"/>
        <v>63798</v>
      </c>
      <c r="F1647" s="699">
        <f t="shared" si="203"/>
        <v>99.99686520376176</v>
      </c>
      <c r="G1647" s="698"/>
      <c r="H1647" s="703"/>
      <c r="I1647" s="766"/>
      <c r="J1647" s="703"/>
      <c r="K1647" s="698"/>
      <c r="L1647" s="704"/>
      <c r="M1647" s="720">
        <f>61300+2500</f>
        <v>63800</v>
      </c>
      <c r="N1647" s="698">
        <v>63798</v>
      </c>
      <c r="O1647" s="744">
        <f t="shared" si="201"/>
        <v>99.99686520376176</v>
      </c>
      <c r="P1647" s="698"/>
      <c r="Q1647" s="698"/>
      <c r="R1647" s="770"/>
      <c r="S1647" s="682"/>
      <c r="T1647" s="682"/>
    </row>
    <row r="1648" spans="1:20" s="756" customFormat="1" ht="41.25" customHeight="1">
      <c r="A1648" s="764">
        <v>4700</v>
      </c>
      <c r="B1648" s="828" t="s">
        <v>550</v>
      </c>
      <c r="C1648" s="720">
        <v>500</v>
      </c>
      <c r="D1648" s="698">
        <f t="shared" si="202"/>
        <v>1300</v>
      </c>
      <c r="E1648" s="698">
        <f t="shared" si="204"/>
        <v>1240</v>
      </c>
      <c r="F1648" s="699">
        <f t="shared" si="203"/>
        <v>95.38461538461539</v>
      </c>
      <c r="G1648" s="698"/>
      <c r="H1648" s="703"/>
      <c r="I1648" s="766"/>
      <c r="J1648" s="703"/>
      <c r="K1648" s="698"/>
      <c r="L1648" s="704"/>
      <c r="M1648" s="720">
        <f>500+800</f>
        <v>1300</v>
      </c>
      <c r="N1648" s="698">
        <v>1240</v>
      </c>
      <c r="O1648" s="744">
        <f t="shared" si="201"/>
        <v>95.38461538461539</v>
      </c>
      <c r="P1648" s="698"/>
      <c r="Q1648" s="698"/>
      <c r="R1648" s="770"/>
      <c r="S1648" s="682"/>
      <c r="T1648" s="682"/>
    </row>
    <row r="1649" spans="1:20" s="756" customFormat="1" ht="50.25" customHeight="1">
      <c r="A1649" s="764">
        <v>4740</v>
      </c>
      <c r="B1649" s="828" t="s">
        <v>235</v>
      </c>
      <c r="C1649" s="720">
        <v>1200</v>
      </c>
      <c r="D1649" s="698">
        <f>G1649+J1649+P1649+M1649</f>
        <v>1200</v>
      </c>
      <c r="E1649" s="698">
        <f>SUM(H1649+K1649+N1649+Q1649)</f>
        <v>1171</v>
      </c>
      <c r="F1649" s="699">
        <f>E1649/D1649*100</f>
        <v>97.58333333333333</v>
      </c>
      <c r="G1649" s="698"/>
      <c r="H1649" s="703"/>
      <c r="I1649" s="766"/>
      <c r="J1649" s="703"/>
      <c r="K1649" s="698"/>
      <c r="L1649" s="704"/>
      <c r="M1649" s="720">
        <v>1200</v>
      </c>
      <c r="N1649" s="698">
        <f>1172-1</f>
        <v>1171</v>
      </c>
      <c r="O1649" s="744">
        <f t="shared" si="201"/>
        <v>97.58333333333333</v>
      </c>
      <c r="P1649" s="698"/>
      <c r="Q1649" s="698"/>
      <c r="R1649" s="770"/>
      <c r="S1649" s="682"/>
      <c r="T1649" s="682"/>
    </row>
    <row r="1650" spans="1:20" s="756" customFormat="1" ht="36" hidden="1">
      <c r="A1650" s="764">
        <v>6050</v>
      </c>
      <c r="B1650" s="828" t="s">
        <v>246</v>
      </c>
      <c r="C1650" s="720"/>
      <c r="D1650" s="698">
        <f>G1650+J1650+P1650+M1650</f>
        <v>0</v>
      </c>
      <c r="E1650" s="698">
        <f>SUM(H1650+K1650+N1650+Q1650)</f>
        <v>0</v>
      </c>
      <c r="F1650" s="699" t="e">
        <f>E1650/D1650*100</f>
        <v>#DIV/0!</v>
      </c>
      <c r="G1650" s="698"/>
      <c r="H1650" s="703"/>
      <c r="I1650" s="766"/>
      <c r="J1650" s="703"/>
      <c r="K1650" s="698"/>
      <c r="L1650" s="704"/>
      <c r="M1650" s="720"/>
      <c r="N1650" s="698"/>
      <c r="O1650" s="744" t="e">
        <f t="shared" si="201"/>
        <v>#DIV/0!</v>
      </c>
      <c r="P1650" s="698"/>
      <c r="Q1650" s="698"/>
      <c r="R1650" s="770"/>
      <c r="S1650" s="682"/>
      <c r="T1650" s="682"/>
    </row>
    <row r="1651" spans="1:20" s="756" customFormat="1" ht="36">
      <c r="A1651" s="764">
        <v>4750</v>
      </c>
      <c r="B1651" s="828" t="s">
        <v>551</v>
      </c>
      <c r="C1651" s="720">
        <v>2000</v>
      </c>
      <c r="D1651" s="698">
        <f t="shared" si="202"/>
        <v>2000</v>
      </c>
      <c r="E1651" s="698">
        <f>SUM(H1651+K1651+N1651+Q1651)</f>
        <v>1920</v>
      </c>
      <c r="F1651" s="699">
        <f>E1651/D1651*100</f>
        <v>96</v>
      </c>
      <c r="G1651" s="698"/>
      <c r="H1651" s="703"/>
      <c r="I1651" s="766"/>
      <c r="J1651" s="703"/>
      <c r="K1651" s="698"/>
      <c r="L1651" s="704"/>
      <c r="M1651" s="720">
        <v>2000</v>
      </c>
      <c r="N1651" s="698">
        <v>1920</v>
      </c>
      <c r="O1651" s="744">
        <f t="shared" si="201"/>
        <v>96</v>
      </c>
      <c r="P1651" s="698"/>
      <c r="Q1651" s="698"/>
      <c r="R1651" s="770"/>
      <c r="S1651" s="682"/>
      <c r="T1651" s="682"/>
    </row>
    <row r="1652" spans="1:20" s="756" customFormat="1" ht="24" hidden="1">
      <c r="A1652" s="774"/>
      <c r="B1652" s="848" t="s">
        <v>847</v>
      </c>
      <c r="C1652" s="776"/>
      <c r="D1652" s="777">
        <f t="shared" si="202"/>
        <v>0</v>
      </c>
      <c r="E1652" s="777">
        <f aca="true" t="shared" si="205" ref="E1652:E1663">SUM(H1652+K1652+N1652+Q1652)</f>
        <v>0</v>
      </c>
      <c r="F1652" s="747" t="e">
        <f aca="true" t="shared" si="206" ref="F1652:F1714">E1652/D1652*100</f>
        <v>#DIV/0!</v>
      </c>
      <c r="G1652" s="777"/>
      <c r="H1652" s="778"/>
      <c r="I1652" s="906"/>
      <c r="J1652" s="778"/>
      <c r="K1652" s="777"/>
      <c r="L1652" s="779"/>
      <c r="M1652" s="778">
        <f>SUM(M1653:M1657)</f>
        <v>0</v>
      </c>
      <c r="N1652" s="778">
        <f>SUM(N1653:N1657)</f>
        <v>0</v>
      </c>
      <c r="O1652" s="744" t="e">
        <f t="shared" si="201"/>
        <v>#DIV/0!</v>
      </c>
      <c r="P1652" s="777"/>
      <c r="Q1652" s="777"/>
      <c r="R1652" s="783"/>
      <c r="S1652" s="682"/>
      <c r="T1652" s="682"/>
    </row>
    <row r="1653" spans="1:20" s="756" customFormat="1" ht="36" hidden="1">
      <c r="A1653" s="764">
        <v>4010</v>
      </c>
      <c r="B1653" s="768" t="s">
        <v>201</v>
      </c>
      <c r="C1653" s="720"/>
      <c r="D1653" s="698">
        <f t="shared" si="202"/>
        <v>0</v>
      </c>
      <c r="E1653" s="698">
        <f t="shared" si="205"/>
        <v>0</v>
      </c>
      <c r="F1653" s="699" t="e">
        <f t="shared" si="206"/>
        <v>#DIV/0!</v>
      </c>
      <c r="G1653" s="698"/>
      <c r="H1653" s="703"/>
      <c r="I1653" s="766"/>
      <c r="J1653" s="703"/>
      <c r="K1653" s="698"/>
      <c r="L1653" s="704"/>
      <c r="M1653" s="703"/>
      <c r="N1653" s="703"/>
      <c r="O1653" s="744" t="e">
        <f t="shared" si="201"/>
        <v>#DIV/0!</v>
      </c>
      <c r="P1653" s="698"/>
      <c r="Q1653" s="698"/>
      <c r="R1653" s="770"/>
      <c r="S1653" s="682"/>
      <c r="T1653" s="682"/>
    </row>
    <row r="1654" spans="1:20" s="756" customFormat="1" ht="36" hidden="1">
      <c r="A1654" s="764">
        <v>4110</v>
      </c>
      <c r="B1654" s="768" t="s">
        <v>207</v>
      </c>
      <c r="C1654" s="720"/>
      <c r="D1654" s="698">
        <f t="shared" si="202"/>
        <v>0</v>
      </c>
      <c r="E1654" s="698">
        <f t="shared" si="205"/>
        <v>0</v>
      </c>
      <c r="F1654" s="699" t="e">
        <f t="shared" si="206"/>
        <v>#DIV/0!</v>
      </c>
      <c r="G1654" s="698"/>
      <c r="H1654" s="703"/>
      <c r="I1654" s="766"/>
      <c r="J1654" s="703"/>
      <c r="K1654" s="698"/>
      <c r="L1654" s="704"/>
      <c r="M1654" s="703"/>
      <c r="N1654" s="703"/>
      <c r="O1654" s="744" t="e">
        <f t="shared" si="201"/>
        <v>#DIV/0!</v>
      </c>
      <c r="P1654" s="698"/>
      <c r="Q1654" s="698"/>
      <c r="R1654" s="770"/>
      <c r="S1654" s="682"/>
      <c r="T1654" s="682"/>
    </row>
    <row r="1655" spans="1:20" s="756" customFormat="1" ht="12.75" hidden="1">
      <c r="A1655" s="764">
        <v>4120</v>
      </c>
      <c r="B1655" s="768" t="s">
        <v>584</v>
      </c>
      <c r="C1655" s="720"/>
      <c r="D1655" s="698">
        <f t="shared" si="202"/>
        <v>0</v>
      </c>
      <c r="E1655" s="698">
        <f t="shared" si="205"/>
        <v>0</v>
      </c>
      <c r="F1655" s="699" t="e">
        <f t="shared" si="206"/>
        <v>#DIV/0!</v>
      </c>
      <c r="G1655" s="698"/>
      <c r="H1655" s="703"/>
      <c r="I1655" s="766"/>
      <c r="J1655" s="703"/>
      <c r="K1655" s="698"/>
      <c r="L1655" s="704"/>
      <c r="M1655" s="703"/>
      <c r="N1655" s="703"/>
      <c r="O1655" s="744" t="e">
        <f t="shared" si="201"/>
        <v>#DIV/0!</v>
      </c>
      <c r="P1655" s="698"/>
      <c r="Q1655" s="698"/>
      <c r="R1655" s="770"/>
      <c r="S1655" s="682"/>
      <c r="T1655" s="682"/>
    </row>
    <row r="1656" spans="1:20" s="756" customFormat="1" ht="24" hidden="1">
      <c r="A1656" s="764">
        <v>4210</v>
      </c>
      <c r="B1656" s="768" t="s">
        <v>211</v>
      </c>
      <c r="C1656" s="720"/>
      <c r="D1656" s="698">
        <f t="shared" si="202"/>
        <v>0</v>
      </c>
      <c r="E1656" s="698">
        <f t="shared" si="205"/>
        <v>0</v>
      </c>
      <c r="F1656" s="699" t="e">
        <f t="shared" si="206"/>
        <v>#DIV/0!</v>
      </c>
      <c r="G1656" s="698"/>
      <c r="H1656" s="703"/>
      <c r="I1656" s="766"/>
      <c r="J1656" s="703"/>
      <c r="K1656" s="698"/>
      <c r="L1656" s="704"/>
      <c r="M1656" s="703"/>
      <c r="N1656" s="703"/>
      <c r="O1656" s="744" t="e">
        <f t="shared" si="201"/>
        <v>#DIV/0!</v>
      </c>
      <c r="P1656" s="698"/>
      <c r="Q1656" s="698"/>
      <c r="R1656" s="770"/>
      <c r="S1656" s="682"/>
      <c r="T1656" s="682"/>
    </row>
    <row r="1657" spans="1:20" s="756" customFormat="1" ht="24" hidden="1">
      <c r="A1657" s="764">
        <v>4300</v>
      </c>
      <c r="B1657" s="768" t="s">
        <v>219</v>
      </c>
      <c r="C1657" s="720"/>
      <c r="D1657" s="698">
        <f t="shared" si="202"/>
        <v>0</v>
      </c>
      <c r="E1657" s="698">
        <f t="shared" si="205"/>
        <v>0</v>
      </c>
      <c r="F1657" s="699" t="e">
        <f t="shared" si="206"/>
        <v>#DIV/0!</v>
      </c>
      <c r="G1657" s="698"/>
      <c r="H1657" s="703"/>
      <c r="I1657" s="766"/>
      <c r="J1657" s="703"/>
      <c r="K1657" s="698"/>
      <c r="L1657" s="704"/>
      <c r="M1657" s="703"/>
      <c r="N1657" s="703"/>
      <c r="O1657" s="744" t="e">
        <f t="shared" si="201"/>
        <v>#DIV/0!</v>
      </c>
      <c r="P1657" s="698"/>
      <c r="Q1657" s="698"/>
      <c r="R1657" s="770"/>
      <c r="S1657" s="682"/>
      <c r="T1657" s="682"/>
    </row>
    <row r="1658" spans="1:20" s="756" customFormat="1" ht="36" hidden="1">
      <c r="A1658" s="774"/>
      <c r="B1658" s="848" t="s">
        <v>848</v>
      </c>
      <c r="C1658" s="776"/>
      <c r="D1658" s="777">
        <f t="shared" si="202"/>
        <v>0</v>
      </c>
      <c r="E1658" s="777">
        <f t="shared" si="205"/>
        <v>0</v>
      </c>
      <c r="F1658" s="747" t="e">
        <f t="shared" si="206"/>
        <v>#DIV/0!</v>
      </c>
      <c r="G1658" s="777"/>
      <c r="H1658" s="778"/>
      <c r="I1658" s="906"/>
      <c r="J1658" s="778"/>
      <c r="K1658" s="777"/>
      <c r="L1658" s="779"/>
      <c r="M1658" s="778">
        <f>SUM(M1659:M1663)</f>
        <v>0</v>
      </c>
      <c r="N1658" s="778">
        <f>SUM(N1659:N1663)</f>
        <v>0</v>
      </c>
      <c r="O1658" s="971" t="e">
        <f t="shared" si="201"/>
        <v>#DIV/0!</v>
      </c>
      <c r="P1658" s="777"/>
      <c r="Q1658" s="777"/>
      <c r="R1658" s="783"/>
      <c r="S1658" s="682"/>
      <c r="T1658" s="682"/>
    </row>
    <row r="1659" spans="1:20" s="756" customFormat="1" ht="36" hidden="1">
      <c r="A1659" s="764">
        <v>4010</v>
      </c>
      <c r="B1659" s="768" t="s">
        <v>201</v>
      </c>
      <c r="C1659" s="720"/>
      <c r="D1659" s="698">
        <f t="shared" si="202"/>
        <v>0</v>
      </c>
      <c r="E1659" s="698">
        <f t="shared" si="205"/>
        <v>0</v>
      </c>
      <c r="F1659" s="699" t="e">
        <f t="shared" si="206"/>
        <v>#DIV/0!</v>
      </c>
      <c r="G1659" s="698"/>
      <c r="H1659" s="703"/>
      <c r="I1659" s="766"/>
      <c r="J1659" s="703"/>
      <c r="K1659" s="698"/>
      <c r="L1659" s="704"/>
      <c r="M1659" s="703">
        <f>2900-2900</f>
        <v>0</v>
      </c>
      <c r="N1659" s="703"/>
      <c r="O1659" s="744" t="e">
        <f t="shared" si="201"/>
        <v>#DIV/0!</v>
      </c>
      <c r="P1659" s="698"/>
      <c r="Q1659" s="698"/>
      <c r="R1659" s="770"/>
      <c r="S1659" s="682"/>
      <c r="T1659" s="682"/>
    </row>
    <row r="1660" spans="1:20" s="756" customFormat="1" ht="36" hidden="1">
      <c r="A1660" s="764">
        <v>4110</v>
      </c>
      <c r="B1660" s="768" t="s">
        <v>207</v>
      </c>
      <c r="C1660" s="720"/>
      <c r="D1660" s="698">
        <f t="shared" si="202"/>
        <v>0</v>
      </c>
      <c r="E1660" s="698">
        <f t="shared" si="205"/>
        <v>0</v>
      </c>
      <c r="F1660" s="699" t="e">
        <f t="shared" si="206"/>
        <v>#DIV/0!</v>
      </c>
      <c r="G1660" s="698"/>
      <c r="H1660" s="703"/>
      <c r="I1660" s="766"/>
      <c r="J1660" s="703"/>
      <c r="K1660" s="698"/>
      <c r="L1660" s="704"/>
      <c r="M1660" s="703">
        <f>520-520</f>
        <v>0</v>
      </c>
      <c r="N1660" s="703"/>
      <c r="O1660" s="744" t="e">
        <f t="shared" si="201"/>
        <v>#DIV/0!</v>
      </c>
      <c r="P1660" s="698"/>
      <c r="Q1660" s="698"/>
      <c r="R1660" s="770"/>
      <c r="S1660" s="682"/>
      <c r="T1660" s="682"/>
    </row>
    <row r="1661" spans="1:20" s="756" customFormat="1" ht="12.75" hidden="1">
      <c r="A1661" s="764">
        <v>4120</v>
      </c>
      <c r="B1661" s="768" t="s">
        <v>584</v>
      </c>
      <c r="C1661" s="720"/>
      <c r="D1661" s="698">
        <f>G1661+J1661+P1661+M1661</f>
        <v>0</v>
      </c>
      <c r="E1661" s="698">
        <f>SUM(H1661+K1661+N1661+Q1661)</f>
        <v>0</v>
      </c>
      <c r="F1661" s="699" t="e">
        <f>E1661/D1661*100</f>
        <v>#DIV/0!</v>
      </c>
      <c r="G1661" s="698"/>
      <c r="H1661" s="703"/>
      <c r="I1661" s="766"/>
      <c r="J1661" s="703"/>
      <c r="K1661" s="698"/>
      <c r="L1661" s="704"/>
      <c r="M1661" s="703">
        <f>80-80</f>
        <v>0</v>
      </c>
      <c r="N1661" s="703"/>
      <c r="O1661" s="744" t="e">
        <f t="shared" si="201"/>
        <v>#DIV/0!</v>
      </c>
      <c r="P1661" s="698"/>
      <c r="Q1661" s="698"/>
      <c r="R1661" s="770"/>
      <c r="S1661" s="682"/>
      <c r="T1661" s="682"/>
    </row>
    <row r="1662" spans="1:20" s="756" customFormat="1" ht="48" hidden="1">
      <c r="A1662" s="764">
        <v>4240</v>
      </c>
      <c r="B1662" s="768" t="s">
        <v>572</v>
      </c>
      <c r="C1662" s="720"/>
      <c r="D1662" s="698">
        <f>G1662+J1662+P1662+M1662</f>
        <v>0</v>
      </c>
      <c r="E1662" s="698">
        <f>SUM(H1662+K1662+N1662+Q1662)</f>
        <v>0</v>
      </c>
      <c r="F1662" s="699" t="e">
        <f>E1662/D1662*100</f>
        <v>#DIV/0!</v>
      </c>
      <c r="G1662" s="698"/>
      <c r="H1662" s="703"/>
      <c r="I1662" s="766"/>
      <c r="J1662" s="703"/>
      <c r="K1662" s="698"/>
      <c r="L1662" s="704"/>
      <c r="M1662" s="703"/>
      <c r="N1662" s="703"/>
      <c r="O1662" s="744" t="e">
        <f t="shared" si="201"/>
        <v>#DIV/0!</v>
      </c>
      <c r="P1662" s="698"/>
      <c r="Q1662" s="698"/>
      <c r="R1662" s="770"/>
      <c r="S1662" s="682"/>
      <c r="T1662" s="682"/>
    </row>
    <row r="1663" spans="1:20" s="756" customFormat="1" ht="60" hidden="1">
      <c r="A1663" s="764">
        <v>4700</v>
      </c>
      <c r="B1663" s="828" t="s">
        <v>550</v>
      </c>
      <c r="C1663" s="720"/>
      <c r="D1663" s="698">
        <f t="shared" si="202"/>
        <v>0</v>
      </c>
      <c r="E1663" s="698">
        <f t="shared" si="205"/>
        <v>0</v>
      </c>
      <c r="F1663" s="699" t="e">
        <f t="shared" si="206"/>
        <v>#DIV/0!</v>
      </c>
      <c r="G1663" s="698"/>
      <c r="H1663" s="703"/>
      <c r="I1663" s="766"/>
      <c r="J1663" s="703"/>
      <c r="K1663" s="698"/>
      <c r="L1663" s="704"/>
      <c r="M1663" s="703"/>
      <c r="N1663" s="703"/>
      <c r="O1663" s="744" t="e">
        <f t="shared" si="201"/>
        <v>#DIV/0!</v>
      </c>
      <c r="P1663" s="698"/>
      <c r="Q1663" s="698"/>
      <c r="R1663" s="770"/>
      <c r="S1663" s="682"/>
      <c r="T1663" s="682"/>
    </row>
    <row r="1664" spans="1:20" s="756" customFormat="1" ht="24">
      <c r="A1664" s="757">
        <v>85407</v>
      </c>
      <c r="B1664" s="959" t="s">
        <v>849</v>
      </c>
      <c r="C1664" s="725">
        <f>SUM(C1665:C1687)</f>
        <v>1687000</v>
      </c>
      <c r="D1664" s="712">
        <f t="shared" si="202"/>
        <v>1773765</v>
      </c>
      <c r="E1664" s="712">
        <f>H1664+K1664+Q1664+N1664</f>
        <v>1767206</v>
      </c>
      <c r="F1664" s="713">
        <f t="shared" si="206"/>
        <v>99.63022159079698</v>
      </c>
      <c r="G1664" s="712"/>
      <c r="H1664" s="712"/>
      <c r="I1664" s="762"/>
      <c r="J1664" s="717"/>
      <c r="K1664" s="712"/>
      <c r="L1664" s="718"/>
      <c r="M1664" s="717">
        <f>SUM(M1665:M1687)</f>
        <v>1773765</v>
      </c>
      <c r="N1664" s="717">
        <f>SUM(N1665:N1687)</f>
        <v>1767206</v>
      </c>
      <c r="O1664" s="741">
        <f t="shared" si="201"/>
        <v>99.63022159079698</v>
      </c>
      <c r="P1664" s="712"/>
      <c r="Q1664" s="712"/>
      <c r="R1664" s="802"/>
      <c r="S1664" s="682"/>
      <c r="T1664" s="682"/>
    </row>
    <row r="1665" spans="1:20" s="756" customFormat="1" ht="36">
      <c r="A1665" s="764">
        <v>3020</v>
      </c>
      <c r="B1665" s="934" t="s">
        <v>709</v>
      </c>
      <c r="C1665" s="720">
        <v>6700</v>
      </c>
      <c r="D1665" s="698">
        <f t="shared" si="202"/>
        <v>6700</v>
      </c>
      <c r="E1665" s="698">
        <f aca="true" t="shared" si="207" ref="E1665:E1687">SUM(H1665+K1665+N1665+Q1665)</f>
        <v>5008</v>
      </c>
      <c r="F1665" s="699">
        <f t="shared" si="206"/>
        <v>74.74626865671642</v>
      </c>
      <c r="G1665" s="698"/>
      <c r="H1665" s="703"/>
      <c r="I1665" s="766"/>
      <c r="J1665" s="703"/>
      <c r="K1665" s="698"/>
      <c r="L1665" s="704"/>
      <c r="M1665" s="720">
        <v>6700</v>
      </c>
      <c r="N1665" s="698">
        <v>5008</v>
      </c>
      <c r="O1665" s="744">
        <f t="shared" si="201"/>
        <v>74.74626865671642</v>
      </c>
      <c r="P1665" s="698"/>
      <c r="Q1665" s="698"/>
      <c r="R1665" s="770"/>
      <c r="S1665" s="682"/>
      <c r="T1665" s="682"/>
    </row>
    <row r="1666" spans="1:20" s="756" customFormat="1" ht="27.75" customHeight="1">
      <c r="A1666" s="764">
        <v>4010</v>
      </c>
      <c r="B1666" s="768" t="s">
        <v>201</v>
      </c>
      <c r="C1666" s="720">
        <v>1082400</v>
      </c>
      <c r="D1666" s="698">
        <f t="shared" si="202"/>
        <v>1141100</v>
      </c>
      <c r="E1666" s="698">
        <f t="shared" si="207"/>
        <v>1141100</v>
      </c>
      <c r="F1666" s="699">
        <f t="shared" si="206"/>
        <v>100</v>
      </c>
      <c r="G1666" s="698"/>
      <c r="H1666" s="703"/>
      <c r="I1666" s="766"/>
      <c r="J1666" s="703"/>
      <c r="K1666" s="698"/>
      <c r="L1666" s="704"/>
      <c r="M1666" s="720">
        <f>1082400+58700</f>
        <v>1141100</v>
      </c>
      <c r="N1666" s="698">
        <v>1141100</v>
      </c>
      <c r="O1666" s="744">
        <f t="shared" si="201"/>
        <v>100</v>
      </c>
      <c r="P1666" s="698"/>
      <c r="Q1666" s="698"/>
      <c r="R1666" s="770"/>
      <c r="S1666" s="682"/>
      <c r="T1666" s="682"/>
    </row>
    <row r="1667" spans="1:20" s="756" customFormat="1" ht="24.75" customHeight="1">
      <c r="A1667" s="764">
        <v>4040</v>
      </c>
      <c r="B1667" s="768" t="s">
        <v>205</v>
      </c>
      <c r="C1667" s="720">
        <v>82600</v>
      </c>
      <c r="D1667" s="698">
        <f t="shared" si="202"/>
        <v>81650</v>
      </c>
      <c r="E1667" s="698">
        <f t="shared" si="207"/>
        <v>81642</v>
      </c>
      <c r="F1667" s="699">
        <f t="shared" si="206"/>
        <v>99.99020208205756</v>
      </c>
      <c r="G1667" s="894"/>
      <c r="H1667" s="703"/>
      <c r="I1667" s="766"/>
      <c r="J1667" s="703"/>
      <c r="K1667" s="698"/>
      <c r="L1667" s="704"/>
      <c r="M1667" s="720">
        <f>82600-950</f>
        <v>81650</v>
      </c>
      <c r="N1667" s="698">
        <f>81642-1+1</f>
        <v>81642</v>
      </c>
      <c r="O1667" s="744">
        <f t="shared" si="201"/>
        <v>99.99020208205756</v>
      </c>
      <c r="P1667" s="698"/>
      <c r="Q1667" s="698"/>
      <c r="R1667" s="770"/>
      <c r="S1667" s="682"/>
      <c r="T1667" s="682"/>
    </row>
    <row r="1668" spans="1:20" s="756" customFormat="1" ht="28.5" customHeight="1">
      <c r="A1668" s="764">
        <v>4110</v>
      </c>
      <c r="B1668" s="768" t="s">
        <v>207</v>
      </c>
      <c r="C1668" s="720">
        <v>181300</v>
      </c>
      <c r="D1668" s="698">
        <f t="shared" si="202"/>
        <v>183800</v>
      </c>
      <c r="E1668" s="698">
        <f t="shared" si="207"/>
        <v>183800</v>
      </c>
      <c r="F1668" s="699">
        <f t="shared" si="206"/>
        <v>100</v>
      </c>
      <c r="G1668" s="698"/>
      <c r="H1668" s="703"/>
      <c r="I1668" s="766"/>
      <c r="J1668" s="703"/>
      <c r="K1668" s="698"/>
      <c r="L1668" s="704"/>
      <c r="M1668" s="720">
        <f>181300+2500</f>
        <v>183800</v>
      </c>
      <c r="N1668" s="698">
        <v>183800</v>
      </c>
      <c r="O1668" s="744">
        <f t="shared" si="201"/>
        <v>100</v>
      </c>
      <c r="P1668" s="720"/>
      <c r="Q1668" s="698"/>
      <c r="R1668" s="770"/>
      <c r="S1668" s="682"/>
      <c r="T1668" s="682"/>
    </row>
    <row r="1669" spans="1:20" s="756" customFormat="1" ht="12.75">
      <c r="A1669" s="764">
        <v>4120</v>
      </c>
      <c r="B1669" s="768" t="s">
        <v>584</v>
      </c>
      <c r="C1669" s="720">
        <v>28500</v>
      </c>
      <c r="D1669" s="698">
        <f t="shared" si="202"/>
        <v>28500</v>
      </c>
      <c r="E1669" s="698">
        <f t="shared" si="207"/>
        <v>28500</v>
      </c>
      <c r="F1669" s="699">
        <f t="shared" si="206"/>
        <v>100</v>
      </c>
      <c r="G1669" s="698"/>
      <c r="H1669" s="703"/>
      <c r="I1669" s="766"/>
      <c r="J1669" s="703"/>
      <c r="K1669" s="698"/>
      <c r="L1669" s="704"/>
      <c r="M1669" s="720">
        <v>28500</v>
      </c>
      <c r="N1669" s="698">
        <v>28500</v>
      </c>
      <c r="O1669" s="744">
        <f t="shared" si="201"/>
        <v>100</v>
      </c>
      <c r="P1669" s="698"/>
      <c r="Q1669" s="698"/>
      <c r="R1669" s="770"/>
      <c r="S1669" s="682"/>
      <c r="T1669" s="682"/>
    </row>
    <row r="1670" spans="1:20" s="756" customFormat="1" ht="12.75">
      <c r="A1670" s="764">
        <v>4140</v>
      </c>
      <c r="B1670" s="934" t="s">
        <v>283</v>
      </c>
      <c r="C1670" s="720">
        <v>21600</v>
      </c>
      <c r="D1670" s="698">
        <f t="shared" si="202"/>
        <v>20400</v>
      </c>
      <c r="E1670" s="698">
        <f t="shared" si="207"/>
        <v>19190</v>
      </c>
      <c r="F1670" s="699">
        <f t="shared" si="206"/>
        <v>94.06862745098039</v>
      </c>
      <c r="G1670" s="698"/>
      <c r="H1670" s="703"/>
      <c r="I1670" s="766"/>
      <c r="J1670" s="703"/>
      <c r="K1670" s="698"/>
      <c r="L1670" s="704"/>
      <c r="M1670" s="720">
        <f>21600-1200</f>
        <v>20400</v>
      </c>
      <c r="N1670" s="698">
        <v>19190</v>
      </c>
      <c r="O1670" s="744">
        <f t="shared" si="201"/>
        <v>94.06862745098039</v>
      </c>
      <c r="P1670" s="698"/>
      <c r="Q1670" s="698"/>
      <c r="R1670" s="770"/>
      <c r="S1670" s="682"/>
      <c r="T1670" s="682"/>
    </row>
    <row r="1671" spans="1:20" s="756" customFormat="1" ht="24" hidden="1">
      <c r="A1671" s="764">
        <v>4170</v>
      </c>
      <c r="B1671" s="768" t="s">
        <v>242</v>
      </c>
      <c r="C1671" s="720"/>
      <c r="D1671" s="698">
        <f t="shared" si="202"/>
        <v>0</v>
      </c>
      <c r="E1671" s="698">
        <f t="shared" si="207"/>
        <v>0</v>
      </c>
      <c r="F1671" s="699" t="e">
        <f t="shared" si="206"/>
        <v>#DIV/0!</v>
      </c>
      <c r="G1671" s="698"/>
      <c r="H1671" s="703"/>
      <c r="I1671" s="766"/>
      <c r="J1671" s="703"/>
      <c r="K1671" s="698"/>
      <c r="L1671" s="704"/>
      <c r="M1671" s="720"/>
      <c r="N1671" s="698"/>
      <c r="O1671" s="744" t="e">
        <f t="shared" si="201"/>
        <v>#DIV/0!</v>
      </c>
      <c r="P1671" s="698"/>
      <c r="Q1671" s="698"/>
      <c r="R1671" s="770"/>
      <c r="S1671" s="682"/>
      <c r="T1671" s="682"/>
    </row>
    <row r="1672" spans="1:20" s="756" customFormat="1" ht="24">
      <c r="A1672" s="764">
        <v>4210</v>
      </c>
      <c r="B1672" s="768" t="s">
        <v>211</v>
      </c>
      <c r="C1672" s="720">
        <v>25000</v>
      </c>
      <c r="D1672" s="698">
        <f t="shared" si="202"/>
        <v>27000</v>
      </c>
      <c r="E1672" s="698">
        <f t="shared" si="207"/>
        <v>27000</v>
      </c>
      <c r="F1672" s="699">
        <f t="shared" si="206"/>
        <v>100</v>
      </c>
      <c r="G1672" s="698"/>
      <c r="H1672" s="703"/>
      <c r="I1672" s="766"/>
      <c r="J1672" s="703"/>
      <c r="K1672" s="698"/>
      <c r="L1672" s="704"/>
      <c r="M1672" s="720">
        <f>25000+2000</f>
        <v>27000</v>
      </c>
      <c r="N1672" s="698">
        <v>27000</v>
      </c>
      <c r="O1672" s="744">
        <f t="shared" si="201"/>
        <v>100</v>
      </c>
      <c r="P1672" s="698"/>
      <c r="Q1672" s="698"/>
      <c r="R1672" s="770"/>
      <c r="S1672" s="682"/>
      <c r="T1672" s="682"/>
    </row>
    <row r="1673" spans="1:20" s="756" customFormat="1" ht="36" customHeight="1">
      <c r="A1673" s="764">
        <v>4240</v>
      </c>
      <c r="B1673" s="768" t="s">
        <v>572</v>
      </c>
      <c r="C1673" s="720">
        <v>9000</v>
      </c>
      <c r="D1673" s="698">
        <f t="shared" si="202"/>
        <v>24000</v>
      </c>
      <c r="E1673" s="698">
        <f t="shared" si="207"/>
        <v>24000</v>
      </c>
      <c r="F1673" s="699">
        <f t="shared" si="206"/>
        <v>100</v>
      </c>
      <c r="G1673" s="698"/>
      <c r="H1673" s="703"/>
      <c r="I1673" s="766"/>
      <c r="J1673" s="703"/>
      <c r="K1673" s="698"/>
      <c r="L1673" s="704"/>
      <c r="M1673" s="720">
        <f>9000+15000</f>
        <v>24000</v>
      </c>
      <c r="N1673" s="698">
        <v>24000</v>
      </c>
      <c r="O1673" s="744">
        <f t="shared" si="201"/>
        <v>100</v>
      </c>
      <c r="P1673" s="698"/>
      <c r="Q1673" s="698"/>
      <c r="R1673" s="770"/>
      <c r="S1673" s="682"/>
      <c r="T1673" s="682"/>
    </row>
    <row r="1674" spans="1:20" s="756" customFormat="1" ht="12.75">
      <c r="A1674" s="764">
        <v>4260</v>
      </c>
      <c r="B1674" s="768" t="s">
        <v>215</v>
      </c>
      <c r="C1674" s="720">
        <v>62900</v>
      </c>
      <c r="D1674" s="698">
        <f t="shared" si="202"/>
        <v>69900</v>
      </c>
      <c r="E1674" s="698">
        <f t="shared" si="207"/>
        <v>69900</v>
      </c>
      <c r="F1674" s="699">
        <f t="shared" si="206"/>
        <v>100</v>
      </c>
      <c r="G1674" s="698"/>
      <c r="H1674" s="703"/>
      <c r="I1674" s="766"/>
      <c r="J1674" s="703"/>
      <c r="K1674" s="698"/>
      <c r="L1674" s="704"/>
      <c r="M1674" s="720">
        <f>62900+7000</f>
        <v>69900</v>
      </c>
      <c r="N1674" s="698">
        <v>69900</v>
      </c>
      <c r="O1674" s="744">
        <f t="shared" si="201"/>
        <v>100</v>
      </c>
      <c r="P1674" s="698"/>
      <c r="Q1674" s="698"/>
      <c r="R1674" s="770"/>
      <c r="S1674" s="682"/>
      <c r="T1674" s="682"/>
    </row>
    <row r="1675" spans="1:20" s="756" customFormat="1" ht="15" customHeight="1">
      <c r="A1675" s="764">
        <v>4270</v>
      </c>
      <c r="B1675" s="768" t="s">
        <v>217</v>
      </c>
      <c r="C1675" s="720">
        <v>4000</v>
      </c>
      <c r="D1675" s="698">
        <f>G1675+J1675+P1675+M1675</f>
        <v>4000</v>
      </c>
      <c r="E1675" s="698">
        <f>SUM(H1675+K1675+N1675+Q1675)</f>
        <v>3950</v>
      </c>
      <c r="F1675" s="699">
        <f>E1675/D1675*100</f>
        <v>98.75</v>
      </c>
      <c r="G1675" s="698"/>
      <c r="H1675" s="703"/>
      <c r="I1675" s="766"/>
      <c r="J1675" s="703"/>
      <c r="K1675" s="698"/>
      <c r="L1675" s="704"/>
      <c r="M1675" s="720">
        <v>4000</v>
      </c>
      <c r="N1675" s="698">
        <v>3950</v>
      </c>
      <c r="O1675" s="744">
        <f t="shared" si="201"/>
        <v>98.75</v>
      </c>
      <c r="P1675" s="698"/>
      <c r="Q1675" s="698"/>
      <c r="R1675" s="770"/>
      <c r="S1675" s="682"/>
      <c r="T1675" s="682"/>
    </row>
    <row r="1676" spans="1:20" s="756" customFormat="1" ht="14.25" customHeight="1">
      <c r="A1676" s="764">
        <v>4280</v>
      </c>
      <c r="B1676" s="768" t="s">
        <v>542</v>
      </c>
      <c r="C1676" s="720">
        <v>1200</v>
      </c>
      <c r="D1676" s="698">
        <f t="shared" si="202"/>
        <v>1200</v>
      </c>
      <c r="E1676" s="698">
        <f t="shared" si="207"/>
        <v>861</v>
      </c>
      <c r="F1676" s="699">
        <f t="shared" si="206"/>
        <v>71.75</v>
      </c>
      <c r="G1676" s="698"/>
      <c r="H1676" s="703"/>
      <c r="I1676" s="766"/>
      <c r="J1676" s="703"/>
      <c r="K1676" s="698"/>
      <c r="L1676" s="704"/>
      <c r="M1676" s="720">
        <v>1200</v>
      </c>
      <c r="N1676" s="698">
        <v>861</v>
      </c>
      <c r="O1676" s="744">
        <f t="shared" si="201"/>
        <v>71.75</v>
      </c>
      <c r="P1676" s="698"/>
      <c r="Q1676" s="698"/>
      <c r="R1676" s="770"/>
      <c r="S1676" s="682"/>
      <c r="T1676" s="682"/>
    </row>
    <row r="1677" spans="1:20" s="756" customFormat="1" ht="14.25" customHeight="1">
      <c r="A1677" s="764">
        <v>4300</v>
      </c>
      <c r="B1677" s="768" t="s">
        <v>219</v>
      </c>
      <c r="C1677" s="720">
        <v>15000</v>
      </c>
      <c r="D1677" s="698">
        <f t="shared" si="202"/>
        <v>14500</v>
      </c>
      <c r="E1677" s="698">
        <f t="shared" si="207"/>
        <v>14499</v>
      </c>
      <c r="F1677" s="699">
        <f t="shared" si="206"/>
        <v>99.99310344827586</v>
      </c>
      <c r="G1677" s="698"/>
      <c r="H1677" s="703"/>
      <c r="I1677" s="766"/>
      <c r="J1677" s="703"/>
      <c r="K1677" s="698"/>
      <c r="L1677" s="704"/>
      <c r="M1677" s="720">
        <f>15000-500</f>
        <v>14500</v>
      </c>
      <c r="N1677" s="698">
        <v>14499</v>
      </c>
      <c r="O1677" s="744">
        <f t="shared" si="201"/>
        <v>99.99310344827586</v>
      </c>
      <c r="P1677" s="698"/>
      <c r="Q1677" s="698"/>
      <c r="R1677" s="770"/>
      <c r="S1677" s="682"/>
      <c r="T1677" s="682"/>
    </row>
    <row r="1678" spans="1:20" s="756" customFormat="1" ht="24">
      <c r="A1678" s="764">
        <v>4350</v>
      </c>
      <c r="B1678" s="768" t="s">
        <v>544</v>
      </c>
      <c r="C1678" s="720">
        <v>2700</v>
      </c>
      <c r="D1678" s="698">
        <f t="shared" si="202"/>
        <v>2700</v>
      </c>
      <c r="E1678" s="698">
        <f t="shared" si="207"/>
        <v>2693</v>
      </c>
      <c r="F1678" s="699">
        <f t="shared" si="206"/>
        <v>99.74074074074075</v>
      </c>
      <c r="G1678" s="698"/>
      <c r="H1678" s="703"/>
      <c r="I1678" s="766"/>
      <c r="J1678" s="703"/>
      <c r="K1678" s="698"/>
      <c r="L1678" s="704"/>
      <c r="M1678" s="720">
        <v>2700</v>
      </c>
      <c r="N1678" s="698">
        <v>2693</v>
      </c>
      <c r="O1678" s="744">
        <f t="shared" si="201"/>
        <v>99.74074074074075</v>
      </c>
      <c r="P1678" s="698"/>
      <c r="Q1678" s="698"/>
      <c r="R1678" s="770"/>
      <c r="S1678" s="682"/>
      <c r="T1678" s="682"/>
    </row>
    <row r="1679" spans="1:20" s="756" customFormat="1" ht="39" customHeight="1">
      <c r="A1679" s="764">
        <v>4370</v>
      </c>
      <c r="B1679" s="828" t="s">
        <v>635</v>
      </c>
      <c r="C1679" s="720">
        <v>8400</v>
      </c>
      <c r="D1679" s="698">
        <f>G1679+J1679+P1679+M1679</f>
        <v>8400</v>
      </c>
      <c r="E1679" s="698">
        <f>SUM(H1679+K1679+N1679+Q1679)</f>
        <v>7323</v>
      </c>
      <c r="F1679" s="699">
        <f>E1679/D1679*100</f>
        <v>87.17857142857143</v>
      </c>
      <c r="G1679" s="698"/>
      <c r="H1679" s="703"/>
      <c r="I1679" s="766"/>
      <c r="J1679" s="703"/>
      <c r="K1679" s="698"/>
      <c r="L1679" s="704"/>
      <c r="M1679" s="720">
        <v>8400</v>
      </c>
      <c r="N1679" s="698">
        <v>7323</v>
      </c>
      <c r="O1679" s="744">
        <f t="shared" si="201"/>
        <v>87.17857142857143</v>
      </c>
      <c r="P1679" s="698"/>
      <c r="Q1679" s="698"/>
      <c r="R1679" s="770"/>
      <c r="S1679" s="682"/>
      <c r="T1679" s="682"/>
    </row>
    <row r="1680" spans="1:20" s="756" customFormat="1" ht="39.75" customHeight="1">
      <c r="A1680" s="764">
        <v>4390</v>
      </c>
      <c r="B1680" s="768" t="s">
        <v>243</v>
      </c>
      <c r="C1680" s="720">
        <v>3000</v>
      </c>
      <c r="D1680" s="698">
        <f>G1680+J1680+P1680+M1680</f>
        <v>3000</v>
      </c>
      <c r="E1680" s="698">
        <f>SUM(H1680+K1680+N1680+Q1680)</f>
        <v>2130</v>
      </c>
      <c r="F1680" s="699">
        <f>E1680/D1680*100</f>
        <v>71</v>
      </c>
      <c r="G1680" s="698"/>
      <c r="H1680" s="703"/>
      <c r="I1680" s="766"/>
      <c r="J1680" s="703"/>
      <c r="K1680" s="698"/>
      <c r="L1680" s="704"/>
      <c r="M1680" s="720">
        <v>3000</v>
      </c>
      <c r="N1680" s="698">
        <v>2130</v>
      </c>
      <c r="O1680" s="744">
        <f t="shared" si="201"/>
        <v>71</v>
      </c>
      <c r="P1680" s="698"/>
      <c r="Q1680" s="698"/>
      <c r="R1680" s="770"/>
      <c r="S1680" s="682"/>
      <c r="T1680" s="682"/>
    </row>
    <row r="1681" spans="1:20" s="756" customFormat="1" ht="18.75" customHeight="1">
      <c r="A1681" s="764">
        <v>4410</v>
      </c>
      <c r="B1681" s="768" t="s">
        <v>193</v>
      </c>
      <c r="C1681" s="720">
        <v>4000</v>
      </c>
      <c r="D1681" s="698">
        <f t="shared" si="202"/>
        <v>3700</v>
      </c>
      <c r="E1681" s="698">
        <f t="shared" si="207"/>
        <v>3698</v>
      </c>
      <c r="F1681" s="699">
        <f t="shared" si="206"/>
        <v>99.94594594594595</v>
      </c>
      <c r="G1681" s="698"/>
      <c r="H1681" s="703"/>
      <c r="I1681" s="766"/>
      <c r="J1681" s="703"/>
      <c r="K1681" s="698"/>
      <c r="L1681" s="704"/>
      <c r="M1681" s="720">
        <f>4000-300</f>
        <v>3700</v>
      </c>
      <c r="N1681" s="698">
        <f>3697+1</f>
        <v>3698</v>
      </c>
      <c r="O1681" s="744">
        <f t="shared" si="201"/>
        <v>99.94594594594595</v>
      </c>
      <c r="P1681" s="698"/>
      <c r="Q1681" s="698"/>
      <c r="R1681" s="770"/>
      <c r="S1681" s="682"/>
      <c r="T1681" s="682"/>
    </row>
    <row r="1682" spans="1:20" s="756" customFormat="1" ht="24">
      <c r="A1682" s="764">
        <v>4420</v>
      </c>
      <c r="B1682" s="768" t="s">
        <v>560</v>
      </c>
      <c r="C1682" s="720">
        <v>500</v>
      </c>
      <c r="D1682" s="698">
        <f>G1682+J1682+P1682+M1682</f>
        <v>630</v>
      </c>
      <c r="E1682" s="698">
        <f>SUM(H1682+K1682+N1682+Q1682)</f>
        <v>621</v>
      </c>
      <c r="F1682" s="699">
        <f>E1682/D1682*100</f>
        <v>98.57142857142858</v>
      </c>
      <c r="G1682" s="698"/>
      <c r="H1682" s="703"/>
      <c r="I1682" s="766"/>
      <c r="J1682" s="703"/>
      <c r="K1682" s="698"/>
      <c r="L1682" s="704"/>
      <c r="M1682" s="720">
        <f>500+300-170</f>
        <v>630</v>
      </c>
      <c r="N1682" s="698">
        <v>621</v>
      </c>
      <c r="O1682" s="744">
        <f aca="true" t="shared" si="208" ref="O1682:O1737">N1682/M1682*100</f>
        <v>98.57142857142858</v>
      </c>
      <c r="P1682" s="698"/>
      <c r="Q1682" s="698"/>
      <c r="R1682" s="770"/>
      <c r="S1682" s="682"/>
      <c r="T1682" s="682"/>
    </row>
    <row r="1683" spans="1:20" s="756" customFormat="1" ht="12.75">
      <c r="A1683" s="764">
        <v>4440</v>
      </c>
      <c r="B1683" s="768" t="s">
        <v>223</v>
      </c>
      <c r="C1683" s="720">
        <v>71900</v>
      </c>
      <c r="D1683" s="698">
        <f>G1683+J1683+P1683+M1683</f>
        <v>73615</v>
      </c>
      <c r="E1683" s="698">
        <f>SUM(H1683+K1683+N1683+Q1683)</f>
        <v>73615</v>
      </c>
      <c r="F1683" s="699">
        <f>E1683/D1683*100</f>
        <v>100</v>
      </c>
      <c r="G1683" s="698"/>
      <c r="H1683" s="703"/>
      <c r="I1683" s="766"/>
      <c r="J1683" s="703"/>
      <c r="K1683" s="698"/>
      <c r="L1683" s="704"/>
      <c r="M1683" s="720">
        <f>71900+2700-985</f>
        <v>73615</v>
      </c>
      <c r="N1683" s="698">
        <v>73615</v>
      </c>
      <c r="O1683" s="744">
        <f t="shared" si="208"/>
        <v>100</v>
      </c>
      <c r="P1683" s="698"/>
      <c r="Q1683" s="698"/>
      <c r="R1683" s="770"/>
      <c r="S1683" s="682"/>
      <c r="T1683" s="682"/>
    </row>
    <row r="1684" spans="1:20" s="756" customFormat="1" ht="39.75" customHeight="1">
      <c r="A1684" s="764">
        <v>4700</v>
      </c>
      <c r="B1684" s="828" t="s">
        <v>550</v>
      </c>
      <c r="C1684" s="720">
        <v>2500</v>
      </c>
      <c r="D1684" s="698">
        <f t="shared" si="202"/>
        <v>5170</v>
      </c>
      <c r="E1684" s="698">
        <f t="shared" si="207"/>
        <v>3877</v>
      </c>
      <c r="F1684" s="699">
        <f t="shared" si="206"/>
        <v>74.99032882011606</v>
      </c>
      <c r="G1684" s="698"/>
      <c r="H1684" s="703"/>
      <c r="I1684" s="766"/>
      <c r="J1684" s="703"/>
      <c r="K1684" s="698"/>
      <c r="L1684" s="704"/>
      <c r="M1684" s="720">
        <f>2500+800+670+1200</f>
        <v>5170</v>
      </c>
      <c r="N1684" s="698">
        <v>3877</v>
      </c>
      <c r="O1684" s="744">
        <f t="shared" si="208"/>
        <v>74.99032882011606</v>
      </c>
      <c r="P1684" s="698"/>
      <c r="Q1684" s="698"/>
      <c r="R1684" s="770"/>
      <c r="S1684" s="682"/>
      <c r="T1684" s="682"/>
    </row>
    <row r="1685" spans="1:20" s="756" customFormat="1" ht="49.5" customHeight="1">
      <c r="A1685" s="764">
        <v>4740</v>
      </c>
      <c r="B1685" s="828" t="s">
        <v>235</v>
      </c>
      <c r="C1685" s="703">
        <v>800</v>
      </c>
      <c r="D1685" s="698">
        <f t="shared" si="202"/>
        <v>800</v>
      </c>
      <c r="E1685" s="698">
        <f t="shared" si="207"/>
        <v>800</v>
      </c>
      <c r="F1685" s="699">
        <f t="shared" si="206"/>
        <v>100</v>
      </c>
      <c r="G1685" s="698"/>
      <c r="H1685" s="703"/>
      <c r="I1685" s="766"/>
      <c r="J1685" s="703"/>
      <c r="K1685" s="698"/>
      <c r="L1685" s="704"/>
      <c r="M1685" s="703">
        <v>800</v>
      </c>
      <c r="N1685" s="698">
        <v>800</v>
      </c>
      <c r="O1685" s="744">
        <f t="shared" si="208"/>
        <v>100</v>
      </c>
      <c r="P1685" s="698"/>
      <c r="Q1685" s="698"/>
      <c r="R1685" s="770"/>
      <c r="S1685" s="682"/>
      <c r="T1685" s="682"/>
    </row>
    <row r="1686" spans="1:20" s="756" customFormat="1" ht="36">
      <c r="A1686" s="764">
        <v>4750</v>
      </c>
      <c r="B1686" s="828" t="s">
        <v>551</v>
      </c>
      <c r="C1686" s="703">
        <v>3000</v>
      </c>
      <c r="D1686" s="698">
        <f t="shared" si="202"/>
        <v>3000</v>
      </c>
      <c r="E1686" s="698">
        <f t="shared" si="207"/>
        <v>2999</v>
      </c>
      <c r="F1686" s="699">
        <f t="shared" si="206"/>
        <v>99.96666666666667</v>
      </c>
      <c r="G1686" s="698"/>
      <c r="H1686" s="703"/>
      <c r="I1686" s="766"/>
      <c r="J1686" s="703"/>
      <c r="K1686" s="698"/>
      <c r="L1686" s="704"/>
      <c r="M1686" s="703">
        <v>3000</v>
      </c>
      <c r="N1686" s="698">
        <v>2999</v>
      </c>
      <c r="O1686" s="744">
        <f t="shared" si="208"/>
        <v>99.96666666666667</v>
      </c>
      <c r="P1686" s="698"/>
      <c r="Q1686" s="698"/>
      <c r="R1686" s="770"/>
      <c r="S1686" s="682"/>
      <c r="T1686" s="682"/>
    </row>
    <row r="1687" spans="1:20" s="756" customFormat="1" ht="27.75" customHeight="1">
      <c r="A1687" s="764">
        <v>6050</v>
      </c>
      <c r="B1687" s="934" t="s">
        <v>246</v>
      </c>
      <c r="C1687" s="703">
        <v>70000</v>
      </c>
      <c r="D1687" s="698">
        <f t="shared" si="202"/>
        <v>70000</v>
      </c>
      <c r="E1687" s="698">
        <f t="shared" si="207"/>
        <v>70000</v>
      </c>
      <c r="F1687" s="699">
        <f t="shared" si="206"/>
        <v>100</v>
      </c>
      <c r="G1687" s="698"/>
      <c r="H1687" s="703"/>
      <c r="I1687" s="766"/>
      <c r="J1687" s="703"/>
      <c r="K1687" s="698"/>
      <c r="L1687" s="704"/>
      <c r="M1687" s="703">
        <v>70000</v>
      </c>
      <c r="N1687" s="698">
        <v>70000</v>
      </c>
      <c r="O1687" s="744">
        <f t="shared" si="208"/>
        <v>100</v>
      </c>
      <c r="P1687" s="698"/>
      <c r="Q1687" s="698"/>
      <c r="R1687" s="770"/>
      <c r="S1687" s="682"/>
      <c r="T1687" s="682"/>
    </row>
    <row r="1688" spans="1:20" s="756" customFormat="1" ht="12.75">
      <c r="A1688" s="757">
        <v>85410</v>
      </c>
      <c r="B1688" s="959" t="s">
        <v>850</v>
      </c>
      <c r="C1688" s="725">
        <f>SUM(C1689:C1712)</f>
        <v>5373000</v>
      </c>
      <c r="D1688" s="712">
        <f t="shared" si="202"/>
        <v>2659518</v>
      </c>
      <c r="E1688" s="712">
        <f>H1688+K1688+Q1688+N1688</f>
        <v>2652768</v>
      </c>
      <c r="F1688" s="713">
        <f t="shared" si="206"/>
        <v>99.74619461120399</v>
      </c>
      <c r="G1688" s="874"/>
      <c r="H1688" s="875"/>
      <c r="I1688" s="762"/>
      <c r="J1688" s="875"/>
      <c r="K1688" s="874"/>
      <c r="L1688" s="876"/>
      <c r="M1688" s="712">
        <f>SUM(M1689:M1713)</f>
        <v>2659518</v>
      </c>
      <c r="N1688" s="712">
        <f>SUM(N1689:N1713)</f>
        <v>2652768</v>
      </c>
      <c r="O1688" s="741">
        <f t="shared" si="208"/>
        <v>99.74619461120399</v>
      </c>
      <c r="P1688" s="712"/>
      <c r="Q1688" s="712"/>
      <c r="R1688" s="846"/>
      <c r="S1688" s="682"/>
      <c r="T1688" s="682"/>
    </row>
    <row r="1689" spans="1:20" s="756" customFormat="1" ht="36">
      <c r="A1689" s="784">
        <v>3020</v>
      </c>
      <c r="B1689" s="934" t="s">
        <v>709</v>
      </c>
      <c r="C1689" s="723">
        <v>6700</v>
      </c>
      <c r="D1689" s="732">
        <f t="shared" si="202"/>
        <v>6700</v>
      </c>
      <c r="E1689" s="732">
        <f aca="true" t="shared" si="209" ref="E1689:E1737">SUM(H1689+K1689+N1689+Q1689)</f>
        <v>5383</v>
      </c>
      <c r="F1689" s="721">
        <f t="shared" si="206"/>
        <v>80.34328358208955</v>
      </c>
      <c r="G1689" s="732"/>
      <c r="H1689" s="735"/>
      <c r="I1689" s="803"/>
      <c r="J1689" s="735"/>
      <c r="K1689" s="732"/>
      <c r="L1689" s="736"/>
      <c r="M1689" s="723">
        <v>6700</v>
      </c>
      <c r="N1689" s="732">
        <v>5383</v>
      </c>
      <c r="O1689" s="786">
        <f t="shared" si="208"/>
        <v>80.34328358208955</v>
      </c>
      <c r="P1689" s="732"/>
      <c r="Q1689" s="732"/>
      <c r="R1689" s="788"/>
      <c r="S1689" s="682"/>
      <c r="T1689" s="682"/>
    </row>
    <row r="1690" spans="1:20" s="756" customFormat="1" ht="27.75" customHeight="1">
      <c r="A1690" s="764">
        <v>4010</v>
      </c>
      <c r="B1690" s="934" t="s">
        <v>201</v>
      </c>
      <c r="C1690" s="720">
        <v>1436800</v>
      </c>
      <c r="D1690" s="698">
        <f aca="true" t="shared" si="210" ref="D1690:D1758">G1690+J1690+P1690+M1690</f>
        <v>1432900</v>
      </c>
      <c r="E1690" s="698">
        <f t="shared" si="209"/>
        <v>1432900</v>
      </c>
      <c r="F1690" s="699">
        <f t="shared" si="206"/>
        <v>100</v>
      </c>
      <c r="G1690" s="698"/>
      <c r="H1690" s="703"/>
      <c r="I1690" s="766"/>
      <c r="J1690" s="703"/>
      <c r="K1690" s="698"/>
      <c r="L1690" s="704"/>
      <c r="M1690" s="720">
        <f>1436800+25720-29620</f>
        <v>1432900</v>
      </c>
      <c r="N1690" s="698">
        <v>1432900</v>
      </c>
      <c r="O1690" s="744">
        <f t="shared" si="208"/>
        <v>100</v>
      </c>
      <c r="P1690" s="698"/>
      <c r="Q1690" s="698"/>
      <c r="R1690" s="770"/>
      <c r="S1690" s="682"/>
      <c r="T1690" s="682"/>
    </row>
    <row r="1691" spans="1:20" s="756" customFormat="1" ht="24">
      <c r="A1691" s="764">
        <v>4040</v>
      </c>
      <c r="B1691" s="934" t="s">
        <v>205</v>
      </c>
      <c r="C1691" s="720">
        <v>112300</v>
      </c>
      <c r="D1691" s="698">
        <f t="shared" si="210"/>
        <v>107497</v>
      </c>
      <c r="E1691" s="698">
        <f t="shared" si="209"/>
        <v>107495</v>
      </c>
      <c r="F1691" s="699">
        <f t="shared" si="206"/>
        <v>99.99813948296232</v>
      </c>
      <c r="G1691" s="698"/>
      <c r="H1691" s="703"/>
      <c r="I1691" s="766"/>
      <c r="J1691" s="703"/>
      <c r="K1691" s="698"/>
      <c r="L1691" s="704"/>
      <c r="M1691" s="720">
        <f>112300-4803</f>
        <v>107497</v>
      </c>
      <c r="N1691" s="698">
        <v>107495</v>
      </c>
      <c r="O1691" s="744">
        <f t="shared" si="208"/>
        <v>99.99813948296232</v>
      </c>
      <c r="P1691" s="698"/>
      <c r="Q1691" s="698"/>
      <c r="R1691" s="770"/>
      <c r="S1691" s="682"/>
      <c r="T1691" s="682"/>
    </row>
    <row r="1692" spans="1:20" s="756" customFormat="1" ht="24" customHeight="1">
      <c r="A1692" s="764">
        <v>4110</v>
      </c>
      <c r="B1692" s="934" t="s">
        <v>207</v>
      </c>
      <c r="C1692" s="720">
        <v>238400</v>
      </c>
      <c r="D1692" s="698">
        <f t="shared" si="210"/>
        <v>232600</v>
      </c>
      <c r="E1692" s="698">
        <f t="shared" si="209"/>
        <v>232600</v>
      </c>
      <c r="F1692" s="699">
        <f t="shared" si="206"/>
        <v>100</v>
      </c>
      <c r="G1692" s="698"/>
      <c r="H1692" s="703"/>
      <c r="I1692" s="766"/>
      <c r="J1692" s="703"/>
      <c r="K1692" s="698"/>
      <c r="L1692" s="704"/>
      <c r="M1692" s="720">
        <f>238400-5800</f>
        <v>232600</v>
      </c>
      <c r="N1692" s="698">
        <v>232600</v>
      </c>
      <c r="O1692" s="744">
        <f t="shared" si="208"/>
        <v>100</v>
      </c>
      <c r="P1692" s="698"/>
      <c r="Q1692" s="698"/>
      <c r="R1692" s="770"/>
      <c r="S1692" s="682"/>
      <c r="T1692" s="682"/>
    </row>
    <row r="1693" spans="1:20" s="756" customFormat="1" ht="12.75">
      <c r="A1693" s="764">
        <v>4120</v>
      </c>
      <c r="B1693" s="934" t="s">
        <v>584</v>
      </c>
      <c r="C1693" s="720">
        <v>37800</v>
      </c>
      <c r="D1693" s="698">
        <f t="shared" si="210"/>
        <v>36600</v>
      </c>
      <c r="E1693" s="698">
        <f t="shared" si="209"/>
        <v>36600</v>
      </c>
      <c r="F1693" s="699">
        <f t="shared" si="206"/>
        <v>100</v>
      </c>
      <c r="G1693" s="698"/>
      <c r="H1693" s="703"/>
      <c r="I1693" s="766"/>
      <c r="J1693" s="703"/>
      <c r="K1693" s="698"/>
      <c r="L1693" s="704"/>
      <c r="M1693" s="720">
        <f>37800-1200</f>
        <v>36600</v>
      </c>
      <c r="N1693" s="698">
        <v>36600</v>
      </c>
      <c r="O1693" s="744">
        <f t="shared" si="208"/>
        <v>100</v>
      </c>
      <c r="P1693" s="698"/>
      <c r="Q1693" s="698"/>
      <c r="R1693" s="770"/>
      <c r="S1693" s="682"/>
      <c r="T1693" s="682"/>
    </row>
    <row r="1694" spans="1:20" s="756" customFormat="1" ht="12.75">
      <c r="A1694" s="764">
        <v>4140</v>
      </c>
      <c r="B1694" s="934" t="s">
        <v>283</v>
      </c>
      <c r="C1694" s="720">
        <v>13100</v>
      </c>
      <c r="D1694" s="698">
        <f t="shared" si="210"/>
        <v>12200</v>
      </c>
      <c r="E1694" s="698">
        <f t="shared" si="209"/>
        <v>12200</v>
      </c>
      <c r="F1694" s="699">
        <f t="shared" si="206"/>
        <v>100</v>
      </c>
      <c r="G1694" s="698"/>
      <c r="H1694" s="703"/>
      <c r="I1694" s="766"/>
      <c r="J1694" s="703"/>
      <c r="K1694" s="698"/>
      <c r="L1694" s="704"/>
      <c r="M1694" s="720">
        <f>13100-900</f>
        <v>12200</v>
      </c>
      <c r="N1694" s="698">
        <v>12200</v>
      </c>
      <c r="O1694" s="744">
        <f t="shared" si="208"/>
        <v>100</v>
      </c>
      <c r="P1694" s="698"/>
      <c r="Q1694" s="698"/>
      <c r="R1694" s="770"/>
      <c r="S1694" s="682"/>
      <c r="T1694" s="682"/>
    </row>
    <row r="1695" spans="1:20" s="756" customFormat="1" ht="24">
      <c r="A1695" s="764">
        <v>4170</v>
      </c>
      <c r="B1695" s="934" t="s">
        <v>242</v>
      </c>
      <c r="C1695" s="720">
        <v>30000</v>
      </c>
      <c r="D1695" s="698">
        <f t="shared" si="210"/>
        <v>30000</v>
      </c>
      <c r="E1695" s="698">
        <f t="shared" si="209"/>
        <v>29849</v>
      </c>
      <c r="F1695" s="699">
        <f t="shared" si="206"/>
        <v>99.49666666666667</v>
      </c>
      <c r="G1695" s="698"/>
      <c r="H1695" s="703"/>
      <c r="I1695" s="766"/>
      <c r="J1695" s="703"/>
      <c r="K1695" s="698"/>
      <c r="L1695" s="704"/>
      <c r="M1695" s="720">
        <v>30000</v>
      </c>
      <c r="N1695" s="698">
        <v>29849</v>
      </c>
      <c r="O1695" s="744">
        <f t="shared" si="208"/>
        <v>99.49666666666667</v>
      </c>
      <c r="P1695" s="698"/>
      <c r="Q1695" s="698"/>
      <c r="R1695" s="770"/>
      <c r="S1695" s="682"/>
      <c r="T1695" s="682"/>
    </row>
    <row r="1696" spans="1:20" s="756" customFormat="1" ht="24">
      <c r="A1696" s="764">
        <v>4210</v>
      </c>
      <c r="B1696" s="934" t="s">
        <v>211</v>
      </c>
      <c r="C1696" s="720">
        <v>69000</v>
      </c>
      <c r="D1696" s="698">
        <f t="shared" si="210"/>
        <v>79950</v>
      </c>
      <c r="E1696" s="698">
        <f t="shared" si="209"/>
        <v>79930</v>
      </c>
      <c r="F1696" s="699">
        <f t="shared" si="206"/>
        <v>99.97498436522827</v>
      </c>
      <c r="G1696" s="698"/>
      <c r="H1696" s="703"/>
      <c r="I1696" s="766"/>
      <c r="J1696" s="703"/>
      <c r="K1696" s="698"/>
      <c r="L1696" s="704"/>
      <c r="M1696" s="720">
        <f>69000+8950+2000</f>
        <v>79950</v>
      </c>
      <c r="N1696" s="698">
        <v>79930</v>
      </c>
      <c r="O1696" s="744">
        <f t="shared" si="208"/>
        <v>99.97498436522827</v>
      </c>
      <c r="P1696" s="698"/>
      <c r="Q1696" s="698"/>
      <c r="R1696" s="770"/>
      <c r="S1696" s="682"/>
      <c r="T1696" s="682"/>
    </row>
    <row r="1697" spans="1:20" s="756" customFormat="1" ht="36">
      <c r="A1697" s="764">
        <v>4240</v>
      </c>
      <c r="B1697" s="934" t="s">
        <v>846</v>
      </c>
      <c r="C1697" s="720">
        <v>1000</v>
      </c>
      <c r="D1697" s="698">
        <f t="shared" si="210"/>
        <v>1000</v>
      </c>
      <c r="E1697" s="698">
        <f t="shared" si="209"/>
        <v>781</v>
      </c>
      <c r="F1697" s="699">
        <f>E1697/D1697*100</f>
        <v>78.10000000000001</v>
      </c>
      <c r="G1697" s="698"/>
      <c r="H1697" s="703"/>
      <c r="I1697" s="766"/>
      <c r="J1697" s="703"/>
      <c r="K1697" s="698"/>
      <c r="L1697" s="704"/>
      <c r="M1697" s="720">
        <v>1000</v>
      </c>
      <c r="N1697" s="698">
        <v>781</v>
      </c>
      <c r="O1697" s="744">
        <f t="shared" si="208"/>
        <v>78.10000000000001</v>
      </c>
      <c r="P1697" s="698"/>
      <c r="Q1697" s="698"/>
      <c r="R1697" s="770"/>
      <c r="S1697" s="682"/>
      <c r="T1697" s="682"/>
    </row>
    <row r="1698" spans="1:20" s="756" customFormat="1" ht="12.75">
      <c r="A1698" s="764">
        <v>4260</v>
      </c>
      <c r="B1698" s="934" t="s">
        <v>215</v>
      </c>
      <c r="C1698" s="720">
        <v>310000</v>
      </c>
      <c r="D1698" s="698">
        <f t="shared" si="210"/>
        <v>350100</v>
      </c>
      <c r="E1698" s="698">
        <f t="shared" si="209"/>
        <v>350100</v>
      </c>
      <c r="F1698" s="699">
        <f t="shared" si="206"/>
        <v>100</v>
      </c>
      <c r="G1698" s="698"/>
      <c r="H1698" s="703"/>
      <c r="I1698" s="766"/>
      <c r="J1698" s="703"/>
      <c r="K1698" s="698"/>
      <c r="L1698" s="704"/>
      <c r="M1698" s="720">
        <f>310000+20200+19900</f>
        <v>350100</v>
      </c>
      <c r="N1698" s="698">
        <v>350100</v>
      </c>
      <c r="O1698" s="744">
        <f t="shared" si="208"/>
        <v>100</v>
      </c>
      <c r="P1698" s="698"/>
      <c r="Q1698" s="698"/>
      <c r="R1698" s="770"/>
      <c r="S1698" s="682"/>
      <c r="T1698" s="682"/>
    </row>
    <row r="1699" spans="1:20" s="756" customFormat="1" ht="15.75" customHeight="1">
      <c r="A1699" s="764">
        <v>4270</v>
      </c>
      <c r="B1699" s="934" t="s">
        <v>217</v>
      </c>
      <c r="C1699" s="720">
        <v>18000</v>
      </c>
      <c r="D1699" s="698">
        <f t="shared" si="210"/>
        <v>29100</v>
      </c>
      <c r="E1699" s="698">
        <f t="shared" si="209"/>
        <v>28905</v>
      </c>
      <c r="F1699" s="699">
        <f t="shared" si="206"/>
        <v>99.3298969072165</v>
      </c>
      <c r="G1699" s="698"/>
      <c r="H1699" s="703"/>
      <c r="I1699" s="766"/>
      <c r="J1699" s="703"/>
      <c r="K1699" s="698"/>
      <c r="L1699" s="704"/>
      <c r="M1699" s="720">
        <f>18000+6800+4300</f>
        <v>29100</v>
      </c>
      <c r="N1699" s="698">
        <v>28905</v>
      </c>
      <c r="O1699" s="744">
        <f t="shared" si="208"/>
        <v>99.3298969072165</v>
      </c>
      <c r="P1699" s="698"/>
      <c r="Q1699" s="698"/>
      <c r="R1699" s="770"/>
      <c r="S1699" s="682"/>
      <c r="T1699" s="682"/>
    </row>
    <row r="1700" spans="1:20" s="756" customFormat="1" ht="15.75" customHeight="1">
      <c r="A1700" s="764">
        <v>4280</v>
      </c>
      <c r="B1700" s="934" t="s">
        <v>542</v>
      </c>
      <c r="C1700" s="720">
        <v>2400</v>
      </c>
      <c r="D1700" s="698">
        <f t="shared" si="210"/>
        <v>2400</v>
      </c>
      <c r="E1700" s="698">
        <f t="shared" si="209"/>
        <v>2136</v>
      </c>
      <c r="F1700" s="699">
        <f t="shared" si="206"/>
        <v>89</v>
      </c>
      <c r="G1700" s="698"/>
      <c r="H1700" s="703"/>
      <c r="I1700" s="766"/>
      <c r="J1700" s="703"/>
      <c r="K1700" s="698"/>
      <c r="L1700" s="704"/>
      <c r="M1700" s="720">
        <v>2400</v>
      </c>
      <c r="N1700" s="698">
        <v>2136</v>
      </c>
      <c r="O1700" s="744">
        <f t="shared" si="208"/>
        <v>89</v>
      </c>
      <c r="P1700" s="698"/>
      <c r="Q1700" s="698"/>
      <c r="R1700" s="770"/>
      <c r="S1700" s="682"/>
      <c r="T1700" s="682"/>
    </row>
    <row r="1701" spans="1:20" s="756" customFormat="1" ht="12.75" customHeight="1">
      <c r="A1701" s="764">
        <v>4300</v>
      </c>
      <c r="B1701" s="934" t="s">
        <v>219</v>
      </c>
      <c r="C1701" s="720">
        <v>109000</v>
      </c>
      <c r="D1701" s="698">
        <f t="shared" si="210"/>
        <v>85700</v>
      </c>
      <c r="E1701" s="698">
        <f t="shared" si="209"/>
        <v>85700</v>
      </c>
      <c r="F1701" s="699">
        <f t="shared" si="206"/>
        <v>100</v>
      </c>
      <c r="G1701" s="698"/>
      <c r="H1701" s="703"/>
      <c r="I1701" s="766"/>
      <c r="J1701" s="703"/>
      <c r="K1701" s="698"/>
      <c r="L1701" s="704"/>
      <c r="M1701" s="720">
        <f>109000-500-6800-14000-2000</f>
        <v>85700</v>
      </c>
      <c r="N1701" s="698">
        <v>85700</v>
      </c>
      <c r="O1701" s="744">
        <f t="shared" si="208"/>
        <v>100</v>
      </c>
      <c r="P1701" s="698"/>
      <c r="Q1701" s="698"/>
      <c r="R1701" s="770"/>
      <c r="S1701" s="682"/>
      <c r="T1701" s="682"/>
    </row>
    <row r="1702" spans="1:20" s="756" customFormat="1" ht="24">
      <c r="A1702" s="764">
        <v>4350</v>
      </c>
      <c r="B1702" s="934" t="s">
        <v>544</v>
      </c>
      <c r="C1702" s="720">
        <v>4700</v>
      </c>
      <c r="D1702" s="698">
        <f t="shared" si="210"/>
        <v>2300</v>
      </c>
      <c r="E1702" s="698">
        <f t="shared" si="209"/>
        <v>2211</v>
      </c>
      <c r="F1702" s="699">
        <f t="shared" si="206"/>
        <v>96.1304347826087</v>
      </c>
      <c r="G1702" s="698"/>
      <c r="H1702" s="703"/>
      <c r="I1702" s="766"/>
      <c r="J1702" s="703"/>
      <c r="K1702" s="698"/>
      <c r="L1702" s="704"/>
      <c r="M1702" s="720">
        <f>4700-2400</f>
        <v>2300</v>
      </c>
      <c r="N1702" s="698">
        <v>2211</v>
      </c>
      <c r="O1702" s="744">
        <f t="shared" si="208"/>
        <v>96.1304347826087</v>
      </c>
      <c r="P1702" s="698"/>
      <c r="Q1702" s="698"/>
      <c r="R1702" s="770"/>
      <c r="S1702" s="682"/>
      <c r="T1702" s="682"/>
    </row>
    <row r="1703" spans="1:20" s="756" customFormat="1" ht="39.75" customHeight="1">
      <c r="A1703" s="764">
        <v>4360</v>
      </c>
      <c r="B1703" s="828" t="s">
        <v>682</v>
      </c>
      <c r="C1703" s="720"/>
      <c r="D1703" s="698">
        <f t="shared" si="210"/>
        <v>300</v>
      </c>
      <c r="E1703" s="698">
        <f>SUM(H1703+K1703+N1703+Q1703)</f>
        <v>160</v>
      </c>
      <c r="F1703" s="699">
        <f>E1703/D1703*100</f>
        <v>53.333333333333336</v>
      </c>
      <c r="G1703" s="698"/>
      <c r="H1703" s="703"/>
      <c r="I1703" s="766"/>
      <c r="J1703" s="703"/>
      <c r="K1703" s="698"/>
      <c r="L1703" s="704"/>
      <c r="M1703" s="720">
        <f>500-200</f>
        <v>300</v>
      </c>
      <c r="N1703" s="698">
        <v>160</v>
      </c>
      <c r="O1703" s="744">
        <f t="shared" si="208"/>
        <v>53.333333333333336</v>
      </c>
      <c r="P1703" s="698"/>
      <c r="Q1703" s="698"/>
      <c r="R1703" s="770"/>
      <c r="S1703" s="682"/>
      <c r="T1703" s="682"/>
    </row>
    <row r="1704" spans="1:20" s="756" customFormat="1" ht="37.5" customHeight="1">
      <c r="A1704" s="764">
        <v>4370</v>
      </c>
      <c r="B1704" s="828" t="s">
        <v>635</v>
      </c>
      <c r="C1704" s="720">
        <v>10000</v>
      </c>
      <c r="D1704" s="698">
        <f t="shared" si="210"/>
        <v>9000</v>
      </c>
      <c r="E1704" s="698">
        <f>SUM(H1704+K1704+N1704+Q1704)</f>
        <v>8361</v>
      </c>
      <c r="F1704" s="699">
        <f>E1704/D1704*100</f>
        <v>92.9</v>
      </c>
      <c r="G1704" s="698"/>
      <c r="H1704" s="703"/>
      <c r="I1704" s="766"/>
      <c r="J1704" s="703"/>
      <c r="K1704" s="698"/>
      <c r="L1704" s="704"/>
      <c r="M1704" s="720">
        <f>10000-1000</f>
        <v>9000</v>
      </c>
      <c r="N1704" s="698">
        <v>8361</v>
      </c>
      <c r="O1704" s="744">
        <f t="shared" si="208"/>
        <v>92.9</v>
      </c>
      <c r="P1704" s="698"/>
      <c r="Q1704" s="698"/>
      <c r="R1704" s="770"/>
      <c r="S1704" s="682"/>
      <c r="T1704" s="682"/>
    </row>
    <row r="1705" spans="1:20" s="756" customFormat="1" ht="36.75" customHeight="1">
      <c r="A1705" s="764">
        <v>4390</v>
      </c>
      <c r="B1705" s="768" t="s">
        <v>243</v>
      </c>
      <c r="C1705" s="720">
        <v>3000</v>
      </c>
      <c r="D1705" s="698">
        <f t="shared" si="210"/>
        <v>3000</v>
      </c>
      <c r="E1705" s="698">
        <f>SUM(H1705+K1705+N1705+Q1705)</f>
        <v>2353</v>
      </c>
      <c r="F1705" s="699">
        <f>E1705/D1705*100</f>
        <v>78.43333333333334</v>
      </c>
      <c r="G1705" s="698"/>
      <c r="H1705" s="703"/>
      <c r="I1705" s="766"/>
      <c r="J1705" s="703"/>
      <c r="K1705" s="698"/>
      <c r="L1705" s="704"/>
      <c r="M1705" s="720">
        <v>3000</v>
      </c>
      <c r="N1705" s="698">
        <v>2353</v>
      </c>
      <c r="O1705" s="744">
        <f t="shared" si="208"/>
        <v>78.43333333333334</v>
      </c>
      <c r="P1705" s="698"/>
      <c r="Q1705" s="698"/>
      <c r="R1705" s="770"/>
      <c r="S1705" s="682"/>
      <c r="T1705" s="682"/>
    </row>
    <row r="1706" spans="1:20" s="756" customFormat="1" ht="16.5" customHeight="1">
      <c r="A1706" s="764">
        <v>4410</v>
      </c>
      <c r="B1706" s="934" t="s">
        <v>193</v>
      </c>
      <c r="C1706" s="720">
        <v>3000</v>
      </c>
      <c r="D1706" s="698">
        <f t="shared" si="210"/>
        <v>1000</v>
      </c>
      <c r="E1706" s="698">
        <f t="shared" si="209"/>
        <v>227</v>
      </c>
      <c r="F1706" s="699">
        <f t="shared" si="206"/>
        <v>22.7</v>
      </c>
      <c r="G1706" s="698"/>
      <c r="H1706" s="703"/>
      <c r="I1706" s="766"/>
      <c r="J1706" s="703"/>
      <c r="K1706" s="698"/>
      <c r="L1706" s="704"/>
      <c r="M1706" s="720">
        <f>3000-2000</f>
        <v>1000</v>
      </c>
      <c r="N1706" s="698">
        <v>227</v>
      </c>
      <c r="O1706" s="744">
        <f t="shared" si="208"/>
        <v>22.7</v>
      </c>
      <c r="P1706" s="698"/>
      <c r="Q1706" s="698"/>
      <c r="R1706" s="770"/>
      <c r="S1706" s="682"/>
      <c r="T1706" s="682"/>
    </row>
    <row r="1707" spans="1:20" s="756" customFormat="1" ht="16.5" customHeight="1" hidden="1">
      <c r="A1707" s="764">
        <v>4420</v>
      </c>
      <c r="B1707" s="934" t="s">
        <v>560</v>
      </c>
      <c r="C1707" s="720"/>
      <c r="D1707" s="698">
        <f>G1707+J1707+P1707+M1707</f>
        <v>0</v>
      </c>
      <c r="E1707" s="698">
        <f>SUM(H1707+K1707+N1707+Q1707)</f>
        <v>0</v>
      </c>
      <c r="F1707" s="699" t="e">
        <f>E1707/D1707*100</f>
        <v>#DIV/0!</v>
      </c>
      <c r="G1707" s="698"/>
      <c r="H1707" s="703"/>
      <c r="I1707" s="766"/>
      <c r="J1707" s="703"/>
      <c r="K1707" s="698"/>
      <c r="L1707" s="704"/>
      <c r="M1707" s="720"/>
      <c r="N1707" s="698"/>
      <c r="O1707" s="744" t="e">
        <f t="shared" si="208"/>
        <v>#DIV/0!</v>
      </c>
      <c r="P1707" s="698"/>
      <c r="Q1707" s="698"/>
      <c r="R1707" s="770"/>
      <c r="S1707" s="682"/>
      <c r="T1707" s="682"/>
    </row>
    <row r="1708" spans="1:20" s="756" customFormat="1" ht="12.75">
      <c r="A1708" s="764">
        <v>4440</v>
      </c>
      <c r="B1708" s="934" t="s">
        <v>223</v>
      </c>
      <c r="C1708" s="720">
        <v>77800</v>
      </c>
      <c r="D1708" s="698">
        <f t="shared" si="210"/>
        <v>78221</v>
      </c>
      <c r="E1708" s="698">
        <f>SUM(H1708+K1708+N1708+Q1708)</f>
        <v>78221</v>
      </c>
      <c r="F1708" s="699">
        <f>E1708/D1708*100</f>
        <v>100</v>
      </c>
      <c r="G1708" s="698"/>
      <c r="H1708" s="703"/>
      <c r="I1708" s="766"/>
      <c r="J1708" s="703"/>
      <c r="K1708" s="698"/>
      <c r="L1708" s="704"/>
      <c r="M1708" s="720">
        <f>77800+91+330</f>
        <v>78221</v>
      </c>
      <c r="N1708" s="698">
        <v>78221</v>
      </c>
      <c r="O1708" s="744">
        <f t="shared" si="208"/>
        <v>100</v>
      </c>
      <c r="P1708" s="698"/>
      <c r="Q1708" s="698"/>
      <c r="R1708" s="770"/>
      <c r="S1708" s="682"/>
      <c r="T1708" s="682"/>
    </row>
    <row r="1709" spans="1:20" s="756" customFormat="1" ht="40.5" customHeight="1">
      <c r="A1709" s="764">
        <v>4700</v>
      </c>
      <c r="B1709" s="828" t="s">
        <v>550</v>
      </c>
      <c r="C1709" s="720">
        <v>4000</v>
      </c>
      <c r="D1709" s="698">
        <f t="shared" si="210"/>
        <v>4000</v>
      </c>
      <c r="E1709" s="698">
        <f>SUM(H1709+K1709+N1709+Q1709)</f>
        <v>2353</v>
      </c>
      <c r="F1709" s="699">
        <f>E1709/D1709*100</f>
        <v>58.825</v>
      </c>
      <c r="G1709" s="698"/>
      <c r="H1709" s="703"/>
      <c r="I1709" s="766"/>
      <c r="J1709" s="703"/>
      <c r="K1709" s="698"/>
      <c r="L1709" s="704"/>
      <c r="M1709" s="720">
        <v>4000</v>
      </c>
      <c r="N1709" s="698">
        <v>2353</v>
      </c>
      <c r="O1709" s="744">
        <f t="shared" si="208"/>
        <v>58.825</v>
      </c>
      <c r="P1709" s="698"/>
      <c r="Q1709" s="698"/>
      <c r="R1709" s="770"/>
      <c r="S1709" s="682"/>
      <c r="T1709" s="682"/>
    </row>
    <row r="1710" spans="1:20" s="756" customFormat="1" ht="51" customHeight="1">
      <c r="A1710" s="764">
        <v>4740</v>
      </c>
      <c r="B1710" s="828" t="s">
        <v>235</v>
      </c>
      <c r="C1710" s="720">
        <v>2200</v>
      </c>
      <c r="D1710" s="698">
        <f t="shared" si="210"/>
        <v>1400</v>
      </c>
      <c r="E1710" s="698">
        <f>SUM(H1710+K1710+N1710+Q1710)</f>
        <v>1394</v>
      </c>
      <c r="F1710" s="699">
        <f>E1710/D1710*100</f>
        <v>99.57142857142857</v>
      </c>
      <c r="G1710" s="698"/>
      <c r="H1710" s="703"/>
      <c r="I1710" s="766"/>
      <c r="J1710" s="703"/>
      <c r="K1710" s="698"/>
      <c r="L1710" s="704"/>
      <c r="M1710" s="720">
        <f>2200-800</f>
        <v>1400</v>
      </c>
      <c r="N1710" s="698">
        <v>1394</v>
      </c>
      <c r="O1710" s="744">
        <f t="shared" si="208"/>
        <v>99.57142857142857</v>
      </c>
      <c r="P1710" s="698"/>
      <c r="Q1710" s="698"/>
      <c r="R1710" s="770"/>
      <c r="S1710" s="682"/>
      <c r="T1710" s="682"/>
    </row>
    <row r="1711" spans="1:20" s="756" customFormat="1" ht="36">
      <c r="A1711" s="764">
        <v>4750</v>
      </c>
      <c r="B1711" s="828" t="s">
        <v>551</v>
      </c>
      <c r="C1711" s="720">
        <v>7000</v>
      </c>
      <c r="D1711" s="698">
        <f t="shared" si="210"/>
        <v>8100</v>
      </c>
      <c r="E1711" s="698">
        <f>SUM(H1711+K1711+N1711+Q1711)</f>
        <v>8046</v>
      </c>
      <c r="F1711" s="699">
        <f>E1711/D1711*100</f>
        <v>99.33333333333333</v>
      </c>
      <c r="G1711" s="698"/>
      <c r="H1711" s="703"/>
      <c r="I1711" s="766"/>
      <c r="J1711" s="703"/>
      <c r="K1711" s="698"/>
      <c r="L1711" s="704"/>
      <c r="M1711" s="720">
        <f>7000+1100</f>
        <v>8100</v>
      </c>
      <c r="N1711" s="698">
        <v>8046</v>
      </c>
      <c r="O1711" s="744">
        <f t="shared" si="208"/>
        <v>99.33333333333333</v>
      </c>
      <c r="P1711" s="698"/>
      <c r="Q1711" s="698"/>
      <c r="R1711" s="770"/>
      <c r="S1711" s="682"/>
      <c r="T1711" s="682"/>
    </row>
    <row r="1712" spans="1:20" s="756" customFormat="1" ht="27.75" customHeight="1">
      <c r="A1712" s="764">
        <v>6050</v>
      </c>
      <c r="B1712" s="934" t="s">
        <v>246</v>
      </c>
      <c r="C1712" s="720">
        <f>1110000+1654700+112100</f>
        <v>2876800</v>
      </c>
      <c r="D1712" s="698">
        <f t="shared" si="210"/>
        <v>136300</v>
      </c>
      <c r="E1712" s="698">
        <f t="shared" si="209"/>
        <v>135713</v>
      </c>
      <c r="F1712" s="699">
        <f t="shared" si="206"/>
        <v>99.56933235509905</v>
      </c>
      <c r="G1712" s="698"/>
      <c r="H1712" s="703"/>
      <c r="I1712" s="766"/>
      <c r="J1712" s="703"/>
      <c r="K1712" s="698"/>
      <c r="L1712" s="704"/>
      <c r="M1712" s="720">
        <f>1110000+1654700+112100-1110000-1654700+6000+18200</f>
        <v>136300</v>
      </c>
      <c r="N1712" s="698">
        <v>135713</v>
      </c>
      <c r="O1712" s="744">
        <f t="shared" si="208"/>
        <v>99.56933235509905</v>
      </c>
      <c r="P1712" s="698"/>
      <c r="Q1712" s="698"/>
      <c r="R1712" s="770"/>
      <c r="S1712" s="682"/>
      <c r="T1712" s="682"/>
    </row>
    <row r="1713" spans="1:20" s="756" customFormat="1" ht="39.75" customHeight="1">
      <c r="A1713" s="789">
        <v>6060</v>
      </c>
      <c r="B1713" s="934" t="s">
        <v>593</v>
      </c>
      <c r="C1713" s="720"/>
      <c r="D1713" s="698">
        <f t="shared" si="210"/>
        <v>9150</v>
      </c>
      <c r="E1713" s="792">
        <f t="shared" si="209"/>
        <v>9150</v>
      </c>
      <c r="F1713" s="699">
        <f t="shared" si="206"/>
        <v>100</v>
      </c>
      <c r="G1713" s="792"/>
      <c r="H1713" s="793"/>
      <c r="I1713" s="806"/>
      <c r="J1713" s="793"/>
      <c r="K1713" s="792"/>
      <c r="L1713" s="794"/>
      <c r="M1713" s="720">
        <v>9150</v>
      </c>
      <c r="N1713" s="698">
        <v>9150</v>
      </c>
      <c r="O1713" s="744">
        <f t="shared" si="208"/>
        <v>100</v>
      </c>
      <c r="P1713" s="792"/>
      <c r="Q1713" s="792"/>
      <c r="R1713" s="797"/>
      <c r="S1713" s="682"/>
      <c r="T1713" s="682"/>
    </row>
    <row r="1714" spans="1:20" s="756" customFormat="1" ht="24">
      <c r="A1714" s="757">
        <v>85415</v>
      </c>
      <c r="B1714" s="959" t="s">
        <v>851</v>
      </c>
      <c r="C1714" s="725">
        <f>SUM(C1717:C1724)</f>
        <v>70000</v>
      </c>
      <c r="D1714" s="712">
        <f t="shared" si="210"/>
        <v>2087715</v>
      </c>
      <c r="E1714" s="712">
        <f t="shared" si="209"/>
        <v>1595830</v>
      </c>
      <c r="F1714" s="726">
        <f t="shared" si="206"/>
        <v>76.43907334094932</v>
      </c>
      <c r="G1714" s="712">
        <f>SUM(G1717:G1720)</f>
        <v>872625</v>
      </c>
      <c r="H1714" s="712">
        <f>SUM(H1717:H1720)</f>
        <v>760066</v>
      </c>
      <c r="I1714" s="719">
        <f aca="true" t="shared" si="211" ref="I1714:I1766">H1714/G1714*100</f>
        <v>87.10110299384043</v>
      </c>
      <c r="J1714" s="717"/>
      <c r="K1714" s="712"/>
      <c r="L1714" s="718"/>
      <c r="M1714" s="712">
        <f>SUM(M1715:M1720)+M1724</f>
        <v>1215090</v>
      </c>
      <c r="N1714" s="712">
        <f>SUM(N1715:N1720)+N1724</f>
        <v>835764</v>
      </c>
      <c r="O1714" s="741">
        <f t="shared" si="208"/>
        <v>68.78206552601041</v>
      </c>
      <c r="P1714" s="712"/>
      <c r="Q1714" s="712"/>
      <c r="R1714" s="802"/>
      <c r="S1714" s="682"/>
      <c r="T1714" s="682"/>
    </row>
    <row r="1715" spans="1:18" ht="72" hidden="1">
      <c r="A1715" s="764">
        <v>2910</v>
      </c>
      <c r="B1715" s="934" t="s">
        <v>822</v>
      </c>
      <c r="C1715" s="720"/>
      <c r="D1715" s="698">
        <f t="shared" si="210"/>
        <v>0</v>
      </c>
      <c r="E1715" s="698">
        <f>SUM(H1715+K1715+N1715+Q1715)</f>
        <v>0</v>
      </c>
      <c r="F1715" s="699"/>
      <c r="G1715" s="698"/>
      <c r="H1715" s="703"/>
      <c r="I1715" s="702"/>
      <c r="J1715" s="703"/>
      <c r="K1715" s="698"/>
      <c r="L1715" s="704"/>
      <c r="M1715" s="698"/>
      <c r="N1715" s="698"/>
      <c r="O1715" s="744" t="e">
        <f t="shared" si="208"/>
        <v>#DIV/0!</v>
      </c>
      <c r="P1715" s="698"/>
      <c r="Q1715" s="698"/>
      <c r="R1715" s="770"/>
    </row>
    <row r="1716" spans="1:18" ht="38.25" customHeight="1">
      <c r="A1716" s="764">
        <v>3040</v>
      </c>
      <c r="B1716" s="934" t="s">
        <v>749</v>
      </c>
      <c r="C1716" s="720"/>
      <c r="D1716" s="698">
        <f t="shared" si="210"/>
        <v>600</v>
      </c>
      <c r="E1716" s="698">
        <f>SUM(H1716+K1716+N1716+Q1716)</f>
        <v>600</v>
      </c>
      <c r="F1716" s="699"/>
      <c r="G1716" s="698"/>
      <c r="H1716" s="703"/>
      <c r="I1716" s="702"/>
      <c r="J1716" s="703"/>
      <c r="K1716" s="698"/>
      <c r="L1716" s="704"/>
      <c r="M1716" s="698">
        <v>600</v>
      </c>
      <c r="N1716" s="698">
        <v>600</v>
      </c>
      <c r="O1716" s="744">
        <f t="shared" si="208"/>
        <v>100</v>
      </c>
      <c r="P1716" s="698"/>
      <c r="Q1716" s="698"/>
      <c r="R1716" s="770"/>
    </row>
    <row r="1717" spans="1:20" s="756" customFormat="1" ht="12.75">
      <c r="A1717" s="764">
        <v>3240</v>
      </c>
      <c r="B1717" s="934" t="s">
        <v>852</v>
      </c>
      <c r="C1717" s="720">
        <v>70000</v>
      </c>
      <c r="D1717" s="698">
        <f t="shared" si="210"/>
        <v>847006</v>
      </c>
      <c r="E1717" s="698">
        <f t="shared" si="209"/>
        <v>750647</v>
      </c>
      <c r="F1717" s="699">
        <f aca="true" t="shared" si="212" ref="F1717:F1765">E1717/D1717*100</f>
        <v>88.62357527573594</v>
      </c>
      <c r="G1717" s="698">
        <f>20000+25091+451645-17500+15500+280270+20000</f>
        <v>795006</v>
      </c>
      <c r="H1717" s="703">
        <v>714547</v>
      </c>
      <c r="I1717" s="744">
        <f t="shared" si="211"/>
        <v>89.87944745071106</v>
      </c>
      <c r="J1717" s="703"/>
      <c r="K1717" s="698"/>
      <c r="L1717" s="704"/>
      <c r="M1717" s="698">
        <f>50000-34100+36100</f>
        <v>52000</v>
      </c>
      <c r="N1717" s="698">
        <v>36100</v>
      </c>
      <c r="O1717" s="744">
        <f t="shared" si="208"/>
        <v>69.42307692307692</v>
      </c>
      <c r="P1717" s="698"/>
      <c r="Q1717" s="698"/>
      <c r="R1717" s="770"/>
      <c r="S1717" s="682"/>
      <c r="T1717" s="682"/>
    </row>
    <row r="1718" spans="1:20" s="756" customFormat="1" ht="24">
      <c r="A1718" s="764">
        <v>3260</v>
      </c>
      <c r="B1718" s="934" t="s">
        <v>338</v>
      </c>
      <c r="C1718" s="720"/>
      <c r="D1718" s="698">
        <f t="shared" si="210"/>
        <v>77619</v>
      </c>
      <c r="E1718" s="698">
        <f t="shared" si="209"/>
        <v>45519</v>
      </c>
      <c r="F1718" s="699">
        <f t="shared" si="212"/>
        <v>58.64414640745178</v>
      </c>
      <c r="G1718" s="698">
        <f>476736-451645+72528-20000-150+150</f>
        <v>77619</v>
      </c>
      <c r="H1718" s="703">
        <v>45519</v>
      </c>
      <c r="I1718" s="744">
        <f t="shared" si="211"/>
        <v>58.64414640745178</v>
      </c>
      <c r="J1718" s="703"/>
      <c r="K1718" s="698"/>
      <c r="L1718" s="704"/>
      <c r="M1718" s="698"/>
      <c r="N1718" s="698"/>
      <c r="O1718" s="702"/>
      <c r="P1718" s="698"/>
      <c r="Q1718" s="698"/>
      <c r="R1718" s="770"/>
      <c r="S1718" s="682"/>
      <c r="T1718" s="682"/>
    </row>
    <row r="1719" spans="1:20" s="756" customFormat="1" ht="36" hidden="1">
      <c r="A1719" s="764">
        <v>4240</v>
      </c>
      <c r="B1719" s="934" t="s">
        <v>846</v>
      </c>
      <c r="C1719" s="720"/>
      <c r="D1719" s="698">
        <f t="shared" si="210"/>
        <v>0</v>
      </c>
      <c r="E1719" s="698">
        <f t="shared" si="209"/>
        <v>0</v>
      </c>
      <c r="F1719" s="699" t="e">
        <f t="shared" si="212"/>
        <v>#DIV/0!</v>
      </c>
      <c r="G1719" s="698"/>
      <c r="H1719" s="703"/>
      <c r="I1719" s="744" t="e">
        <f t="shared" si="211"/>
        <v>#DIV/0!</v>
      </c>
      <c r="J1719" s="703"/>
      <c r="K1719" s="698"/>
      <c r="L1719" s="704"/>
      <c r="M1719" s="698"/>
      <c r="N1719" s="698"/>
      <c r="O1719" s="702"/>
      <c r="P1719" s="698"/>
      <c r="Q1719" s="698"/>
      <c r="R1719" s="770"/>
      <c r="S1719" s="682"/>
      <c r="T1719" s="682"/>
    </row>
    <row r="1720" spans="1:20" s="756" customFormat="1" ht="12.75" hidden="1">
      <c r="A1720" s="774"/>
      <c r="B1720" s="970" t="s">
        <v>853</v>
      </c>
      <c r="C1720" s="776"/>
      <c r="D1720" s="777">
        <f t="shared" si="210"/>
        <v>0</v>
      </c>
      <c r="E1720" s="777">
        <f t="shared" si="209"/>
        <v>0</v>
      </c>
      <c r="F1720" s="747" t="e">
        <f t="shared" si="212"/>
        <v>#DIV/0!</v>
      </c>
      <c r="G1720" s="777">
        <f>SUM(G1721:G1723)</f>
        <v>0</v>
      </c>
      <c r="H1720" s="778">
        <f>SUM(H1721:H1723)</f>
        <v>0</v>
      </c>
      <c r="I1720" s="744" t="e">
        <f t="shared" si="211"/>
        <v>#DIV/0!</v>
      </c>
      <c r="J1720" s="778"/>
      <c r="K1720" s="777"/>
      <c r="L1720" s="779"/>
      <c r="M1720" s="777">
        <f>SUM(M1721:M1723)</f>
        <v>0</v>
      </c>
      <c r="N1720" s="777">
        <f>SUM(N1721:N1723)</f>
        <v>0</v>
      </c>
      <c r="O1720" s="744" t="e">
        <f t="shared" si="208"/>
        <v>#DIV/0!</v>
      </c>
      <c r="P1720" s="777"/>
      <c r="Q1720" s="777"/>
      <c r="R1720" s="783"/>
      <c r="S1720" s="682"/>
      <c r="T1720" s="682"/>
    </row>
    <row r="1721" spans="1:20" s="756" customFormat="1" ht="36" hidden="1">
      <c r="A1721" s="764">
        <v>4010</v>
      </c>
      <c r="B1721" s="828" t="s">
        <v>201</v>
      </c>
      <c r="C1721" s="720"/>
      <c r="D1721" s="698">
        <f t="shared" si="210"/>
        <v>0</v>
      </c>
      <c r="E1721" s="698">
        <f t="shared" si="209"/>
        <v>0</v>
      </c>
      <c r="F1721" s="699" t="e">
        <f t="shared" si="212"/>
        <v>#DIV/0!</v>
      </c>
      <c r="G1721" s="698"/>
      <c r="H1721" s="703"/>
      <c r="I1721" s="744" t="e">
        <f t="shared" si="211"/>
        <v>#DIV/0!</v>
      </c>
      <c r="J1721" s="703"/>
      <c r="K1721" s="698"/>
      <c r="L1721" s="704"/>
      <c r="M1721" s="698"/>
      <c r="N1721" s="698"/>
      <c r="O1721" s="744" t="e">
        <f t="shared" si="208"/>
        <v>#DIV/0!</v>
      </c>
      <c r="P1721" s="698"/>
      <c r="Q1721" s="698"/>
      <c r="R1721" s="770"/>
      <c r="S1721" s="682"/>
      <c r="T1721" s="682"/>
    </row>
    <row r="1722" spans="1:20" s="756" customFormat="1" ht="36" hidden="1">
      <c r="A1722" s="764">
        <v>4110</v>
      </c>
      <c r="B1722" s="934" t="s">
        <v>207</v>
      </c>
      <c r="C1722" s="720"/>
      <c r="D1722" s="698">
        <f t="shared" si="210"/>
        <v>0</v>
      </c>
      <c r="E1722" s="698">
        <f t="shared" si="209"/>
        <v>0</v>
      </c>
      <c r="F1722" s="699" t="e">
        <f t="shared" si="212"/>
        <v>#DIV/0!</v>
      </c>
      <c r="G1722" s="698"/>
      <c r="H1722" s="703"/>
      <c r="I1722" s="744" t="e">
        <f t="shared" si="211"/>
        <v>#DIV/0!</v>
      </c>
      <c r="J1722" s="703"/>
      <c r="K1722" s="698"/>
      <c r="L1722" s="704"/>
      <c r="M1722" s="698"/>
      <c r="N1722" s="698"/>
      <c r="O1722" s="744" t="e">
        <f t="shared" si="208"/>
        <v>#DIV/0!</v>
      </c>
      <c r="P1722" s="698"/>
      <c r="Q1722" s="698"/>
      <c r="R1722" s="770"/>
      <c r="S1722" s="682"/>
      <c r="T1722" s="682"/>
    </row>
    <row r="1723" spans="1:20" s="756" customFormat="1" ht="12.75" hidden="1">
      <c r="A1723" s="764">
        <v>4120</v>
      </c>
      <c r="B1723" s="934" t="s">
        <v>584</v>
      </c>
      <c r="C1723" s="720"/>
      <c r="D1723" s="698">
        <f t="shared" si="210"/>
        <v>0</v>
      </c>
      <c r="E1723" s="698">
        <f t="shared" si="209"/>
        <v>0</v>
      </c>
      <c r="F1723" s="699" t="e">
        <f t="shared" si="212"/>
        <v>#DIV/0!</v>
      </c>
      <c r="G1723" s="698"/>
      <c r="H1723" s="703"/>
      <c r="I1723" s="744" t="e">
        <f t="shared" si="211"/>
        <v>#DIV/0!</v>
      </c>
      <c r="J1723" s="703"/>
      <c r="K1723" s="698"/>
      <c r="L1723" s="704"/>
      <c r="M1723" s="698"/>
      <c r="N1723" s="698"/>
      <c r="O1723" s="744" t="e">
        <f t="shared" si="208"/>
        <v>#DIV/0!</v>
      </c>
      <c r="P1723" s="698"/>
      <c r="Q1723" s="698"/>
      <c r="R1723" s="770"/>
      <c r="S1723" s="682"/>
      <c r="T1723" s="682"/>
    </row>
    <row r="1724" spans="1:20" s="756" customFormat="1" ht="60">
      <c r="A1724" s="774"/>
      <c r="B1724" s="1023" t="s">
        <v>789</v>
      </c>
      <c r="C1724" s="776">
        <f>SUM(C1727:C1737)</f>
        <v>0</v>
      </c>
      <c r="D1724" s="777">
        <f t="shared" si="210"/>
        <v>1162490</v>
      </c>
      <c r="E1724" s="777">
        <f t="shared" si="209"/>
        <v>799064</v>
      </c>
      <c r="F1724" s="699">
        <f t="shared" si="212"/>
        <v>68.73727946046849</v>
      </c>
      <c r="G1724" s="777"/>
      <c r="H1724" s="778"/>
      <c r="I1724" s="744"/>
      <c r="J1724" s="778"/>
      <c r="K1724" s="777"/>
      <c r="L1724" s="779"/>
      <c r="M1724" s="777">
        <f>SUM(M1725:M1737)</f>
        <v>1162490</v>
      </c>
      <c r="N1724" s="777">
        <f>SUM(N1725:N1737)</f>
        <v>799064</v>
      </c>
      <c r="O1724" s="971">
        <f t="shared" si="208"/>
        <v>68.73727946046849</v>
      </c>
      <c r="P1724" s="777"/>
      <c r="Q1724" s="777"/>
      <c r="R1724" s="783"/>
      <c r="S1724" s="682"/>
      <c r="T1724" s="682"/>
    </row>
    <row r="1725" spans="1:18" ht="24" hidden="1">
      <c r="A1725" s="764">
        <v>3218</v>
      </c>
      <c r="B1725" s="934" t="s">
        <v>748</v>
      </c>
      <c r="C1725" s="720"/>
      <c r="D1725" s="698">
        <f t="shared" si="210"/>
        <v>0</v>
      </c>
      <c r="E1725" s="698">
        <f>SUM(H1725+K1725+N1725+Q1725)</f>
        <v>0</v>
      </c>
      <c r="F1725" s="699" t="e">
        <f>E1725/D1725*100</f>
        <v>#DIV/0!</v>
      </c>
      <c r="G1725" s="698"/>
      <c r="H1725" s="703"/>
      <c r="I1725" s="702"/>
      <c r="J1725" s="703"/>
      <c r="K1725" s="698"/>
      <c r="L1725" s="704"/>
      <c r="M1725" s="703">
        <f>1067-1067</f>
        <v>0</v>
      </c>
      <c r="N1725" s="698"/>
      <c r="O1725" s="744"/>
      <c r="P1725" s="698"/>
      <c r="Q1725" s="698"/>
      <c r="R1725" s="770"/>
    </row>
    <row r="1726" spans="1:18" ht="24" hidden="1">
      <c r="A1726" s="764">
        <v>3219</v>
      </c>
      <c r="B1726" s="934" t="s">
        <v>748</v>
      </c>
      <c r="C1726" s="720"/>
      <c r="D1726" s="698">
        <f t="shared" si="210"/>
        <v>0</v>
      </c>
      <c r="E1726" s="698">
        <f>SUM(H1726+K1726+N1726+Q1726)</f>
        <v>0</v>
      </c>
      <c r="F1726" s="699" t="e">
        <f>E1726/D1726*100</f>
        <v>#DIV/0!</v>
      </c>
      <c r="G1726" s="698"/>
      <c r="H1726" s="703"/>
      <c r="I1726" s="702"/>
      <c r="J1726" s="703"/>
      <c r="K1726" s="698"/>
      <c r="L1726" s="704"/>
      <c r="M1726" s="703"/>
      <c r="N1726" s="698"/>
      <c r="O1726" s="744"/>
      <c r="P1726" s="698"/>
      <c r="Q1726" s="698"/>
      <c r="R1726" s="770"/>
    </row>
    <row r="1727" spans="1:20" s="756" customFormat="1" ht="12.75">
      <c r="A1727" s="764">
        <v>3248</v>
      </c>
      <c r="B1727" s="934" t="s">
        <v>852</v>
      </c>
      <c r="C1727" s="720"/>
      <c r="D1727" s="698">
        <f t="shared" si="210"/>
        <v>762155</v>
      </c>
      <c r="E1727" s="698">
        <f t="shared" si="209"/>
        <v>517180</v>
      </c>
      <c r="F1727" s="699">
        <f t="shared" si="212"/>
        <v>67.85758802343355</v>
      </c>
      <c r="G1727" s="698"/>
      <c r="H1727" s="703"/>
      <c r="I1727" s="702"/>
      <c r="J1727" s="703"/>
      <c r="K1727" s="698"/>
      <c r="L1727" s="704"/>
      <c r="M1727" s="720">
        <f>762160-3-2</f>
        <v>762155</v>
      </c>
      <c r="N1727" s="698">
        <v>517180</v>
      </c>
      <c r="O1727" s="744">
        <f t="shared" si="208"/>
        <v>67.85758802343355</v>
      </c>
      <c r="P1727" s="698"/>
      <c r="Q1727" s="698"/>
      <c r="R1727" s="770"/>
      <c r="S1727" s="682"/>
      <c r="T1727" s="682"/>
    </row>
    <row r="1728" spans="1:20" s="756" customFormat="1" ht="12.75">
      <c r="A1728" s="764">
        <v>3249</v>
      </c>
      <c r="B1728" s="934" t="s">
        <v>852</v>
      </c>
      <c r="C1728" s="720"/>
      <c r="D1728" s="698">
        <f t="shared" si="210"/>
        <v>357833</v>
      </c>
      <c r="E1728" s="698">
        <f t="shared" si="209"/>
        <v>242820</v>
      </c>
      <c r="F1728" s="699">
        <f t="shared" si="212"/>
        <v>67.85847029200772</v>
      </c>
      <c r="G1728" s="698"/>
      <c r="H1728" s="703"/>
      <c r="I1728" s="702"/>
      <c r="J1728" s="703"/>
      <c r="K1728" s="698"/>
      <c r="L1728" s="704"/>
      <c r="M1728" s="720">
        <f>357840-4-3</f>
        <v>357833</v>
      </c>
      <c r="N1728" s="698">
        <v>242820</v>
      </c>
      <c r="O1728" s="744">
        <f t="shared" si="208"/>
        <v>67.85847029200772</v>
      </c>
      <c r="P1728" s="698"/>
      <c r="Q1728" s="698"/>
      <c r="R1728" s="770"/>
      <c r="S1728" s="682"/>
      <c r="T1728" s="682"/>
    </row>
    <row r="1729" spans="1:20" s="756" customFormat="1" ht="24">
      <c r="A1729" s="764">
        <v>4170</v>
      </c>
      <c r="B1729" s="934" t="s">
        <v>242</v>
      </c>
      <c r="C1729" s="720"/>
      <c r="D1729" s="698">
        <f>G1729+J1729+P1729+M1729</f>
        <v>10000</v>
      </c>
      <c r="E1729" s="698">
        <f>SUM(H1729+K1729+N1729+Q1729)</f>
        <v>6585</v>
      </c>
      <c r="F1729" s="699">
        <f>E1729/D1729*100</f>
        <v>65.85</v>
      </c>
      <c r="G1729" s="698"/>
      <c r="H1729" s="703"/>
      <c r="I1729" s="702"/>
      <c r="J1729" s="703"/>
      <c r="K1729" s="698"/>
      <c r="L1729" s="704"/>
      <c r="M1729" s="720">
        <v>10000</v>
      </c>
      <c r="N1729" s="698">
        <f>6584+1</f>
        <v>6585</v>
      </c>
      <c r="O1729" s="744">
        <f t="shared" si="208"/>
        <v>65.85</v>
      </c>
      <c r="P1729" s="698"/>
      <c r="Q1729" s="698"/>
      <c r="R1729" s="770"/>
      <c r="S1729" s="682"/>
      <c r="T1729" s="682"/>
    </row>
    <row r="1730" spans="1:20" s="756" customFormat="1" ht="24">
      <c r="A1730" s="764">
        <v>4218</v>
      </c>
      <c r="B1730" s="934" t="s">
        <v>211</v>
      </c>
      <c r="C1730" s="720"/>
      <c r="D1730" s="698">
        <f t="shared" si="210"/>
        <v>6683</v>
      </c>
      <c r="E1730" s="698">
        <f t="shared" si="209"/>
        <v>6677</v>
      </c>
      <c r="F1730" s="699">
        <f t="shared" si="212"/>
        <v>99.91021996109531</v>
      </c>
      <c r="G1730" s="698"/>
      <c r="H1730" s="703"/>
      <c r="I1730" s="702"/>
      <c r="J1730" s="703"/>
      <c r="K1730" s="698"/>
      <c r="L1730" s="704"/>
      <c r="M1730" s="720">
        <f>7870-1188+1</f>
        <v>6683</v>
      </c>
      <c r="N1730" s="698">
        <v>6677</v>
      </c>
      <c r="O1730" s="744">
        <f t="shared" si="208"/>
        <v>99.91021996109531</v>
      </c>
      <c r="P1730" s="698"/>
      <c r="Q1730" s="698"/>
      <c r="R1730" s="770"/>
      <c r="S1730" s="682"/>
      <c r="T1730" s="682"/>
    </row>
    <row r="1731" spans="1:20" s="756" customFormat="1" ht="24">
      <c r="A1731" s="764">
        <v>4219</v>
      </c>
      <c r="B1731" s="934" t="s">
        <v>211</v>
      </c>
      <c r="C1731" s="720"/>
      <c r="D1731" s="698">
        <f t="shared" si="210"/>
        <v>3136</v>
      </c>
      <c r="E1731" s="698">
        <f t="shared" si="209"/>
        <v>3132</v>
      </c>
      <c r="F1731" s="699">
        <f t="shared" si="212"/>
        <v>99.87244897959184</v>
      </c>
      <c r="G1731" s="698"/>
      <c r="H1731" s="703"/>
      <c r="I1731" s="702"/>
      <c r="J1731" s="703"/>
      <c r="K1731" s="698"/>
      <c r="L1731" s="704"/>
      <c r="M1731" s="720">
        <f>3695-561+2</f>
        <v>3136</v>
      </c>
      <c r="N1731" s="698">
        <f>3131+1+1-1</f>
        <v>3132</v>
      </c>
      <c r="O1731" s="744">
        <f t="shared" si="208"/>
        <v>99.87244897959184</v>
      </c>
      <c r="P1731" s="698"/>
      <c r="Q1731" s="698"/>
      <c r="R1731" s="770"/>
      <c r="S1731" s="682"/>
      <c r="T1731" s="682"/>
    </row>
    <row r="1732" spans="1:20" s="756" customFormat="1" ht="14.25" customHeight="1">
      <c r="A1732" s="764">
        <v>4308</v>
      </c>
      <c r="B1732" s="934" t="s">
        <v>219</v>
      </c>
      <c r="C1732" s="720"/>
      <c r="D1732" s="698">
        <f>G1732+J1732+P1732+M1732</f>
        <v>14240</v>
      </c>
      <c r="E1732" s="698">
        <f t="shared" si="209"/>
        <v>14238</v>
      </c>
      <c r="F1732" s="699">
        <f>E1732/D1732*100</f>
        <v>99.98595505617978</v>
      </c>
      <c r="G1732" s="698"/>
      <c r="H1732" s="703"/>
      <c r="I1732" s="702"/>
      <c r="J1732" s="703"/>
      <c r="K1732" s="698"/>
      <c r="L1732" s="704"/>
      <c r="M1732" s="720">
        <v>14240</v>
      </c>
      <c r="N1732" s="698">
        <v>14238</v>
      </c>
      <c r="O1732" s="744">
        <f t="shared" si="208"/>
        <v>99.98595505617978</v>
      </c>
      <c r="P1732" s="698"/>
      <c r="Q1732" s="698"/>
      <c r="R1732" s="770"/>
      <c r="S1732" s="682"/>
      <c r="T1732" s="682"/>
    </row>
    <row r="1733" spans="1:20" s="756" customFormat="1" ht="15.75" customHeight="1">
      <c r="A1733" s="764">
        <v>4309</v>
      </c>
      <c r="B1733" s="934" t="s">
        <v>219</v>
      </c>
      <c r="C1733" s="720"/>
      <c r="D1733" s="698">
        <f>G1733+J1733+P1733+M1733</f>
        <v>6685</v>
      </c>
      <c r="E1733" s="698">
        <f t="shared" si="209"/>
        <v>6685</v>
      </c>
      <c r="F1733" s="699">
        <f>E1733/D1733*100</f>
        <v>100</v>
      </c>
      <c r="G1733" s="698"/>
      <c r="H1733" s="703"/>
      <c r="I1733" s="702"/>
      <c r="J1733" s="703"/>
      <c r="K1733" s="698"/>
      <c r="L1733" s="704"/>
      <c r="M1733" s="720">
        <v>6685</v>
      </c>
      <c r="N1733" s="698">
        <v>6685</v>
      </c>
      <c r="O1733" s="744">
        <f t="shared" si="208"/>
        <v>100</v>
      </c>
      <c r="P1733" s="698"/>
      <c r="Q1733" s="698"/>
      <c r="R1733" s="770"/>
      <c r="S1733" s="682"/>
      <c r="T1733" s="682"/>
    </row>
    <row r="1734" spans="1:20" s="756" customFormat="1" ht="48.75" customHeight="1">
      <c r="A1734" s="764">
        <v>4748</v>
      </c>
      <c r="B1734" s="828" t="s">
        <v>235</v>
      </c>
      <c r="C1734" s="720"/>
      <c r="D1734" s="698">
        <f>G1734+J1734+P1734+M1734</f>
        <v>1148</v>
      </c>
      <c r="E1734" s="698">
        <f t="shared" si="209"/>
        <v>1144</v>
      </c>
      <c r="F1734" s="699">
        <f>E1734/D1734*100</f>
        <v>99.65156794425087</v>
      </c>
      <c r="G1734" s="698"/>
      <c r="H1734" s="703"/>
      <c r="I1734" s="702"/>
      <c r="J1734" s="703"/>
      <c r="K1734" s="698"/>
      <c r="L1734" s="704"/>
      <c r="M1734" s="720">
        <f>1147+1</f>
        <v>1148</v>
      </c>
      <c r="N1734" s="698">
        <v>1144</v>
      </c>
      <c r="O1734" s="744">
        <f t="shared" si="208"/>
        <v>99.65156794425087</v>
      </c>
      <c r="P1734" s="698"/>
      <c r="Q1734" s="698"/>
      <c r="R1734" s="770"/>
      <c r="S1734" s="682"/>
      <c r="T1734" s="682"/>
    </row>
    <row r="1735" spans="1:20" s="756" customFormat="1" ht="51" customHeight="1">
      <c r="A1735" s="764">
        <v>4749</v>
      </c>
      <c r="B1735" s="828" t="s">
        <v>235</v>
      </c>
      <c r="C1735" s="720"/>
      <c r="D1735" s="698">
        <f>G1735+J1735+P1735+M1735</f>
        <v>543</v>
      </c>
      <c r="E1735" s="698">
        <f t="shared" si="209"/>
        <v>540</v>
      </c>
      <c r="F1735" s="699">
        <f>E1735/D1735*100</f>
        <v>99.4475138121547</v>
      </c>
      <c r="G1735" s="698"/>
      <c r="H1735" s="703"/>
      <c r="I1735" s="702"/>
      <c r="J1735" s="703"/>
      <c r="K1735" s="698"/>
      <c r="L1735" s="704"/>
      <c r="M1735" s="720">
        <f>542+1</f>
        <v>543</v>
      </c>
      <c r="N1735" s="698">
        <f>540-1+1</f>
        <v>540</v>
      </c>
      <c r="O1735" s="744">
        <f t="shared" si="208"/>
        <v>99.4475138121547</v>
      </c>
      <c r="P1735" s="698"/>
      <c r="Q1735" s="698"/>
      <c r="R1735" s="770"/>
      <c r="S1735" s="682"/>
      <c r="T1735" s="682"/>
    </row>
    <row r="1736" spans="1:20" s="756" customFormat="1" ht="36">
      <c r="A1736" s="764">
        <v>4758</v>
      </c>
      <c r="B1736" s="828" t="s">
        <v>551</v>
      </c>
      <c r="C1736" s="720"/>
      <c r="D1736" s="698">
        <f t="shared" si="210"/>
        <v>44</v>
      </c>
      <c r="E1736" s="698">
        <f t="shared" si="209"/>
        <v>43</v>
      </c>
      <c r="F1736" s="699">
        <f t="shared" si="212"/>
        <v>97.72727272727273</v>
      </c>
      <c r="G1736" s="698"/>
      <c r="H1736" s="703"/>
      <c r="I1736" s="702"/>
      <c r="J1736" s="703"/>
      <c r="K1736" s="698"/>
      <c r="L1736" s="704"/>
      <c r="M1736" s="720">
        <v>44</v>
      </c>
      <c r="N1736" s="698">
        <v>43</v>
      </c>
      <c r="O1736" s="744">
        <f t="shared" si="208"/>
        <v>97.72727272727273</v>
      </c>
      <c r="P1736" s="698"/>
      <c r="Q1736" s="698"/>
      <c r="R1736" s="770"/>
      <c r="S1736" s="682"/>
      <c r="T1736" s="682"/>
    </row>
    <row r="1737" spans="1:20" s="756" customFormat="1" ht="36">
      <c r="A1737" s="764">
        <v>4759</v>
      </c>
      <c r="B1737" s="828" t="s">
        <v>551</v>
      </c>
      <c r="C1737" s="720"/>
      <c r="D1737" s="698">
        <f t="shared" si="210"/>
        <v>23</v>
      </c>
      <c r="E1737" s="698">
        <f t="shared" si="209"/>
        <v>20</v>
      </c>
      <c r="F1737" s="699">
        <f t="shared" si="212"/>
        <v>86.95652173913044</v>
      </c>
      <c r="G1737" s="792"/>
      <c r="H1737" s="793"/>
      <c r="I1737" s="702"/>
      <c r="J1737" s="793"/>
      <c r="K1737" s="698"/>
      <c r="L1737" s="704"/>
      <c r="M1737" s="720">
        <v>23</v>
      </c>
      <c r="N1737" s="792">
        <f>21-1</f>
        <v>20</v>
      </c>
      <c r="O1737" s="744">
        <f t="shared" si="208"/>
        <v>86.95652173913044</v>
      </c>
      <c r="P1737" s="792"/>
      <c r="Q1737" s="792"/>
      <c r="R1737" s="797"/>
      <c r="S1737" s="682"/>
      <c r="T1737" s="682"/>
    </row>
    <row r="1738" spans="1:20" s="756" customFormat="1" ht="24">
      <c r="A1738" s="757">
        <v>85417</v>
      </c>
      <c r="B1738" s="959" t="s">
        <v>854</v>
      </c>
      <c r="C1738" s="725">
        <f>SUM(C1739:C1758)</f>
        <v>285400</v>
      </c>
      <c r="D1738" s="712">
        <f t="shared" si="210"/>
        <v>324298</v>
      </c>
      <c r="E1738" s="712">
        <f>H1738+K1738+Q1738+N1738</f>
        <v>322688</v>
      </c>
      <c r="F1738" s="726">
        <f t="shared" si="212"/>
        <v>99.50354303757655</v>
      </c>
      <c r="G1738" s="712">
        <f>SUM(G1739:G1758)</f>
        <v>324298</v>
      </c>
      <c r="H1738" s="712">
        <f>SUM(H1739:H1758)</f>
        <v>322688</v>
      </c>
      <c r="I1738" s="1021">
        <f t="shared" si="211"/>
        <v>99.50354303757655</v>
      </c>
      <c r="J1738" s="717"/>
      <c r="K1738" s="712"/>
      <c r="L1738" s="718"/>
      <c r="M1738" s="712"/>
      <c r="N1738" s="712"/>
      <c r="O1738" s="799"/>
      <c r="P1738" s="712"/>
      <c r="Q1738" s="712"/>
      <c r="R1738" s="802"/>
      <c r="S1738" s="682"/>
      <c r="T1738" s="682"/>
    </row>
    <row r="1739" spans="1:20" s="756" customFormat="1" ht="27.75" customHeight="1">
      <c r="A1739" s="784">
        <v>4010</v>
      </c>
      <c r="B1739" s="979" t="s">
        <v>201</v>
      </c>
      <c r="C1739" s="723">
        <v>135000</v>
      </c>
      <c r="D1739" s="732">
        <f t="shared" si="210"/>
        <v>161250</v>
      </c>
      <c r="E1739" s="732">
        <f aca="true" t="shared" si="213" ref="E1739:E1765">SUM(H1739+K1739+N1739+Q1739)</f>
        <v>161163</v>
      </c>
      <c r="F1739" s="721">
        <f t="shared" si="212"/>
        <v>99.94604651162791</v>
      </c>
      <c r="G1739" s="723">
        <f>135000-6000+32250</f>
        <v>161250</v>
      </c>
      <c r="H1739" s="732">
        <v>161163</v>
      </c>
      <c r="I1739" s="961">
        <f t="shared" si="211"/>
        <v>99.94604651162791</v>
      </c>
      <c r="J1739" s="735"/>
      <c r="K1739" s="732"/>
      <c r="L1739" s="736"/>
      <c r="M1739" s="723"/>
      <c r="N1739" s="732"/>
      <c r="O1739" s="707"/>
      <c r="P1739" s="732"/>
      <c r="Q1739" s="732"/>
      <c r="R1739" s="803"/>
      <c r="S1739" s="682"/>
      <c r="T1739" s="682"/>
    </row>
    <row r="1740" spans="1:20" s="756" customFormat="1" ht="41.25" customHeight="1">
      <c r="A1740" s="764">
        <v>3020</v>
      </c>
      <c r="B1740" s="934" t="s">
        <v>650</v>
      </c>
      <c r="C1740" s="720">
        <v>200</v>
      </c>
      <c r="D1740" s="698">
        <f t="shared" si="210"/>
        <v>200</v>
      </c>
      <c r="E1740" s="698">
        <f t="shared" si="213"/>
        <v>200</v>
      </c>
      <c r="F1740" s="699">
        <f t="shared" si="212"/>
        <v>100</v>
      </c>
      <c r="G1740" s="720">
        <v>200</v>
      </c>
      <c r="H1740" s="698">
        <v>200</v>
      </c>
      <c r="I1740" s="948">
        <f t="shared" si="211"/>
        <v>100</v>
      </c>
      <c r="J1740" s="703"/>
      <c r="K1740" s="698"/>
      <c r="L1740" s="704"/>
      <c r="M1740" s="720"/>
      <c r="N1740" s="698"/>
      <c r="O1740" s="702"/>
      <c r="P1740" s="698"/>
      <c r="Q1740" s="698"/>
      <c r="R1740" s="766"/>
      <c r="S1740" s="682"/>
      <c r="T1740" s="682"/>
    </row>
    <row r="1741" spans="1:20" s="756" customFormat="1" ht="24">
      <c r="A1741" s="764">
        <v>4040</v>
      </c>
      <c r="B1741" s="934" t="s">
        <v>205</v>
      </c>
      <c r="C1741" s="720">
        <v>10300</v>
      </c>
      <c r="D1741" s="698">
        <f t="shared" si="210"/>
        <v>10440</v>
      </c>
      <c r="E1741" s="698">
        <f t="shared" si="213"/>
        <v>10432</v>
      </c>
      <c r="F1741" s="699">
        <f t="shared" si="212"/>
        <v>99.92337164750957</v>
      </c>
      <c r="G1741" s="720">
        <f>10300+140</f>
        <v>10440</v>
      </c>
      <c r="H1741" s="698">
        <v>10432</v>
      </c>
      <c r="I1741" s="948">
        <f t="shared" si="211"/>
        <v>99.92337164750957</v>
      </c>
      <c r="J1741" s="703"/>
      <c r="K1741" s="698"/>
      <c r="L1741" s="704"/>
      <c r="M1741" s="720"/>
      <c r="N1741" s="698"/>
      <c r="O1741" s="702"/>
      <c r="P1741" s="698"/>
      <c r="Q1741" s="698"/>
      <c r="R1741" s="766"/>
      <c r="S1741" s="682"/>
      <c r="T1741" s="682"/>
    </row>
    <row r="1742" spans="1:20" s="756" customFormat="1" ht="25.5" customHeight="1">
      <c r="A1742" s="764">
        <v>4110</v>
      </c>
      <c r="B1742" s="934" t="s">
        <v>207</v>
      </c>
      <c r="C1742" s="720">
        <v>22400</v>
      </c>
      <c r="D1742" s="698">
        <f t="shared" si="210"/>
        <v>26650</v>
      </c>
      <c r="E1742" s="698">
        <f t="shared" si="213"/>
        <v>26650</v>
      </c>
      <c r="F1742" s="699">
        <f t="shared" si="212"/>
        <v>100</v>
      </c>
      <c r="G1742" s="720">
        <f>22400+4250</f>
        <v>26650</v>
      </c>
      <c r="H1742" s="698">
        <v>26650</v>
      </c>
      <c r="I1742" s="948">
        <f t="shared" si="211"/>
        <v>100</v>
      </c>
      <c r="J1742" s="703"/>
      <c r="K1742" s="698"/>
      <c r="L1742" s="704"/>
      <c r="M1742" s="720"/>
      <c r="N1742" s="698"/>
      <c r="O1742" s="702"/>
      <c r="P1742" s="698"/>
      <c r="Q1742" s="698"/>
      <c r="R1742" s="766"/>
      <c r="S1742" s="682"/>
      <c r="T1742" s="682"/>
    </row>
    <row r="1743" spans="1:20" s="756" customFormat="1" ht="13.5" customHeight="1">
      <c r="A1743" s="764">
        <v>4120</v>
      </c>
      <c r="B1743" s="934" t="s">
        <v>584</v>
      </c>
      <c r="C1743" s="720">
        <v>3450</v>
      </c>
      <c r="D1743" s="698">
        <f t="shared" si="210"/>
        <v>4100</v>
      </c>
      <c r="E1743" s="698">
        <f t="shared" si="213"/>
        <v>4045</v>
      </c>
      <c r="F1743" s="699">
        <f t="shared" si="212"/>
        <v>98.65853658536585</v>
      </c>
      <c r="G1743" s="720">
        <f>3450+650</f>
        <v>4100</v>
      </c>
      <c r="H1743" s="698">
        <v>4045</v>
      </c>
      <c r="I1743" s="948">
        <f t="shared" si="211"/>
        <v>98.65853658536585</v>
      </c>
      <c r="J1743" s="703"/>
      <c r="K1743" s="698"/>
      <c r="L1743" s="704"/>
      <c r="M1743" s="720"/>
      <c r="N1743" s="698"/>
      <c r="O1743" s="702"/>
      <c r="P1743" s="698"/>
      <c r="Q1743" s="698"/>
      <c r="R1743" s="766"/>
      <c r="S1743" s="682"/>
      <c r="T1743" s="682"/>
    </row>
    <row r="1744" spans="1:20" s="756" customFormat="1" ht="24">
      <c r="A1744" s="764">
        <v>4170</v>
      </c>
      <c r="B1744" s="934" t="s">
        <v>242</v>
      </c>
      <c r="C1744" s="720"/>
      <c r="D1744" s="698">
        <f t="shared" si="210"/>
        <v>8000</v>
      </c>
      <c r="E1744" s="698">
        <f t="shared" si="213"/>
        <v>8000</v>
      </c>
      <c r="F1744" s="699">
        <f t="shared" si="212"/>
        <v>100</v>
      </c>
      <c r="G1744" s="720">
        <f>6000+2000</f>
        <v>8000</v>
      </c>
      <c r="H1744" s="698">
        <v>8000</v>
      </c>
      <c r="I1744" s="948">
        <f t="shared" si="211"/>
        <v>100</v>
      </c>
      <c r="J1744" s="703"/>
      <c r="K1744" s="698"/>
      <c r="L1744" s="704"/>
      <c r="M1744" s="720"/>
      <c r="N1744" s="698"/>
      <c r="O1744" s="702"/>
      <c r="P1744" s="698"/>
      <c r="Q1744" s="698"/>
      <c r="R1744" s="766"/>
      <c r="S1744" s="682"/>
      <c r="T1744" s="682"/>
    </row>
    <row r="1745" spans="1:20" s="756" customFormat="1" ht="24">
      <c r="A1745" s="764">
        <v>4210</v>
      </c>
      <c r="B1745" s="934" t="s">
        <v>211</v>
      </c>
      <c r="C1745" s="720">
        <v>20100</v>
      </c>
      <c r="D1745" s="698">
        <f t="shared" si="210"/>
        <v>24550</v>
      </c>
      <c r="E1745" s="698">
        <f t="shared" si="213"/>
        <v>24436</v>
      </c>
      <c r="F1745" s="699">
        <f t="shared" si="212"/>
        <v>99.5356415478615</v>
      </c>
      <c r="G1745" s="720">
        <f>20100+1190+3260</f>
        <v>24550</v>
      </c>
      <c r="H1745" s="698">
        <v>24436</v>
      </c>
      <c r="I1745" s="948">
        <f t="shared" si="211"/>
        <v>99.5356415478615</v>
      </c>
      <c r="J1745" s="703"/>
      <c r="K1745" s="698"/>
      <c r="L1745" s="704"/>
      <c r="M1745" s="720"/>
      <c r="N1745" s="698"/>
      <c r="O1745" s="702"/>
      <c r="P1745" s="698"/>
      <c r="Q1745" s="698"/>
      <c r="R1745" s="766"/>
      <c r="S1745" s="682"/>
      <c r="T1745" s="682"/>
    </row>
    <row r="1746" spans="1:20" s="756" customFormat="1" ht="12.75">
      <c r="A1746" s="764">
        <v>4260</v>
      </c>
      <c r="B1746" s="934" t="s">
        <v>215</v>
      </c>
      <c r="C1746" s="720">
        <v>25300</v>
      </c>
      <c r="D1746" s="698">
        <f t="shared" si="210"/>
        <v>20700</v>
      </c>
      <c r="E1746" s="698">
        <f t="shared" si="213"/>
        <v>20504</v>
      </c>
      <c r="F1746" s="699">
        <f t="shared" si="212"/>
        <v>99.05314009661835</v>
      </c>
      <c r="G1746" s="720">
        <f>25300-140-1200-3260</f>
        <v>20700</v>
      </c>
      <c r="H1746" s="698">
        <v>20504</v>
      </c>
      <c r="I1746" s="948">
        <f t="shared" si="211"/>
        <v>99.05314009661835</v>
      </c>
      <c r="J1746" s="703"/>
      <c r="K1746" s="698"/>
      <c r="L1746" s="704"/>
      <c r="M1746" s="720"/>
      <c r="N1746" s="698"/>
      <c r="O1746" s="702"/>
      <c r="P1746" s="698"/>
      <c r="Q1746" s="698"/>
      <c r="R1746" s="766"/>
      <c r="S1746" s="682"/>
      <c r="T1746" s="682"/>
    </row>
    <row r="1747" spans="1:20" s="756" customFormat="1" ht="18" customHeight="1">
      <c r="A1747" s="764">
        <v>4270</v>
      </c>
      <c r="B1747" s="934" t="s">
        <v>217</v>
      </c>
      <c r="C1747" s="720">
        <v>3300</v>
      </c>
      <c r="D1747" s="698">
        <f>G1747+J1747+P1747+M1747</f>
        <v>3300</v>
      </c>
      <c r="E1747" s="698">
        <f>SUM(H1747+K1747+N1747+Q1747)</f>
        <v>3268</v>
      </c>
      <c r="F1747" s="699">
        <f>E1747/D1747*100</f>
        <v>99.03030303030303</v>
      </c>
      <c r="G1747" s="720">
        <v>3300</v>
      </c>
      <c r="H1747" s="698">
        <v>3268</v>
      </c>
      <c r="I1747" s="948">
        <f t="shared" si="211"/>
        <v>99.03030303030303</v>
      </c>
      <c r="J1747" s="703"/>
      <c r="K1747" s="698"/>
      <c r="L1747" s="704"/>
      <c r="M1747" s="720"/>
      <c r="N1747" s="698"/>
      <c r="O1747" s="702"/>
      <c r="P1747" s="698"/>
      <c r="Q1747" s="698"/>
      <c r="R1747" s="766"/>
      <c r="S1747" s="682"/>
      <c r="T1747" s="682"/>
    </row>
    <row r="1748" spans="1:20" s="756" customFormat="1" ht="24" hidden="1">
      <c r="A1748" s="764">
        <v>4280</v>
      </c>
      <c r="B1748" s="934" t="s">
        <v>542</v>
      </c>
      <c r="C1748" s="720"/>
      <c r="D1748" s="698">
        <f>G1748+J1748+P1748+M1748</f>
        <v>0</v>
      </c>
      <c r="E1748" s="698">
        <f>SUM(H1748+K1748+N1748+Q1748)</f>
        <v>0</v>
      </c>
      <c r="F1748" s="699" t="e">
        <f>E1748/D1748*100</f>
        <v>#DIV/0!</v>
      </c>
      <c r="G1748" s="720"/>
      <c r="H1748" s="698"/>
      <c r="I1748" s="948" t="e">
        <f t="shared" si="211"/>
        <v>#DIV/0!</v>
      </c>
      <c r="J1748" s="703"/>
      <c r="K1748" s="698"/>
      <c r="L1748" s="704"/>
      <c r="M1748" s="720"/>
      <c r="N1748" s="698"/>
      <c r="O1748" s="702"/>
      <c r="P1748" s="698"/>
      <c r="Q1748" s="698"/>
      <c r="R1748" s="766"/>
      <c r="S1748" s="682"/>
      <c r="T1748" s="682"/>
    </row>
    <row r="1749" spans="1:20" s="756" customFormat="1" ht="15" customHeight="1">
      <c r="A1749" s="764">
        <v>4300</v>
      </c>
      <c r="B1749" s="934" t="s">
        <v>219</v>
      </c>
      <c r="C1749" s="720">
        <v>8500</v>
      </c>
      <c r="D1749" s="698">
        <f t="shared" si="210"/>
        <v>8500</v>
      </c>
      <c r="E1749" s="698">
        <f t="shared" si="213"/>
        <v>8391</v>
      </c>
      <c r="F1749" s="699">
        <f t="shared" si="212"/>
        <v>98.71764705882353</v>
      </c>
      <c r="G1749" s="720">
        <v>8500</v>
      </c>
      <c r="H1749" s="698">
        <v>8391</v>
      </c>
      <c r="I1749" s="948">
        <f t="shared" si="211"/>
        <v>98.71764705882353</v>
      </c>
      <c r="J1749" s="703"/>
      <c r="K1749" s="698"/>
      <c r="L1749" s="704"/>
      <c r="M1749" s="720"/>
      <c r="N1749" s="698"/>
      <c r="O1749" s="702"/>
      <c r="P1749" s="698"/>
      <c r="Q1749" s="698"/>
      <c r="R1749" s="766"/>
      <c r="S1749" s="682"/>
      <c r="T1749" s="682"/>
    </row>
    <row r="1750" spans="1:20" s="756" customFormat="1" ht="24">
      <c r="A1750" s="764">
        <v>4350</v>
      </c>
      <c r="B1750" s="934" t="s">
        <v>544</v>
      </c>
      <c r="C1750" s="720">
        <v>2000</v>
      </c>
      <c r="D1750" s="698">
        <f t="shared" si="210"/>
        <v>800</v>
      </c>
      <c r="E1750" s="698">
        <f t="shared" si="213"/>
        <v>734</v>
      </c>
      <c r="F1750" s="699">
        <f t="shared" si="212"/>
        <v>91.75</v>
      </c>
      <c r="G1750" s="720">
        <f>2000-1200</f>
        <v>800</v>
      </c>
      <c r="H1750" s="698">
        <v>734</v>
      </c>
      <c r="I1750" s="948">
        <f t="shared" si="211"/>
        <v>91.75</v>
      </c>
      <c r="J1750" s="703"/>
      <c r="K1750" s="698"/>
      <c r="L1750" s="704"/>
      <c r="M1750" s="720"/>
      <c r="N1750" s="698"/>
      <c r="O1750" s="702"/>
      <c r="P1750" s="698"/>
      <c r="Q1750" s="698"/>
      <c r="R1750" s="766"/>
      <c r="S1750" s="682"/>
      <c r="T1750" s="682"/>
    </row>
    <row r="1751" spans="1:20" s="756" customFormat="1" ht="39" customHeight="1">
      <c r="A1751" s="764">
        <v>4360</v>
      </c>
      <c r="B1751" s="828" t="s">
        <v>682</v>
      </c>
      <c r="C1751" s="720">
        <v>1000</v>
      </c>
      <c r="D1751" s="698">
        <f>G1751+J1751+P1751+M1751</f>
        <v>850</v>
      </c>
      <c r="E1751" s="698">
        <f>SUM(H1751+K1751+N1751+Q1751)</f>
        <v>846</v>
      </c>
      <c r="F1751" s="699">
        <f>E1751/D1751*100</f>
        <v>99.52941176470588</v>
      </c>
      <c r="G1751" s="720">
        <f>1000-150</f>
        <v>850</v>
      </c>
      <c r="H1751" s="698">
        <v>846</v>
      </c>
      <c r="I1751" s="948">
        <f t="shared" si="211"/>
        <v>99.52941176470588</v>
      </c>
      <c r="J1751" s="703"/>
      <c r="K1751" s="698"/>
      <c r="L1751" s="704"/>
      <c r="M1751" s="720"/>
      <c r="N1751" s="698"/>
      <c r="O1751" s="702"/>
      <c r="P1751" s="698"/>
      <c r="Q1751" s="698"/>
      <c r="R1751" s="766"/>
      <c r="S1751" s="682"/>
      <c r="T1751" s="682"/>
    </row>
    <row r="1752" spans="1:20" s="756" customFormat="1" ht="41.25" customHeight="1">
      <c r="A1752" s="764">
        <v>4370</v>
      </c>
      <c r="B1752" s="828" t="s">
        <v>635</v>
      </c>
      <c r="C1752" s="720">
        <v>1700</v>
      </c>
      <c r="D1752" s="698">
        <f>G1752+J1752+P1752+M1752</f>
        <v>1700</v>
      </c>
      <c r="E1752" s="698">
        <f>SUM(H1752+K1752+N1752+Q1752)</f>
        <v>1361</v>
      </c>
      <c r="F1752" s="699">
        <f>E1752/D1752*100</f>
        <v>80.05882352941175</v>
      </c>
      <c r="G1752" s="720">
        <v>1700</v>
      </c>
      <c r="H1752" s="698">
        <f>1362-1</f>
        <v>1361</v>
      </c>
      <c r="I1752" s="948">
        <f t="shared" si="211"/>
        <v>80.05882352941175</v>
      </c>
      <c r="J1752" s="703"/>
      <c r="K1752" s="698"/>
      <c r="L1752" s="704"/>
      <c r="M1752" s="720"/>
      <c r="N1752" s="698"/>
      <c r="O1752" s="702"/>
      <c r="P1752" s="698"/>
      <c r="Q1752" s="698"/>
      <c r="R1752" s="766"/>
      <c r="S1752" s="682"/>
      <c r="T1752" s="682"/>
    </row>
    <row r="1753" spans="1:20" s="756" customFormat="1" ht="17.25" customHeight="1">
      <c r="A1753" s="764">
        <v>4410</v>
      </c>
      <c r="B1753" s="934" t="s">
        <v>193</v>
      </c>
      <c r="C1753" s="720">
        <v>3200</v>
      </c>
      <c r="D1753" s="698">
        <f>G1753+J1753+P1753+M1753</f>
        <v>3010</v>
      </c>
      <c r="E1753" s="698">
        <f>SUM(H1753+K1753+N1753+Q1753)</f>
        <v>2918</v>
      </c>
      <c r="F1753" s="699">
        <f>E1753/D1753*100</f>
        <v>96.94352159468438</v>
      </c>
      <c r="G1753" s="720">
        <f>3200-190</f>
        <v>3010</v>
      </c>
      <c r="H1753" s="698">
        <v>2918</v>
      </c>
      <c r="I1753" s="948">
        <f t="shared" si="211"/>
        <v>96.94352159468438</v>
      </c>
      <c r="J1753" s="703"/>
      <c r="K1753" s="698"/>
      <c r="L1753" s="704"/>
      <c r="M1753" s="720"/>
      <c r="N1753" s="698"/>
      <c r="O1753" s="702"/>
      <c r="P1753" s="698"/>
      <c r="Q1753" s="698"/>
      <c r="R1753" s="766"/>
      <c r="S1753" s="682"/>
      <c r="T1753" s="682"/>
    </row>
    <row r="1754" spans="1:20" s="756" customFormat="1" ht="12.75">
      <c r="A1754" s="764">
        <v>4430</v>
      </c>
      <c r="B1754" s="934" t="s">
        <v>221</v>
      </c>
      <c r="C1754" s="720">
        <v>1300</v>
      </c>
      <c r="D1754" s="698">
        <f>G1754+J1754+P1754+M1754</f>
        <v>850</v>
      </c>
      <c r="E1754" s="698">
        <f>SUM(H1754+K1754+N1754+Q1754)</f>
        <v>850</v>
      </c>
      <c r="F1754" s="699">
        <f>E1754/D1754*100</f>
        <v>100</v>
      </c>
      <c r="G1754" s="720">
        <f>1300-450</f>
        <v>850</v>
      </c>
      <c r="H1754" s="698">
        <v>850</v>
      </c>
      <c r="I1754" s="948">
        <f t="shared" si="211"/>
        <v>100</v>
      </c>
      <c r="J1754" s="703"/>
      <c r="K1754" s="698"/>
      <c r="L1754" s="704"/>
      <c r="M1754" s="720"/>
      <c r="N1754" s="698"/>
      <c r="O1754" s="702"/>
      <c r="P1754" s="698"/>
      <c r="Q1754" s="698"/>
      <c r="R1754" s="766"/>
      <c r="S1754" s="682"/>
      <c r="T1754" s="682"/>
    </row>
    <row r="1755" spans="1:20" s="756" customFormat="1" ht="12.75">
      <c r="A1755" s="764">
        <v>4440</v>
      </c>
      <c r="B1755" s="828" t="s">
        <v>223</v>
      </c>
      <c r="C1755" s="720">
        <v>5450</v>
      </c>
      <c r="D1755" s="698">
        <f>G1755+J1755+P1755+M1755</f>
        <v>7198</v>
      </c>
      <c r="E1755" s="698">
        <f>SUM(H1755+K1755+N1755+Q1755)</f>
        <v>7198</v>
      </c>
      <c r="F1755" s="699">
        <f>E1755/D1755*100</f>
        <v>100</v>
      </c>
      <c r="G1755" s="720">
        <f>5450+1748</f>
        <v>7198</v>
      </c>
      <c r="H1755" s="698">
        <v>7198</v>
      </c>
      <c r="I1755" s="948">
        <f t="shared" si="211"/>
        <v>100</v>
      </c>
      <c r="J1755" s="703"/>
      <c r="K1755" s="698"/>
      <c r="L1755" s="704"/>
      <c r="M1755" s="720"/>
      <c r="N1755" s="698"/>
      <c r="O1755" s="702"/>
      <c r="P1755" s="698"/>
      <c r="Q1755" s="698"/>
      <c r="R1755" s="766"/>
      <c r="S1755" s="682"/>
      <c r="T1755" s="682"/>
    </row>
    <row r="1756" spans="1:20" s="756" customFormat="1" ht="51" customHeight="1">
      <c r="A1756" s="764">
        <v>4740</v>
      </c>
      <c r="B1756" s="828" t="s">
        <v>235</v>
      </c>
      <c r="C1756" s="720">
        <v>500</v>
      </c>
      <c r="D1756" s="698">
        <f t="shared" si="210"/>
        <v>500</v>
      </c>
      <c r="E1756" s="698">
        <f t="shared" si="213"/>
        <v>487</v>
      </c>
      <c r="F1756" s="699">
        <f t="shared" si="212"/>
        <v>97.39999999999999</v>
      </c>
      <c r="G1756" s="720">
        <v>500</v>
      </c>
      <c r="H1756" s="698">
        <v>487</v>
      </c>
      <c r="I1756" s="948">
        <f t="shared" si="211"/>
        <v>97.39999999999999</v>
      </c>
      <c r="J1756" s="703"/>
      <c r="K1756" s="698"/>
      <c r="L1756" s="704"/>
      <c r="M1756" s="720"/>
      <c r="N1756" s="698"/>
      <c r="O1756" s="702"/>
      <c r="P1756" s="698"/>
      <c r="Q1756" s="698"/>
      <c r="R1756" s="766"/>
      <c r="S1756" s="682"/>
      <c r="T1756" s="682"/>
    </row>
    <row r="1757" spans="1:20" s="756" customFormat="1" ht="36">
      <c r="A1757" s="764">
        <v>4750</v>
      </c>
      <c r="B1757" s="828" t="s">
        <v>551</v>
      </c>
      <c r="C1757" s="720">
        <v>500</v>
      </c>
      <c r="D1757" s="698">
        <f>G1757+J1757+P1757+M1757</f>
        <v>500</v>
      </c>
      <c r="E1757" s="698">
        <f>SUM(H1757+K1757+N1757+Q1757)</f>
        <v>399</v>
      </c>
      <c r="F1757" s="699">
        <f>E1757/D1757*100</f>
        <v>79.80000000000001</v>
      </c>
      <c r="G1757" s="720">
        <v>500</v>
      </c>
      <c r="H1757" s="698">
        <v>399</v>
      </c>
      <c r="I1757" s="948">
        <f t="shared" si="211"/>
        <v>79.80000000000001</v>
      </c>
      <c r="J1757" s="703"/>
      <c r="K1757" s="698"/>
      <c r="L1757" s="704"/>
      <c r="M1757" s="720"/>
      <c r="N1757" s="698"/>
      <c r="O1757" s="702"/>
      <c r="P1757" s="698"/>
      <c r="Q1757" s="698"/>
      <c r="R1757" s="766"/>
      <c r="S1757" s="682"/>
      <c r="T1757" s="682"/>
    </row>
    <row r="1758" spans="1:20" s="756" customFormat="1" ht="25.5" customHeight="1">
      <c r="A1758" s="764">
        <v>6050</v>
      </c>
      <c r="B1758" s="828" t="s">
        <v>246</v>
      </c>
      <c r="C1758" s="720">
        <v>41200</v>
      </c>
      <c r="D1758" s="698">
        <f t="shared" si="210"/>
        <v>41200</v>
      </c>
      <c r="E1758" s="698">
        <f t="shared" si="213"/>
        <v>40806</v>
      </c>
      <c r="F1758" s="699">
        <f t="shared" si="212"/>
        <v>99.04368932038835</v>
      </c>
      <c r="G1758" s="720">
        <v>41200</v>
      </c>
      <c r="H1758" s="698">
        <v>40806</v>
      </c>
      <c r="I1758" s="948">
        <f t="shared" si="211"/>
        <v>99.04368932038835</v>
      </c>
      <c r="J1758" s="703"/>
      <c r="K1758" s="698"/>
      <c r="L1758" s="704"/>
      <c r="M1758" s="720"/>
      <c r="N1758" s="698"/>
      <c r="O1758" s="702"/>
      <c r="P1758" s="698"/>
      <c r="Q1758" s="698"/>
      <c r="R1758" s="766"/>
      <c r="S1758" s="682"/>
      <c r="T1758" s="682"/>
    </row>
    <row r="1759" spans="1:20" s="756" customFormat="1" ht="29.25" customHeight="1">
      <c r="A1759" s="757">
        <v>85419</v>
      </c>
      <c r="B1759" s="852" t="s">
        <v>855</v>
      </c>
      <c r="C1759" s="725">
        <f>SUM(C1760)</f>
        <v>800000</v>
      </c>
      <c r="D1759" s="712">
        <f aca="true" t="shared" si="214" ref="D1759:D1766">G1759+J1759+P1759+M1759</f>
        <v>1240576</v>
      </c>
      <c r="E1759" s="712">
        <f>SUM(H1759+K1759+N1759+Q1759)</f>
        <v>1240576</v>
      </c>
      <c r="F1759" s="726">
        <f>E1759/D1759*100</f>
        <v>100</v>
      </c>
      <c r="G1759" s="717"/>
      <c r="H1759" s="712"/>
      <c r="I1759" s="962"/>
      <c r="J1759" s="880"/>
      <c r="K1759" s="712"/>
      <c r="L1759" s="718"/>
      <c r="M1759" s="725">
        <f>SUM(M1760)</f>
        <v>1240576</v>
      </c>
      <c r="N1759" s="712">
        <f>SUM(N1760)</f>
        <v>1240576</v>
      </c>
      <c r="O1759" s="742">
        <f aca="true" t="shared" si="215" ref="O1759:O1766">N1759/M1759*100</f>
        <v>100</v>
      </c>
      <c r="P1759" s="712"/>
      <c r="Q1759" s="712"/>
      <c r="R1759" s="801"/>
      <c r="S1759" s="682"/>
      <c r="T1759" s="682"/>
    </row>
    <row r="1760" spans="1:20" s="756" customFormat="1" ht="37.5" customHeight="1">
      <c r="A1760" s="871">
        <v>2540</v>
      </c>
      <c r="B1760" s="872" t="s">
        <v>856</v>
      </c>
      <c r="C1760" s="873">
        <v>800000</v>
      </c>
      <c r="D1760" s="874">
        <f t="shared" si="214"/>
        <v>1240576</v>
      </c>
      <c r="E1760" s="874">
        <f>SUM(H1760+K1760+N1760+Q1760)</f>
        <v>1240576</v>
      </c>
      <c r="F1760" s="713">
        <f>E1760/D1760*100</f>
        <v>100</v>
      </c>
      <c r="G1760" s="875"/>
      <c r="H1760" s="874"/>
      <c r="I1760" s="955"/>
      <c r="J1760" s="1039"/>
      <c r="K1760" s="874"/>
      <c r="L1760" s="876"/>
      <c r="M1760" s="873">
        <f>800000+293718+146858</f>
        <v>1240576</v>
      </c>
      <c r="N1760" s="874">
        <v>1240576</v>
      </c>
      <c r="O1760" s="1021">
        <f t="shared" si="215"/>
        <v>100</v>
      </c>
      <c r="P1760" s="874"/>
      <c r="Q1760" s="874"/>
      <c r="R1760" s="762"/>
      <c r="S1760" s="682"/>
      <c r="T1760" s="682"/>
    </row>
    <row r="1761" spans="1:20" s="756" customFormat="1" ht="30.75" customHeight="1">
      <c r="A1761" s="835">
        <v>85446</v>
      </c>
      <c r="B1761" s="836" t="s">
        <v>735</v>
      </c>
      <c r="C1761" s="837">
        <f>SUM(C1762:C1765)</f>
        <v>29900</v>
      </c>
      <c r="D1761" s="759">
        <f t="shared" si="214"/>
        <v>29900</v>
      </c>
      <c r="E1761" s="759">
        <f>SUM(H1761+K1761+N1761+Q1761)</f>
        <v>25882</v>
      </c>
      <c r="F1761" s="741">
        <f t="shared" si="212"/>
        <v>86.561872909699</v>
      </c>
      <c r="G1761" s="839"/>
      <c r="H1761" s="759"/>
      <c r="I1761" s="806"/>
      <c r="J1761" s="1040"/>
      <c r="K1761" s="759"/>
      <c r="L1761" s="865"/>
      <c r="M1761" s="725">
        <f>SUM(M1762:M1765)</f>
        <v>29900</v>
      </c>
      <c r="N1761" s="712">
        <f>SUM(N1762:N1765)</f>
        <v>25882</v>
      </c>
      <c r="O1761" s="1021">
        <f t="shared" si="215"/>
        <v>86.561872909699</v>
      </c>
      <c r="P1761" s="759"/>
      <c r="Q1761" s="759"/>
      <c r="R1761" s="842"/>
      <c r="S1761" s="682"/>
      <c r="T1761" s="682"/>
    </row>
    <row r="1762" spans="1:18" ht="24">
      <c r="A1762" s="764">
        <v>4210</v>
      </c>
      <c r="B1762" s="934" t="s">
        <v>211</v>
      </c>
      <c r="C1762" s="720"/>
      <c r="D1762" s="698">
        <f t="shared" si="214"/>
        <v>1650</v>
      </c>
      <c r="E1762" s="698">
        <f t="shared" si="213"/>
        <v>1647</v>
      </c>
      <c r="F1762" s="699">
        <f t="shared" si="212"/>
        <v>99.81818181818181</v>
      </c>
      <c r="G1762" s="703"/>
      <c r="H1762" s="698"/>
      <c r="I1762" s="766"/>
      <c r="J1762" s="879"/>
      <c r="K1762" s="698"/>
      <c r="L1762" s="704"/>
      <c r="M1762" s="723">
        <f>1000+650</f>
        <v>1650</v>
      </c>
      <c r="N1762" s="698">
        <v>1647</v>
      </c>
      <c r="O1762" s="1041">
        <f t="shared" si="215"/>
        <v>99.81818181818181</v>
      </c>
      <c r="P1762" s="698"/>
      <c r="Q1762" s="698"/>
      <c r="R1762" s="766"/>
    </row>
    <row r="1763" spans="1:18" ht="17.25" customHeight="1">
      <c r="A1763" s="764">
        <v>4300</v>
      </c>
      <c r="B1763" s="768" t="s">
        <v>219</v>
      </c>
      <c r="C1763" s="720">
        <v>29900</v>
      </c>
      <c r="D1763" s="698">
        <f t="shared" si="214"/>
        <v>9750</v>
      </c>
      <c r="E1763" s="698">
        <f t="shared" si="213"/>
        <v>7080</v>
      </c>
      <c r="F1763" s="699">
        <f t="shared" si="212"/>
        <v>72.61538461538461</v>
      </c>
      <c r="G1763" s="703"/>
      <c r="H1763" s="698"/>
      <c r="I1763" s="766"/>
      <c r="J1763" s="879"/>
      <c r="K1763" s="698"/>
      <c r="L1763" s="704"/>
      <c r="M1763" s="720">
        <f>29900-29900+7500-420+2670</f>
        <v>9750</v>
      </c>
      <c r="N1763" s="698">
        <v>7080</v>
      </c>
      <c r="O1763" s="745">
        <f t="shared" si="215"/>
        <v>72.61538461538461</v>
      </c>
      <c r="P1763" s="698"/>
      <c r="Q1763" s="698"/>
      <c r="R1763" s="766"/>
    </row>
    <row r="1764" spans="1:20" s="756" customFormat="1" ht="15.75" customHeight="1">
      <c r="A1764" s="764">
        <v>4410</v>
      </c>
      <c r="B1764" s="934" t="s">
        <v>193</v>
      </c>
      <c r="C1764" s="720"/>
      <c r="D1764" s="698">
        <f t="shared" si="214"/>
        <v>3000</v>
      </c>
      <c r="E1764" s="698">
        <f t="shared" si="213"/>
        <v>2193</v>
      </c>
      <c r="F1764" s="699">
        <f t="shared" si="212"/>
        <v>73.1</v>
      </c>
      <c r="G1764" s="703"/>
      <c r="H1764" s="698"/>
      <c r="I1764" s="766"/>
      <c r="J1764" s="879"/>
      <c r="K1764" s="698"/>
      <c r="L1764" s="704"/>
      <c r="M1764" s="720">
        <f>4500-1500</f>
        <v>3000</v>
      </c>
      <c r="N1764" s="698">
        <v>2193</v>
      </c>
      <c r="O1764" s="745">
        <f t="shared" si="215"/>
        <v>73.1</v>
      </c>
      <c r="P1764" s="698"/>
      <c r="Q1764" s="698"/>
      <c r="R1764" s="766"/>
      <c r="S1764" s="682"/>
      <c r="T1764" s="682"/>
    </row>
    <row r="1765" spans="1:20" s="756" customFormat="1" ht="39.75" customHeight="1">
      <c r="A1765" s="764">
        <v>4700</v>
      </c>
      <c r="B1765" s="828" t="s">
        <v>550</v>
      </c>
      <c r="C1765" s="791"/>
      <c r="D1765" s="792">
        <f t="shared" si="214"/>
        <v>15500</v>
      </c>
      <c r="E1765" s="698">
        <f t="shared" si="213"/>
        <v>14962</v>
      </c>
      <c r="F1765" s="699">
        <f t="shared" si="212"/>
        <v>96.52903225806452</v>
      </c>
      <c r="G1765" s="793"/>
      <c r="H1765" s="792"/>
      <c r="I1765" s="806"/>
      <c r="J1765" s="903"/>
      <c r="K1765" s="792"/>
      <c r="L1765" s="794"/>
      <c r="M1765" s="791">
        <f>16900+1500-2900</f>
        <v>15500</v>
      </c>
      <c r="N1765" s="792">
        <v>14962</v>
      </c>
      <c r="O1765" s="1007">
        <f t="shared" si="215"/>
        <v>96.52903225806452</v>
      </c>
      <c r="P1765" s="792"/>
      <c r="Q1765" s="792"/>
      <c r="R1765" s="806"/>
      <c r="S1765" s="682"/>
      <c r="T1765" s="682"/>
    </row>
    <row r="1766" spans="1:20" s="756" customFormat="1" ht="21.75" customHeight="1">
      <c r="A1766" s="757">
        <v>85495</v>
      </c>
      <c r="B1766" s="852" t="s">
        <v>233</v>
      </c>
      <c r="C1766" s="725">
        <f>SUM(C1767+C1780+C1788)</f>
        <v>815700</v>
      </c>
      <c r="D1766" s="712">
        <f t="shared" si="214"/>
        <v>735740</v>
      </c>
      <c r="E1766" s="712">
        <f>H1766+K1766+Q1766+N1766</f>
        <v>734475</v>
      </c>
      <c r="F1766" s="713">
        <f>E1766/D1766*100</f>
        <v>99.82806426183163</v>
      </c>
      <c r="G1766" s="712">
        <f>SUM(G1767+G1780+G1788)</f>
        <v>52049</v>
      </c>
      <c r="H1766" s="712">
        <f>SUM(H1767+H1780+H1788)</f>
        <v>51265</v>
      </c>
      <c r="I1766" s="741">
        <f t="shared" si="211"/>
        <v>98.49372706488117</v>
      </c>
      <c r="J1766" s="800"/>
      <c r="K1766" s="712"/>
      <c r="L1766" s="718"/>
      <c r="M1766" s="712">
        <f>SUM(M1767+M1780+M1788)</f>
        <v>683691</v>
      </c>
      <c r="N1766" s="712">
        <f>SUM(N1767+N1780+N1788)</f>
        <v>683210</v>
      </c>
      <c r="O1766" s="1021">
        <f t="shared" si="215"/>
        <v>99.92964658010709</v>
      </c>
      <c r="P1766" s="712"/>
      <c r="Q1766" s="712"/>
      <c r="R1766" s="762"/>
      <c r="S1766" s="682"/>
      <c r="T1766" s="682"/>
    </row>
    <row r="1767" spans="1:20" s="756" customFormat="1" ht="12.75" hidden="1">
      <c r="A1767" s="757"/>
      <c r="B1767" s="852"/>
      <c r="C1767" s="725"/>
      <c r="D1767" s="712"/>
      <c r="E1767" s="712"/>
      <c r="F1767" s="713"/>
      <c r="G1767" s="725"/>
      <c r="H1767" s="712"/>
      <c r="I1767" s="741"/>
      <c r="J1767" s="880"/>
      <c r="K1767" s="712"/>
      <c r="L1767" s="718"/>
      <c r="M1767" s="712"/>
      <c r="N1767" s="712"/>
      <c r="O1767" s="762"/>
      <c r="P1767" s="712"/>
      <c r="Q1767" s="712"/>
      <c r="R1767" s="762"/>
      <c r="S1767" s="682"/>
      <c r="T1767" s="682"/>
    </row>
    <row r="1768" spans="1:20" s="756" customFormat="1" ht="12.75" hidden="1">
      <c r="A1768" s="764"/>
      <c r="B1768" s="768"/>
      <c r="C1768" s="720"/>
      <c r="D1768" s="698"/>
      <c r="E1768" s="698"/>
      <c r="F1768" s="699"/>
      <c r="G1768" s="720"/>
      <c r="H1768" s="698"/>
      <c r="I1768" s="744"/>
      <c r="J1768" s="963"/>
      <c r="K1768" s="777"/>
      <c r="L1768" s="779"/>
      <c r="M1768" s="777"/>
      <c r="N1768" s="777"/>
      <c r="O1768" s="766"/>
      <c r="P1768" s="777"/>
      <c r="Q1768" s="777"/>
      <c r="R1768" s="766"/>
      <c r="S1768" s="682"/>
      <c r="T1768" s="682"/>
    </row>
    <row r="1769" spans="1:20" s="756" customFormat="1" ht="12.75" hidden="1">
      <c r="A1769" s="764"/>
      <c r="B1769" s="768"/>
      <c r="C1769" s="720"/>
      <c r="D1769" s="698"/>
      <c r="E1769" s="698"/>
      <c r="F1769" s="699"/>
      <c r="G1769" s="720"/>
      <c r="H1769" s="698"/>
      <c r="I1769" s="744"/>
      <c r="J1769" s="703"/>
      <c r="K1769" s="698"/>
      <c r="L1769" s="704"/>
      <c r="M1769" s="698"/>
      <c r="N1769" s="698"/>
      <c r="O1769" s="702"/>
      <c r="P1769" s="698"/>
      <c r="Q1769" s="698"/>
      <c r="R1769" s="766"/>
      <c r="S1769" s="682"/>
      <c r="T1769" s="682"/>
    </row>
    <row r="1770" spans="1:20" s="756" customFormat="1" ht="12.75" hidden="1">
      <c r="A1770" s="764"/>
      <c r="B1770" s="768"/>
      <c r="C1770" s="720"/>
      <c r="D1770" s="698"/>
      <c r="E1770" s="698"/>
      <c r="F1770" s="699"/>
      <c r="G1770" s="720"/>
      <c r="H1770" s="698"/>
      <c r="I1770" s="744"/>
      <c r="J1770" s="963"/>
      <c r="K1770" s="777"/>
      <c r="L1770" s="779"/>
      <c r="M1770" s="777"/>
      <c r="N1770" s="777"/>
      <c r="O1770" s="766"/>
      <c r="P1770" s="777"/>
      <c r="Q1770" s="777"/>
      <c r="R1770" s="766"/>
      <c r="S1770" s="682"/>
      <c r="T1770" s="682"/>
    </row>
    <row r="1771" spans="1:20" s="756" customFormat="1" ht="14.25" customHeight="1" hidden="1">
      <c r="A1771" s="764"/>
      <c r="B1771" s="768"/>
      <c r="C1771" s="720"/>
      <c r="D1771" s="698"/>
      <c r="E1771" s="698"/>
      <c r="F1771" s="699"/>
      <c r="G1771" s="720"/>
      <c r="H1771" s="698"/>
      <c r="I1771" s="744"/>
      <c r="J1771" s="963"/>
      <c r="K1771" s="777"/>
      <c r="L1771" s="779"/>
      <c r="M1771" s="777"/>
      <c r="N1771" s="777"/>
      <c r="O1771" s="766"/>
      <c r="P1771" s="777"/>
      <c r="Q1771" s="777"/>
      <c r="R1771" s="766"/>
      <c r="S1771" s="682"/>
      <c r="T1771" s="682"/>
    </row>
    <row r="1772" spans="1:20" s="756" customFormat="1" ht="12.75" hidden="1">
      <c r="A1772" s="764"/>
      <c r="B1772" s="768"/>
      <c r="C1772" s="720"/>
      <c r="D1772" s="698"/>
      <c r="E1772" s="698"/>
      <c r="F1772" s="699"/>
      <c r="G1772" s="720"/>
      <c r="H1772" s="698"/>
      <c r="I1772" s="744"/>
      <c r="J1772" s="963"/>
      <c r="K1772" s="777"/>
      <c r="L1772" s="779"/>
      <c r="M1772" s="777"/>
      <c r="N1772" s="777"/>
      <c r="O1772" s="766"/>
      <c r="P1772" s="777"/>
      <c r="Q1772" s="777"/>
      <c r="R1772" s="766"/>
      <c r="S1772" s="682"/>
      <c r="T1772" s="682"/>
    </row>
    <row r="1773" spans="1:20" s="756" customFormat="1" ht="15" customHeight="1" hidden="1">
      <c r="A1773" s="764"/>
      <c r="B1773" s="768"/>
      <c r="C1773" s="720"/>
      <c r="D1773" s="698"/>
      <c r="E1773" s="698"/>
      <c r="F1773" s="699"/>
      <c r="G1773" s="720"/>
      <c r="H1773" s="698"/>
      <c r="I1773" s="744"/>
      <c r="J1773" s="963"/>
      <c r="K1773" s="777"/>
      <c r="L1773" s="779"/>
      <c r="M1773" s="777"/>
      <c r="N1773" s="777"/>
      <c r="O1773" s="766"/>
      <c r="P1773" s="777"/>
      <c r="Q1773" s="777"/>
      <c r="R1773" s="766"/>
      <c r="S1773" s="682"/>
      <c r="T1773" s="682"/>
    </row>
    <row r="1774" spans="1:20" s="756" customFormat="1" ht="14.25" customHeight="1" hidden="1">
      <c r="A1774" s="764"/>
      <c r="B1774" s="768"/>
      <c r="C1774" s="720"/>
      <c r="D1774" s="698"/>
      <c r="E1774" s="698"/>
      <c r="F1774" s="699"/>
      <c r="G1774" s="720"/>
      <c r="H1774" s="698"/>
      <c r="I1774" s="744"/>
      <c r="J1774" s="963"/>
      <c r="K1774" s="777"/>
      <c r="L1774" s="779"/>
      <c r="M1774" s="777"/>
      <c r="N1774" s="777"/>
      <c r="O1774" s="766"/>
      <c r="P1774" s="777"/>
      <c r="Q1774" s="777"/>
      <c r="R1774" s="766"/>
      <c r="S1774" s="682"/>
      <c r="T1774" s="682"/>
    </row>
    <row r="1775" spans="1:20" s="756" customFormat="1" ht="14.25" customHeight="1" hidden="1">
      <c r="A1775" s="764"/>
      <c r="B1775" s="768"/>
      <c r="C1775" s="720"/>
      <c r="D1775" s="698"/>
      <c r="E1775" s="698"/>
      <c r="F1775" s="699"/>
      <c r="G1775" s="720"/>
      <c r="H1775" s="698"/>
      <c r="I1775" s="744"/>
      <c r="J1775" s="963"/>
      <c r="K1775" s="777"/>
      <c r="L1775" s="779"/>
      <c r="M1775" s="698"/>
      <c r="N1775" s="777"/>
      <c r="O1775" s="766"/>
      <c r="P1775" s="777"/>
      <c r="Q1775" s="777"/>
      <c r="R1775" s="766"/>
      <c r="S1775" s="682"/>
      <c r="T1775" s="682"/>
    </row>
    <row r="1776" spans="1:20" s="756" customFormat="1" ht="14.25" customHeight="1" hidden="1">
      <c r="A1776" s="764"/>
      <c r="B1776" s="768"/>
      <c r="C1776" s="720"/>
      <c r="D1776" s="698"/>
      <c r="E1776" s="698"/>
      <c r="F1776" s="699"/>
      <c r="G1776" s="720"/>
      <c r="H1776" s="698"/>
      <c r="I1776" s="744"/>
      <c r="J1776" s="963"/>
      <c r="K1776" s="777"/>
      <c r="L1776" s="779"/>
      <c r="M1776" s="777"/>
      <c r="N1776" s="777"/>
      <c r="O1776" s="766"/>
      <c r="P1776" s="777"/>
      <c r="Q1776" s="777"/>
      <c r="R1776" s="766"/>
      <c r="S1776" s="682"/>
      <c r="T1776" s="682"/>
    </row>
    <row r="1777" spans="1:20" s="756" customFormat="1" ht="14.25" customHeight="1" hidden="1">
      <c r="A1777" s="764"/>
      <c r="B1777" s="768"/>
      <c r="C1777" s="720"/>
      <c r="D1777" s="698"/>
      <c r="E1777" s="698"/>
      <c r="F1777" s="699"/>
      <c r="G1777" s="720"/>
      <c r="H1777" s="698"/>
      <c r="I1777" s="744"/>
      <c r="J1777" s="963"/>
      <c r="K1777" s="777"/>
      <c r="L1777" s="779"/>
      <c r="M1777" s="777"/>
      <c r="N1777" s="777"/>
      <c r="O1777" s="766"/>
      <c r="P1777" s="777"/>
      <c r="Q1777" s="777"/>
      <c r="R1777" s="766"/>
      <c r="S1777" s="682"/>
      <c r="T1777" s="682"/>
    </row>
    <row r="1778" spans="1:20" s="756" customFormat="1" ht="14.25" customHeight="1" hidden="1">
      <c r="A1778" s="764"/>
      <c r="B1778" s="768"/>
      <c r="C1778" s="720"/>
      <c r="D1778" s="698"/>
      <c r="E1778" s="698"/>
      <c r="F1778" s="699"/>
      <c r="G1778" s="720"/>
      <c r="H1778" s="698"/>
      <c r="I1778" s="744"/>
      <c r="J1778" s="963"/>
      <c r="K1778" s="777"/>
      <c r="L1778" s="779"/>
      <c r="M1778" s="698"/>
      <c r="N1778" s="698"/>
      <c r="O1778" s="766"/>
      <c r="P1778" s="777"/>
      <c r="Q1778" s="777"/>
      <c r="R1778" s="766"/>
      <c r="S1778" s="682"/>
      <c r="T1778" s="682"/>
    </row>
    <row r="1779" spans="1:20" s="756" customFormat="1" ht="36.75" customHeight="1" hidden="1">
      <c r="A1779" s="789"/>
      <c r="B1779" s="981"/>
      <c r="C1779" s="791"/>
      <c r="D1779" s="792"/>
      <c r="E1779" s="792"/>
      <c r="F1779" s="760"/>
      <c r="G1779" s="791"/>
      <c r="H1779" s="792"/>
      <c r="I1779" s="761"/>
      <c r="J1779" s="1040"/>
      <c r="K1779" s="759"/>
      <c r="L1779" s="865"/>
      <c r="M1779" s="792"/>
      <c r="N1779" s="792"/>
      <c r="O1779" s="806"/>
      <c r="P1779" s="759"/>
      <c r="Q1779" s="759"/>
      <c r="R1779" s="806"/>
      <c r="S1779" s="682"/>
      <c r="T1779" s="682"/>
    </row>
    <row r="1780" spans="1:20" s="756" customFormat="1" ht="18.75" customHeight="1" hidden="1">
      <c r="A1780" s="774"/>
      <c r="B1780" s="848" t="s">
        <v>857</v>
      </c>
      <c r="C1780" s="776">
        <f>SUM(C1781:C1787)</f>
        <v>0</v>
      </c>
      <c r="D1780" s="777">
        <f aca="true" t="shared" si="216" ref="D1780:E1823">G1780+J1780+P1780+M1780</f>
        <v>0</v>
      </c>
      <c r="E1780" s="777">
        <f aca="true" t="shared" si="217" ref="E1780:E1788">SUM(H1780+K1780+N1780+Q1780)</f>
        <v>0</v>
      </c>
      <c r="F1780" s="699" t="e">
        <f aca="true" t="shared" si="218" ref="F1780:F1843">E1780/D1780*100</f>
        <v>#DIV/0!</v>
      </c>
      <c r="G1780" s="776">
        <f>SUM(G1781:G1787)</f>
        <v>0</v>
      </c>
      <c r="H1780" s="777">
        <f>SUM(H1781:H1787)</f>
        <v>0</v>
      </c>
      <c r="I1780" s="744" t="e">
        <f aca="true" t="shared" si="219" ref="I1780:I1789">H1780/G1780*100</f>
        <v>#DIV/0!</v>
      </c>
      <c r="J1780" s="963"/>
      <c r="K1780" s="777"/>
      <c r="L1780" s="779"/>
      <c r="M1780" s="777"/>
      <c r="N1780" s="777"/>
      <c r="O1780" s="766"/>
      <c r="P1780" s="777"/>
      <c r="Q1780" s="777"/>
      <c r="R1780" s="766"/>
      <c r="S1780" s="682"/>
      <c r="T1780" s="682"/>
    </row>
    <row r="1781" spans="1:20" s="756" customFormat="1" ht="40.5" customHeight="1" hidden="1">
      <c r="A1781" s="764">
        <v>3020</v>
      </c>
      <c r="B1781" s="768" t="s">
        <v>650</v>
      </c>
      <c r="C1781" s="720"/>
      <c r="D1781" s="698">
        <f t="shared" si="216"/>
        <v>0</v>
      </c>
      <c r="E1781" s="698">
        <f t="shared" si="217"/>
        <v>0</v>
      </c>
      <c r="F1781" s="699" t="e">
        <f t="shared" si="218"/>
        <v>#DIV/0!</v>
      </c>
      <c r="G1781" s="720"/>
      <c r="H1781" s="698"/>
      <c r="I1781" s="744" t="e">
        <f t="shared" si="219"/>
        <v>#DIV/0!</v>
      </c>
      <c r="J1781" s="963"/>
      <c r="K1781" s="777"/>
      <c r="L1781" s="779"/>
      <c r="M1781" s="777"/>
      <c r="N1781" s="777"/>
      <c r="O1781" s="766"/>
      <c r="P1781" s="777"/>
      <c r="Q1781" s="777"/>
      <c r="R1781" s="766"/>
      <c r="S1781" s="682"/>
      <c r="T1781" s="682"/>
    </row>
    <row r="1782" spans="1:20" s="756" customFormat="1" ht="27" customHeight="1" hidden="1">
      <c r="A1782" s="764">
        <v>4010</v>
      </c>
      <c r="B1782" s="768" t="s">
        <v>201</v>
      </c>
      <c r="C1782" s="720"/>
      <c r="D1782" s="698">
        <f t="shared" si="216"/>
        <v>0</v>
      </c>
      <c r="E1782" s="698">
        <f t="shared" si="217"/>
        <v>0</v>
      </c>
      <c r="F1782" s="699" t="e">
        <f t="shared" si="218"/>
        <v>#DIV/0!</v>
      </c>
      <c r="G1782" s="720"/>
      <c r="H1782" s="698"/>
      <c r="I1782" s="744" t="e">
        <f t="shared" si="219"/>
        <v>#DIV/0!</v>
      </c>
      <c r="J1782" s="963"/>
      <c r="K1782" s="777"/>
      <c r="L1782" s="779"/>
      <c r="M1782" s="777"/>
      <c r="N1782" s="777"/>
      <c r="O1782" s="766"/>
      <c r="P1782" s="777"/>
      <c r="Q1782" s="777"/>
      <c r="R1782" s="766"/>
      <c r="S1782" s="682"/>
      <c r="T1782" s="682"/>
    </row>
    <row r="1783" spans="1:20" s="756" customFormat="1" ht="29.25" customHeight="1" hidden="1">
      <c r="A1783" s="764">
        <v>4040</v>
      </c>
      <c r="B1783" s="768" t="s">
        <v>280</v>
      </c>
      <c r="C1783" s="720"/>
      <c r="D1783" s="698">
        <f t="shared" si="216"/>
        <v>0</v>
      </c>
      <c r="E1783" s="698">
        <f t="shared" si="217"/>
        <v>0</v>
      </c>
      <c r="F1783" s="699" t="e">
        <f t="shared" si="218"/>
        <v>#DIV/0!</v>
      </c>
      <c r="G1783" s="720"/>
      <c r="H1783" s="698"/>
      <c r="I1783" s="744" t="e">
        <f t="shared" si="219"/>
        <v>#DIV/0!</v>
      </c>
      <c r="J1783" s="963"/>
      <c r="K1783" s="777"/>
      <c r="L1783" s="779"/>
      <c r="M1783" s="777"/>
      <c r="N1783" s="777"/>
      <c r="O1783" s="766"/>
      <c r="P1783" s="777"/>
      <c r="Q1783" s="777"/>
      <c r="R1783" s="766"/>
      <c r="S1783" s="682"/>
      <c r="T1783" s="682"/>
    </row>
    <row r="1784" spans="1:20" s="756" customFormat="1" ht="36" hidden="1">
      <c r="A1784" s="764">
        <v>4110</v>
      </c>
      <c r="B1784" s="768" t="s">
        <v>207</v>
      </c>
      <c r="C1784" s="720"/>
      <c r="D1784" s="698">
        <f t="shared" si="216"/>
        <v>0</v>
      </c>
      <c r="E1784" s="698">
        <f t="shared" si="217"/>
        <v>0</v>
      </c>
      <c r="F1784" s="699" t="e">
        <f t="shared" si="218"/>
        <v>#DIV/0!</v>
      </c>
      <c r="G1784" s="720"/>
      <c r="H1784" s="698"/>
      <c r="I1784" s="744" t="e">
        <f t="shared" si="219"/>
        <v>#DIV/0!</v>
      </c>
      <c r="J1784" s="963"/>
      <c r="K1784" s="777"/>
      <c r="L1784" s="779"/>
      <c r="M1784" s="777"/>
      <c r="N1784" s="777"/>
      <c r="O1784" s="766"/>
      <c r="P1784" s="777"/>
      <c r="Q1784" s="777"/>
      <c r="R1784" s="766"/>
      <c r="S1784" s="682"/>
      <c r="T1784" s="682"/>
    </row>
    <row r="1785" spans="1:20" s="756" customFormat="1" ht="15.75" customHeight="1" hidden="1">
      <c r="A1785" s="764">
        <v>4120</v>
      </c>
      <c r="B1785" s="768" t="s">
        <v>584</v>
      </c>
      <c r="C1785" s="720"/>
      <c r="D1785" s="698">
        <f t="shared" si="216"/>
        <v>0</v>
      </c>
      <c r="E1785" s="698">
        <f t="shared" si="217"/>
        <v>0</v>
      </c>
      <c r="F1785" s="699" t="e">
        <f t="shared" si="218"/>
        <v>#DIV/0!</v>
      </c>
      <c r="G1785" s="720"/>
      <c r="H1785" s="698"/>
      <c r="I1785" s="744" t="e">
        <f t="shared" si="219"/>
        <v>#DIV/0!</v>
      </c>
      <c r="J1785" s="963"/>
      <c r="K1785" s="777"/>
      <c r="L1785" s="779"/>
      <c r="M1785" s="777"/>
      <c r="N1785" s="777"/>
      <c r="O1785" s="766"/>
      <c r="P1785" s="777"/>
      <c r="Q1785" s="777"/>
      <c r="R1785" s="766"/>
      <c r="S1785" s="682"/>
      <c r="T1785" s="682"/>
    </row>
    <row r="1786" spans="1:20" s="756" customFormat="1" ht="15" customHeight="1" hidden="1">
      <c r="A1786" s="764">
        <v>4140</v>
      </c>
      <c r="B1786" s="768" t="s">
        <v>283</v>
      </c>
      <c r="C1786" s="720"/>
      <c r="D1786" s="698">
        <f t="shared" si="216"/>
        <v>0</v>
      </c>
      <c r="E1786" s="698">
        <f t="shared" si="217"/>
        <v>0</v>
      </c>
      <c r="F1786" s="699" t="e">
        <f t="shared" si="218"/>
        <v>#DIV/0!</v>
      </c>
      <c r="G1786" s="720"/>
      <c r="H1786" s="698"/>
      <c r="I1786" s="744" t="e">
        <f t="shared" si="219"/>
        <v>#DIV/0!</v>
      </c>
      <c r="J1786" s="963"/>
      <c r="K1786" s="777"/>
      <c r="L1786" s="779"/>
      <c r="M1786" s="777"/>
      <c r="N1786" s="777"/>
      <c r="O1786" s="766"/>
      <c r="P1786" s="777"/>
      <c r="Q1786" s="777"/>
      <c r="R1786" s="766"/>
      <c r="S1786" s="682"/>
      <c r="T1786" s="682"/>
    </row>
    <row r="1787" spans="1:20" s="756" customFormat="1" ht="18" customHeight="1" hidden="1">
      <c r="A1787" s="789">
        <v>4440</v>
      </c>
      <c r="B1787" s="804" t="s">
        <v>223</v>
      </c>
      <c r="C1787" s="791"/>
      <c r="D1787" s="792">
        <f t="shared" si="216"/>
        <v>0</v>
      </c>
      <c r="E1787" s="792">
        <f t="shared" si="217"/>
        <v>0</v>
      </c>
      <c r="F1787" s="760" t="e">
        <f t="shared" si="218"/>
        <v>#DIV/0!</v>
      </c>
      <c r="G1787" s="791"/>
      <c r="H1787" s="792"/>
      <c r="I1787" s="761" t="e">
        <f t="shared" si="219"/>
        <v>#DIV/0!</v>
      </c>
      <c r="J1787" s="1040"/>
      <c r="K1787" s="759"/>
      <c r="L1787" s="865"/>
      <c r="M1787" s="759"/>
      <c r="N1787" s="759"/>
      <c r="O1787" s="806"/>
      <c r="P1787" s="759"/>
      <c r="Q1787" s="759"/>
      <c r="R1787" s="806"/>
      <c r="S1787" s="682"/>
      <c r="T1787" s="682"/>
    </row>
    <row r="1788" spans="1:20" s="756" customFormat="1" ht="30.75" customHeight="1" hidden="1">
      <c r="A1788" s="835"/>
      <c r="B1788" s="836" t="s">
        <v>858</v>
      </c>
      <c r="C1788" s="837">
        <f>SUM(C1789:C1802)</f>
        <v>815700</v>
      </c>
      <c r="D1788" s="759">
        <f t="shared" si="216"/>
        <v>735740</v>
      </c>
      <c r="E1788" s="759">
        <f t="shared" si="217"/>
        <v>734475</v>
      </c>
      <c r="F1788" s="760">
        <f t="shared" si="218"/>
        <v>99.82806426183163</v>
      </c>
      <c r="G1788" s="837">
        <f>SUM(G1789:G1802)</f>
        <v>52049</v>
      </c>
      <c r="H1788" s="759">
        <f>SUM(H1789:H1802)</f>
        <v>51265</v>
      </c>
      <c r="I1788" s="761">
        <f t="shared" si="219"/>
        <v>98.49372706488117</v>
      </c>
      <c r="J1788" s="1040"/>
      <c r="K1788" s="759"/>
      <c r="L1788" s="865"/>
      <c r="M1788" s="759">
        <f>SUM(M1789:M1802)</f>
        <v>683691</v>
      </c>
      <c r="N1788" s="759">
        <f>SUM(N1789:N1802)</f>
        <v>683210</v>
      </c>
      <c r="O1788" s="796">
        <f>N1788/M1788*100</f>
        <v>99.92964658010709</v>
      </c>
      <c r="P1788" s="759"/>
      <c r="Q1788" s="759"/>
      <c r="R1788" s="806"/>
      <c r="S1788" s="682"/>
      <c r="T1788" s="682"/>
    </row>
    <row r="1789" spans="1:20" s="756" customFormat="1" ht="62.25" customHeight="1">
      <c r="A1789" s="784">
        <v>2820</v>
      </c>
      <c r="B1789" s="785" t="s">
        <v>475</v>
      </c>
      <c r="C1789" s="723">
        <v>31000</v>
      </c>
      <c r="D1789" s="732">
        <f t="shared" si="216"/>
        <v>31000</v>
      </c>
      <c r="E1789" s="732">
        <f>H1789+K1789+Q1789+N1789</f>
        <v>31000</v>
      </c>
      <c r="F1789" s="721">
        <f t="shared" si="218"/>
        <v>100</v>
      </c>
      <c r="G1789" s="723">
        <v>31000</v>
      </c>
      <c r="H1789" s="732">
        <v>31000</v>
      </c>
      <c r="I1789" s="786">
        <f t="shared" si="219"/>
        <v>100</v>
      </c>
      <c r="J1789" s="735"/>
      <c r="K1789" s="732"/>
      <c r="L1789" s="736"/>
      <c r="M1789" s="732"/>
      <c r="N1789" s="732"/>
      <c r="O1789" s="803"/>
      <c r="P1789" s="732"/>
      <c r="Q1789" s="732"/>
      <c r="R1789" s="803"/>
      <c r="S1789" s="682"/>
      <c r="T1789" s="682"/>
    </row>
    <row r="1790" spans="1:20" s="756" customFormat="1" ht="39" customHeight="1">
      <c r="A1790" s="764">
        <v>3040</v>
      </c>
      <c r="B1790" s="768" t="s">
        <v>749</v>
      </c>
      <c r="C1790" s="720">
        <v>2600</v>
      </c>
      <c r="D1790" s="698">
        <f t="shared" si="216"/>
        <v>2000</v>
      </c>
      <c r="E1790" s="698">
        <f>H1790+K1790+Q1790+N1790</f>
        <v>2000</v>
      </c>
      <c r="F1790" s="699">
        <f>E1790/D1790*100</f>
        <v>100</v>
      </c>
      <c r="G1790" s="720"/>
      <c r="H1790" s="698"/>
      <c r="I1790" s="744"/>
      <c r="J1790" s="879"/>
      <c r="K1790" s="698"/>
      <c r="L1790" s="704"/>
      <c r="M1790" s="698">
        <f>2600-600</f>
        <v>2000</v>
      </c>
      <c r="N1790" s="698">
        <v>2000</v>
      </c>
      <c r="O1790" s="744">
        <f>N1790/M1790*100</f>
        <v>100</v>
      </c>
      <c r="P1790" s="698"/>
      <c r="Q1790" s="698"/>
      <c r="R1790" s="766"/>
      <c r="S1790" s="682"/>
      <c r="T1790" s="682"/>
    </row>
    <row r="1791" spans="1:20" s="756" customFormat="1" ht="60">
      <c r="A1791" s="764">
        <v>4010</v>
      </c>
      <c r="B1791" s="768" t="s">
        <v>476</v>
      </c>
      <c r="C1791" s="720">
        <v>134000</v>
      </c>
      <c r="D1791" s="698">
        <f t="shared" si="216"/>
        <v>0</v>
      </c>
      <c r="E1791" s="698">
        <f>H1791+K1791+Q1791+N1791</f>
        <v>0</v>
      </c>
      <c r="F1791" s="699"/>
      <c r="G1791" s="720">
        <f>55000-3575-36014-15411</f>
        <v>0</v>
      </c>
      <c r="H1791" s="698"/>
      <c r="I1791" s="744"/>
      <c r="J1791" s="879"/>
      <c r="K1791" s="698"/>
      <c r="L1791" s="704"/>
      <c r="M1791" s="698">
        <f>79000-9920-40531-2340-26209</f>
        <v>0</v>
      </c>
      <c r="N1791" s="698"/>
      <c r="O1791" s="744"/>
      <c r="P1791" s="698"/>
      <c r="Q1791" s="698"/>
      <c r="R1791" s="766"/>
      <c r="S1791" s="682"/>
      <c r="T1791" s="682"/>
    </row>
    <row r="1792" spans="1:20" s="756" customFormat="1" ht="26.25" customHeight="1">
      <c r="A1792" s="764">
        <v>4110</v>
      </c>
      <c r="B1792" s="768" t="s">
        <v>207</v>
      </c>
      <c r="C1792" s="720">
        <v>1000</v>
      </c>
      <c r="D1792" s="698">
        <f t="shared" si="216"/>
        <v>630</v>
      </c>
      <c r="E1792" s="698">
        <f>H1792+K1792+Q1792+N1792</f>
        <v>420</v>
      </c>
      <c r="F1792" s="699">
        <f>E1792/D1792*100</f>
        <v>66.66666666666666</v>
      </c>
      <c r="G1792" s="720"/>
      <c r="H1792" s="698"/>
      <c r="I1792" s="744"/>
      <c r="J1792" s="879"/>
      <c r="K1792" s="698"/>
      <c r="L1792" s="704"/>
      <c r="M1792" s="698">
        <f>1000-370</f>
        <v>630</v>
      </c>
      <c r="N1792" s="698">
        <v>420</v>
      </c>
      <c r="O1792" s="744">
        <f aca="true" t="shared" si="220" ref="O1792:O1802">N1792/M1792*100</f>
        <v>66.66666666666666</v>
      </c>
      <c r="P1792" s="698"/>
      <c r="Q1792" s="698"/>
      <c r="R1792" s="766"/>
      <c r="S1792" s="682"/>
      <c r="T1792" s="682"/>
    </row>
    <row r="1793" spans="1:20" s="756" customFormat="1" ht="24">
      <c r="A1793" s="764">
        <v>4170</v>
      </c>
      <c r="B1793" s="768" t="s">
        <v>242</v>
      </c>
      <c r="C1793" s="720">
        <v>13900</v>
      </c>
      <c r="D1793" s="698">
        <f t="shared" si="216"/>
        <v>8850</v>
      </c>
      <c r="E1793" s="698">
        <f>H1793+K1793+Q1793+N1793</f>
        <v>8850</v>
      </c>
      <c r="F1793" s="699">
        <f>E1793/D1793*100</f>
        <v>100</v>
      </c>
      <c r="G1793" s="720"/>
      <c r="H1793" s="698"/>
      <c r="I1793" s="744"/>
      <c r="J1793" s="879"/>
      <c r="K1793" s="698"/>
      <c r="L1793" s="704"/>
      <c r="M1793" s="698">
        <f>13900+1500-6550</f>
        <v>8850</v>
      </c>
      <c r="N1793" s="698">
        <v>8850</v>
      </c>
      <c r="O1793" s="744">
        <f t="shared" si="220"/>
        <v>100</v>
      </c>
      <c r="P1793" s="698"/>
      <c r="Q1793" s="698"/>
      <c r="R1793" s="766"/>
      <c r="S1793" s="682"/>
      <c r="T1793" s="682"/>
    </row>
    <row r="1794" spans="1:20" s="756" customFormat="1" ht="23.25" customHeight="1">
      <c r="A1794" s="764">
        <v>4210</v>
      </c>
      <c r="B1794" s="768" t="s">
        <v>477</v>
      </c>
      <c r="C1794" s="720">
        <v>9000</v>
      </c>
      <c r="D1794" s="698">
        <f t="shared" si="216"/>
        <v>9964</v>
      </c>
      <c r="E1794" s="698">
        <f aca="true" t="shared" si="221" ref="E1794:E1802">SUM(H1794+K1794+N1794+Q1794)</f>
        <v>9955</v>
      </c>
      <c r="F1794" s="699">
        <f t="shared" si="218"/>
        <v>99.90967482938579</v>
      </c>
      <c r="G1794" s="720">
        <f>9000-300+2000+100-801-245+210</f>
        <v>9964</v>
      </c>
      <c r="H1794" s="698">
        <v>9955</v>
      </c>
      <c r="I1794" s="744">
        <f>H1794/G1794*100</f>
        <v>99.90967482938579</v>
      </c>
      <c r="J1794" s="879"/>
      <c r="K1794" s="698"/>
      <c r="L1794" s="704"/>
      <c r="M1794" s="698"/>
      <c r="N1794" s="698"/>
      <c r="O1794" s="744"/>
      <c r="P1794" s="698"/>
      <c r="Q1794" s="698"/>
      <c r="R1794" s="766"/>
      <c r="S1794" s="682"/>
      <c r="T1794" s="682"/>
    </row>
    <row r="1795" spans="1:20" s="756" customFormat="1" ht="23.25" customHeight="1">
      <c r="A1795" s="764">
        <v>4210</v>
      </c>
      <c r="B1795" s="768" t="s">
        <v>859</v>
      </c>
      <c r="C1795" s="720">
        <v>20000</v>
      </c>
      <c r="D1795" s="698">
        <f t="shared" si="216"/>
        <v>25790</v>
      </c>
      <c r="E1795" s="698">
        <f t="shared" si="221"/>
        <v>25767</v>
      </c>
      <c r="F1795" s="699">
        <f>E1795/D1795*100</f>
        <v>99.91081814656843</v>
      </c>
      <c r="G1795" s="720"/>
      <c r="H1795" s="698"/>
      <c r="I1795" s="744"/>
      <c r="J1795" s="879"/>
      <c r="K1795" s="698"/>
      <c r="L1795" s="704"/>
      <c r="M1795" s="698">
        <f>20000+5790</f>
        <v>25790</v>
      </c>
      <c r="N1795" s="698">
        <v>25767</v>
      </c>
      <c r="O1795" s="744">
        <f t="shared" si="220"/>
        <v>99.91081814656843</v>
      </c>
      <c r="P1795" s="698"/>
      <c r="Q1795" s="698"/>
      <c r="R1795" s="766"/>
      <c r="S1795" s="682"/>
      <c r="T1795" s="682"/>
    </row>
    <row r="1796" spans="1:20" s="756" customFormat="1" ht="15.75" customHeight="1">
      <c r="A1796" s="764">
        <v>4300</v>
      </c>
      <c r="B1796" s="768" t="s">
        <v>219</v>
      </c>
      <c r="C1796" s="720">
        <v>50000</v>
      </c>
      <c r="D1796" s="698">
        <f t="shared" si="216"/>
        <v>60990</v>
      </c>
      <c r="E1796" s="698">
        <f t="shared" si="221"/>
        <v>60467</v>
      </c>
      <c r="F1796" s="699">
        <f t="shared" si="218"/>
        <v>99.1424823741597</v>
      </c>
      <c r="G1796" s="720">
        <f>1400-1400+300</f>
        <v>300</v>
      </c>
      <c r="H1796" s="698"/>
      <c r="I1796" s="744">
        <f>H1796/G1796*100</f>
        <v>0</v>
      </c>
      <c r="J1796" s="879"/>
      <c r="K1796" s="698"/>
      <c r="L1796" s="704"/>
      <c r="M1796" s="698">
        <f>50000+4970-1200+6920</f>
        <v>60690</v>
      </c>
      <c r="N1796" s="698">
        <v>60467</v>
      </c>
      <c r="O1796" s="744">
        <f t="shared" si="220"/>
        <v>99.6325589059153</v>
      </c>
      <c r="P1796" s="698"/>
      <c r="Q1796" s="698"/>
      <c r="R1796" s="766"/>
      <c r="S1796" s="682"/>
      <c r="T1796" s="682"/>
    </row>
    <row r="1797" spans="1:20" s="756" customFormat="1" ht="23.25" customHeight="1">
      <c r="A1797" s="764">
        <v>4300</v>
      </c>
      <c r="B1797" s="768" t="s">
        <v>478</v>
      </c>
      <c r="C1797" s="720">
        <v>10200</v>
      </c>
      <c r="D1797" s="698">
        <f t="shared" si="216"/>
        <v>10785</v>
      </c>
      <c r="E1797" s="698">
        <f t="shared" si="221"/>
        <v>10310</v>
      </c>
      <c r="F1797" s="699">
        <f t="shared" si="218"/>
        <v>95.5957348168753</v>
      </c>
      <c r="G1797" s="720">
        <f>10200-1000+800+750+245-210</f>
        <v>10785</v>
      </c>
      <c r="H1797" s="698">
        <v>10310</v>
      </c>
      <c r="I1797" s="744">
        <f>H1797/G1797*100</f>
        <v>95.5957348168753</v>
      </c>
      <c r="J1797" s="879"/>
      <c r="K1797" s="698"/>
      <c r="L1797" s="704"/>
      <c r="M1797" s="698"/>
      <c r="N1797" s="698"/>
      <c r="O1797" s="744"/>
      <c r="P1797" s="698"/>
      <c r="Q1797" s="698"/>
      <c r="R1797" s="766"/>
      <c r="S1797" s="682"/>
      <c r="T1797" s="682"/>
    </row>
    <row r="1798" spans="1:20" s="756" customFormat="1" ht="18" customHeight="1">
      <c r="A1798" s="764">
        <v>4410</v>
      </c>
      <c r="B1798" s="768" t="s">
        <v>193</v>
      </c>
      <c r="C1798" s="720"/>
      <c r="D1798" s="698">
        <f t="shared" si="216"/>
        <v>1000</v>
      </c>
      <c r="E1798" s="698">
        <f t="shared" si="221"/>
        <v>978</v>
      </c>
      <c r="F1798" s="699">
        <f t="shared" si="218"/>
        <v>97.8</v>
      </c>
      <c r="G1798" s="720"/>
      <c r="H1798" s="698"/>
      <c r="I1798" s="744"/>
      <c r="J1798" s="879"/>
      <c r="K1798" s="698"/>
      <c r="L1798" s="704"/>
      <c r="M1798" s="698">
        <f>1200-200</f>
        <v>1000</v>
      </c>
      <c r="N1798" s="698">
        <v>978</v>
      </c>
      <c r="O1798" s="744">
        <f t="shared" si="220"/>
        <v>97.8</v>
      </c>
      <c r="P1798" s="698"/>
      <c r="Q1798" s="698"/>
      <c r="R1798" s="766"/>
      <c r="S1798" s="682"/>
      <c r="T1798" s="682"/>
    </row>
    <row r="1799" spans="1:20" s="756" customFormat="1" ht="24">
      <c r="A1799" s="764">
        <v>4420</v>
      </c>
      <c r="B1799" s="768" t="s">
        <v>560</v>
      </c>
      <c r="C1799" s="720"/>
      <c r="D1799" s="698">
        <f t="shared" si="216"/>
        <v>200</v>
      </c>
      <c r="E1799" s="698">
        <f>SUM(H1799+K1799+N1799+Q1799)</f>
        <v>197</v>
      </c>
      <c r="F1799" s="699">
        <f>E1799/D1799*100</f>
        <v>98.5</v>
      </c>
      <c r="G1799" s="720"/>
      <c r="H1799" s="698"/>
      <c r="I1799" s="744"/>
      <c r="J1799" s="879"/>
      <c r="K1799" s="698"/>
      <c r="L1799" s="704"/>
      <c r="M1799" s="698">
        <v>200</v>
      </c>
      <c r="N1799" s="698">
        <v>197</v>
      </c>
      <c r="O1799" s="744">
        <f t="shared" si="220"/>
        <v>98.5</v>
      </c>
      <c r="P1799" s="698"/>
      <c r="Q1799" s="698"/>
      <c r="R1799" s="766"/>
      <c r="S1799" s="682"/>
      <c r="T1799" s="682"/>
    </row>
    <row r="1800" spans="1:20" s="756" customFormat="1" ht="12.75">
      <c r="A1800" s="764">
        <v>4440</v>
      </c>
      <c r="B1800" s="768" t="s">
        <v>223</v>
      </c>
      <c r="C1800" s="720">
        <v>543500</v>
      </c>
      <c r="D1800" s="698">
        <f t="shared" si="216"/>
        <v>584031</v>
      </c>
      <c r="E1800" s="698">
        <f>H1800+K1800+Q1800+N1800</f>
        <v>584031</v>
      </c>
      <c r="F1800" s="699">
        <f>E1800/D1800*100</f>
        <v>100</v>
      </c>
      <c r="G1800" s="720"/>
      <c r="H1800" s="698"/>
      <c r="I1800" s="744"/>
      <c r="J1800" s="879"/>
      <c r="K1800" s="698"/>
      <c r="L1800" s="704"/>
      <c r="M1800" s="698">
        <f>543500+40531</f>
        <v>584031</v>
      </c>
      <c r="N1800" s="698">
        <v>584031</v>
      </c>
      <c r="O1800" s="744">
        <f t="shared" si="220"/>
        <v>100</v>
      </c>
      <c r="P1800" s="698"/>
      <c r="Q1800" s="698"/>
      <c r="R1800" s="766"/>
      <c r="S1800" s="682"/>
      <c r="T1800" s="682"/>
    </row>
    <row r="1801" spans="1:20" s="756" customFormat="1" ht="54.75" customHeight="1" thickBot="1">
      <c r="A1801" s="764">
        <v>4740</v>
      </c>
      <c r="B1801" s="828" t="s">
        <v>235</v>
      </c>
      <c r="C1801" s="720">
        <v>500</v>
      </c>
      <c r="D1801" s="698">
        <f t="shared" si="216"/>
        <v>500</v>
      </c>
      <c r="E1801" s="698">
        <f>H1801+K1801+Q1801+N1801</f>
        <v>500</v>
      </c>
      <c r="F1801" s="699">
        <f>E1801/D1801*100</f>
        <v>100</v>
      </c>
      <c r="G1801" s="720"/>
      <c r="H1801" s="698"/>
      <c r="I1801" s="744"/>
      <c r="J1801" s="879"/>
      <c r="K1801" s="698"/>
      <c r="L1801" s="704"/>
      <c r="M1801" s="698">
        <v>500</v>
      </c>
      <c r="N1801" s="698">
        <v>500</v>
      </c>
      <c r="O1801" s="744">
        <f t="shared" si="220"/>
        <v>100</v>
      </c>
      <c r="P1801" s="698"/>
      <c r="Q1801" s="698"/>
      <c r="R1801" s="766"/>
      <c r="S1801" s="682"/>
      <c r="T1801" s="682"/>
    </row>
    <row r="1802" spans="1:20" s="756" customFormat="1" ht="36.75" hidden="1" thickBot="1">
      <c r="A1802" s="764">
        <v>6050</v>
      </c>
      <c r="B1802" s="768" t="s">
        <v>246</v>
      </c>
      <c r="C1802" s="720"/>
      <c r="D1802" s="698">
        <f t="shared" si="216"/>
        <v>0</v>
      </c>
      <c r="E1802" s="698">
        <f t="shared" si="221"/>
        <v>0</v>
      </c>
      <c r="F1802" s="699" t="e">
        <f t="shared" si="218"/>
        <v>#DIV/0!</v>
      </c>
      <c r="G1802" s="720"/>
      <c r="H1802" s="698"/>
      <c r="I1802" s="702"/>
      <c r="J1802" s="879"/>
      <c r="K1802" s="698"/>
      <c r="L1802" s="704"/>
      <c r="M1802" s="698"/>
      <c r="N1802" s="698"/>
      <c r="O1802" s="744" t="e">
        <f t="shared" si="220"/>
        <v>#DIV/0!</v>
      </c>
      <c r="P1802" s="698"/>
      <c r="Q1802" s="698"/>
      <c r="R1802" s="766"/>
      <c r="S1802" s="682"/>
      <c r="T1802" s="682"/>
    </row>
    <row r="1803" spans="1:20" s="756" customFormat="1" ht="49.5" thickBot="1" thickTop="1">
      <c r="A1803" s="749">
        <v>900</v>
      </c>
      <c r="B1803" s="750" t="s">
        <v>860</v>
      </c>
      <c r="C1803" s="751">
        <f>C1821+C1826+C1835+C1841+C1830+C1804</f>
        <v>20804700</v>
      </c>
      <c r="D1803" s="674">
        <f t="shared" si="216"/>
        <v>27324800</v>
      </c>
      <c r="E1803" s="674">
        <f>H1803+K1803+Q1803+N1803</f>
        <v>24023036</v>
      </c>
      <c r="F1803" s="675">
        <f t="shared" si="218"/>
        <v>87.9166032322286</v>
      </c>
      <c r="G1803" s="751">
        <f>G1821+G1826+G1835+G1841+G1830+G1804+G1819</f>
        <v>21736360</v>
      </c>
      <c r="H1803" s="674">
        <f>H1821+H1826+H1835+H1841+H1830+H1804+H1819</f>
        <v>18443211</v>
      </c>
      <c r="I1803" s="752">
        <f aca="true" t="shared" si="222" ref="I1803:I1866">H1803/G1803*100</f>
        <v>84.84958383096341</v>
      </c>
      <c r="J1803" s="674"/>
      <c r="K1803" s="674"/>
      <c r="L1803" s="772"/>
      <c r="M1803" s="674">
        <f>M1821+M1826+M1835+M1841+M1830+M1804</f>
        <v>5588440</v>
      </c>
      <c r="N1803" s="674">
        <f>N1821+N1826+N1835+N1841+N1830+N1804</f>
        <v>5579825</v>
      </c>
      <c r="O1803" s="752">
        <f>N1803/M1803*100</f>
        <v>99.84584248913829</v>
      </c>
      <c r="P1803" s="674"/>
      <c r="Q1803" s="674"/>
      <c r="R1803" s="754"/>
      <c r="S1803" s="682"/>
      <c r="T1803" s="682"/>
    </row>
    <row r="1804" spans="1:20" s="756" customFormat="1" ht="36" customHeight="1" thickTop="1">
      <c r="A1804" s="757">
        <v>90001</v>
      </c>
      <c r="B1804" s="852" t="s">
        <v>861</v>
      </c>
      <c r="C1804" s="725">
        <f>SUM(C1805:C1809)</f>
        <v>8146000</v>
      </c>
      <c r="D1804" s="759">
        <f t="shared" si="216"/>
        <v>11567275</v>
      </c>
      <c r="E1804" s="759">
        <f>H1804+K1804+Q1804+N1804</f>
        <v>10586163</v>
      </c>
      <c r="F1804" s="760">
        <f t="shared" si="218"/>
        <v>91.5182097771515</v>
      </c>
      <c r="G1804" s="725">
        <f>SUM(G1805:G1810)</f>
        <v>10157275</v>
      </c>
      <c r="H1804" s="712">
        <f>SUM(H1805:H1810)</f>
        <v>9176163</v>
      </c>
      <c r="I1804" s="978">
        <f t="shared" si="222"/>
        <v>90.34079514436696</v>
      </c>
      <c r="J1804" s="717"/>
      <c r="K1804" s="712"/>
      <c r="L1804" s="796"/>
      <c r="M1804" s="712">
        <f>SUM(M1805:M1809)</f>
        <v>1410000</v>
      </c>
      <c r="N1804" s="712">
        <f>SUM(N1805:N1809)</f>
        <v>1410000</v>
      </c>
      <c r="O1804" s="761">
        <f>N1804/M1804*100</f>
        <v>100</v>
      </c>
      <c r="P1804" s="712"/>
      <c r="Q1804" s="712"/>
      <c r="R1804" s="762"/>
      <c r="S1804" s="682"/>
      <c r="T1804" s="682"/>
    </row>
    <row r="1805" spans="1:18" ht="18.75" customHeight="1">
      <c r="A1805" s="764">
        <v>4300</v>
      </c>
      <c r="B1805" s="785" t="s">
        <v>219</v>
      </c>
      <c r="C1805" s="723">
        <v>1546000</v>
      </c>
      <c r="D1805" s="698">
        <f t="shared" si="216"/>
        <v>3184435</v>
      </c>
      <c r="E1805" s="698">
        <f>SUM(H1805+K1805+N1805+Q1805)</f>
        <v>3184435</v>
      </c>
      <c r="F1805" s="699">
        <f t="shared" si="218"/>
        <v>100</v>
      </c>
      <c r="G1805" s="723">
        <f>872000+864000+38435</f>
        <v>1774435</v>
      </c>
      <c r="H1805" s="698">
        <v>1774435</v>
      </c>
      <c r="I1805" s="744">
        <f t="shared" si="222"/>
        <v>100</v>
      </c>
      <c r="J1805" s="735"/>
      <c r="K1805" s="698"/>
      <c r="L1805" s="702"/>
      <c r="M1805" s="698">
        <f>674000+736000</f>
        <v>1410000</v>
      </c>
      <c r="N1805" s="698">
        <v>1410000</v>
      </c>
      <c r="O1805" s="744">
        <f>N1805/M1805*100</f>
        <v>100</v>
      </c>
      <c r="P1805" s="698"/>
      <c r="Q1805" s="698"/>
      <c r="R1805" s="766"/>
    </row>
    <row r="1806" spans="1:18" ht="16.5" customHeight="1">
      <c r="A1806" s="764">
        <v>4270</v>
      </c>
      <c r="B1806" s="768" t="s">
        <v>217</v>
      </c>
      <c r="C1806" s="720"/>
      <c r="D1806" s="698">
        <f t="shared" si="216"/>
        <v>30000</v>
      </c>
      <c r="E1806" s="698">
        <f>SUM(H1806+K1806+N1806+Q1806)</f>
        <v>30000</v>
      </c>
      <c r="F1806" s="699">
        <f>E1806/D1806*100</f>
        <v>100</v>
      </c>
      <c r="G1806" s="720">
        <v>30000</v>
      </c>
      <c r="H1806" s="698">
        <v>30000</v>
      </c>
      <c r="I1806" s="744">
        <f t="shared" si="222"/>
        <v>100</v>
      </c>
      <c r="J1806" s="703"/>
      <c r="K1806" s="698"/>
      <c r="L1806" s="702"/>
      <c r="M1806" s="698"/>
      <c r="N1806" s="698"/>
      <c r="O1806" s="744"/>
      <c r="P1806" s="698"/>
      <c r="Q1806" s="698"/>
      <c r="R1806" s="766"/>
    </row>
    <row r="1807" spans="1:18" ht="17.25" customHeight="1" hidden="1">
      <c r="A1807" s="764">
        <v>4430</v>
      </c>
      <c r="B1807" s="768" t="s">
        <v>221</v>
      </c>
      <c r="C1807" s="720"/>
      <c r="D1807" s="698">
        <f t="shared" si="216"/>
        <v>0</v>
      </c>
      <c r="E1807" s="698">
        <f>SUM(H1807+K1807+N1807+Q1807)</f>
        <v>0</v>
      </c>
      <c r="F1807" s="699" t="e">
        <f t="shared" si="218"/>
        <v>#DIV/0!</v>
      </c>
      <c r="G1807" s="720"/>
      <c r="H1807" s="698"/>
      <c r="I1807" s="744" t="e">
        <f t="shared" si="222"/>
        <v>#DIV/0!</v>
      </c>
      <c r="J1807" s="703"/>
      <c r="K1807" s="698"/>
      <c r="L1807" s="702"/>
      <c r="M1807" s="698"/>
      <c r="N1807" s="698"/>
      <c r="O1807" s="744"/>
      <c r="P1807" s="698"/>
      <c r="Q1807" s="698"/>
      <c r="R1807" s="766"/>
    </row>
    <row r="1808" spans="1:18" ht="36.75" customHeight="1">
      <c r="A1808" s="764">
        <v>4390</v>
      </c>
      <c r="B1808" s="768" t="s">
        <v>243</v>
      </c>
      <c r="C1808" s="720"/>
      <c r="D1808" s="698">
        <f t="shared" si="216"/>
        <v>179340</v>
      </c>
      <c r="E1808" s="698">
        <f>SUM(H1808+K1808+N1808+Q1808)</f>
        <v>179340</v>
      </c>
      <c r="F1808" s="699">
        <f t="shared" si="218"/>
        <v>100</v>
      </c>
      <c r="G1808" s="720">
        <v>179340</v>
      </c>
      <c r="H1808" s="698">
        <v>179340</v>
      </c>
      <c r="I1808" s="744">
        <f t="shared" si="222"/>
        <v>100</v>
      </c>
      <c r="J1808" s="703"/>
      <c r="K1808" s="698"/>
      <c r="L1808" s="702"/>
      <c r="M1808" s="698"/>
      <c r="N1808" s="698"/>
      <c r="O1808" s="744"/>
      <c r="P1808" s="698"/>
      <c r="Q1808" s="698"/>
      <c r="R1808" s="766"/>
    </row>
    <row r="1809" spans="1:18" ht="27.75" customHeight="1">
      <c r="A1809" s="956">
        <v>6050</v>
      </c>
      <c r="B1809" s="768" t="s">
        <v>275</v>
      </c>
      <c r="C1809" s="720">
        <v>6600000</v>
      </c>
      <c r="D1809" s="698">
        <f t="shared" si="216"/>
        <v>7954600</v>
      </c>
      <c r="E1809" s="698">
        <f>SUM(H1809+K1809+N1809+Q1809)</f>
        <v>7183034</v>
      </c>
      <c r="F1809" s="699">
        <f t="shared" si="218"/>
        <v>90.30037965453951</v>
      </c>
      <c r="G1809" s="720">
        <f>6600000+1500000-1060000+560000-250000-70000+1000000-37000-1330000+555000+343500-45200-3000-2100+193400</f>
        <v>7954600</v>
      </c>
      <c r="H1809" s="698">
        <f>7193404-10370</f>
        <v>7183034</v>
      </c>
      <c r="I1809" s="744">
        <f t="shared" si="222"/>
        <v>90.30037965453951</v>
      </c>
      <c r="J1809" s="703"/>
      <c r="K1809" s="698"/>
      <c r="L1809" s="702"/>
      <c r="M1809" s="698"/>
      <c r="N1809" s="698"/>
      <c r="O1809" s="744"/>
      <c r="P1809" s="698"/>
      <c r="Q1809" s="698"/>
      <c r="R1809" s="766"/>
    </row>
    <row r="1810" spans="1:20" s="756" customFormat="1" ht="75.75" customHeight="1">
      <c r="A1810" s="1042"/>
      <c r="B1810" s="1043" t="s">
        <v>479</v>
      </c>
      <c r="C1810" s="776"/>
      <c r="D1810" s="777">
        <f t="shared" si="216"/>
        <v>218900</v>
      </c>
      <c r="E1810" s="777">
        <f aca="true" t="shared" si="223" ref="E1810:E1820">SUM(H1810+K1810+N1810+Q1810)</f>
        <v>9354</v>
      </c>
      <c r="F1810" s="1044">
        <f t="shared" si="218"/>
        <v>4.2731841023298305</v>
      </c>
      <c r="G1810" s="776">
        <f>SUM(G1811:G1818)</f>
        <v>218900</v>
      </c>
      <c r="H1810" s="1045">
        <f>SUM(H1811:H1818)</f>
        <v>9354</v>
      </c>
      <c r="I1810" s="1046">
        <f t="shared" si="222"/>
        <v>4.2731841023298305</v>
      </c>
      <c r="J1810" s="778"/>
      <c r="K1810" s="777"/>
      <c r="L1810" s="907"/>
      <c r="M1810" s="777"/>
      <c r="N1810" s="777"/>
      <c r="O1810" s="907"/>
      <c r="P1810" s="777"/>
      <c r="Q1810" s="777"/>
      <c r="R1810" s="906"/>
      <c r="S1810" s="682"/>
      <c r="T1810" s="682"/>
    </row>
    <row r="1811" spans="1:18" ht="25.5" customHeight="1" hidden="1">
      <c r="A1811" s="956">
        <v>4010</v>
      </c>
      <c r="B1811" s="934" t="s">
        <v>201</v>
      </c>
      <c r="C1811" s="720"/>
      <c r="D1811" s="698">
        <f t="shared" si="216"/>
        <v>0</v>
      </c>
      <c r="E1811" s="698">
        <f t="shared" si="223"/>
        <v>0</v>
      </c>
      <c r="F1811" s="863" t="e">
        <f t="shared" si="218"/>
        <v>#DIV/0!</v>
      </c>
      <c r="G1811" s="720">
        <f>10535-10535</f>
        <v>0</v>
      </c>
      <c r="H1811" s="1047"/>
      <c r="I1811" s="966" t="e">
        <f t="shared" si="222"/>
        <v>#DIV/0!</v>
      </c>
      <c r="J1811" s="703"/>
      <c r="K1811" s="698"/>
      <c r="L1811" s="809"/>
      <c r="M1811" s="698"/>
      <c r="N1811" s="698"/>
      <c r="O1811" s="809"/>
      <c r="P1811" s="698"/>
      <c r="Q1811" s="698"/>
      <c r="R1811" s="766"/>
    </row>
    <row r="1812" spans="1:18" ht="36" hidden="1">
      <c r="A1812" s="956">
        <v>4110</v>
      </c>
      <c r="B1812" s="934" t="s">
        <v>207</v>
      </c>
      <c r="C1812" s="720"/>
      <c r="D1812" s="698">
        <f t="shared" si="216"/>
        <v>0</v>
      </c>
      <c r="E1812" s="698">
        <f t="shared" si="223"/>
        <v>0</v>
      </c>
      <c r="F1812" s="863" t="e">
        <f t="shared" si="218"/>
        <v>#DIV/0!</v>
      </c>
      <c r="G1812" s="720">
        <f>1605-1605</f>
        <v>0</v>
      </c>
      <c r="H1812" s="1047"/>
      <c r="I1812" s="966" t="e">
        <f t="shared" si="222"/>
        <v>#DIV/0!</v>
      </c>
      <c r="J1812" s="703"/>
      <c r="K1812" s="698"/>
      <c r="L1812" s="809"/>
      <c r="M1812" s="698"/>
      <c r="N1812" s="698"/>
      <c r="O1812" s="809"/>
      <c r="P1812" s="698"/>
      <c r="Q1812" s="698"/>
      <c r="R1812" s="766"/>
    </row>
    <row r="1813" spans="1:18" ht="12.75" hidden="1">
      <c r="A1813" s="956">
        <v>4120</v>
      </c>
      <c r="B1813" s="934" t="s">
        <v>584</v>
      </c>
      <c r="C1813" s="720"/>
      <c r="D1813" s="698">
        <f t="shared" si="216"/>
        <v>0</v>
      </c>
      <c r="E1813" s="698">
        <f t="shared" si="223"/>
        <v>0</v>
      </c>
      <c r="F1813" s="863" t="e">
        <f t="shared" si="218"/>
        <v>#DIV/0!</v>
      </c>
      <c r="G1813" s="720">
        <f>260-260</f>
        <v>0</v>
      </c>
      <c r="H1813" s="1047"/>
      <c r="I1813" s="966" t="e">
        <f t="shared" si="222"/>
        <v>#DIV/0!</v>
      </c>
      <c r="J1813" s="703"/>
      <c r="K1813" s="698"/>
      <c r="L1813" s="809"/>
      <c r="M1813" s="698"/>
      <c r="N1813" s="698"/>
      <c r="O1813" s="809"/>
      <c r="P1813" s="698"/>
      <c r="Q1813" s="698"/>
      <c r="R1813" s="766"/>
    </row>
    <row r="1814" spans="1:18" ht="24" hidden="1">
      <c r="A1814" s="764">
        <v>4210</v>
      </c>
      <c r="B1814" s="934" t="s">
        <v>211</v>
      </c>
      <c r="C1814" s="720"/>
      <c r="D1814" s="698">
        <f t="shared" si="216"/>
        <v>0</v>
      </c>
      <c r="E1814" s="698">
        <f t="shared" si="223"/>
        <v>0</v>
      </c>
      <c r="F1814" s="863" t="e">
        <f t="shared" si="218"/>
        <v>#DIV/0!</v>
      </c>
      <c r="G1814" s="720">
        <f>900-900</f>
        <v>0</v>
      </c>
      <c r="H1814" s="698"/>
      <c r="I1814" s="966" t="e">
        <f t="shared" si="222"/>
        <v>#DIV/0!</v>
      </c>
      <c r="J1814" s="703"/>
      <c r="K1814" s="698"/>
      <c r="L1814" s="809"/>
      <c r="M1814" s="698"/>
      <c r="N1814" s="698"/>
      <c r="O1814" s="809"/>
      <c r="P1814" s="698"/>
      <c r="Q1814" s="698"/>
      <c r="R1814" s="770"/>
    </row>
    <row r="1815" spans="1:18" ht="18" customHeight="1" hidden="1">
      <c r="A1815" s="764">
        <v>4300</v>
      </c>
      <c r="B1815" s="934" t="s">
        <v>219</v>
      </c>
      <c r="C1815" s="720"/>
      <c r="D1815" s="698">
        <f t="shared" si="216"/>
        <v>0</v>
      </c>
      <c r="E1815" s="698">
        <f t="shared" si="223"/>
        <v>0</v>
      </c>
      <c r="F1815" s="863" t="e">
        <f t="shared" si="218"/>
        <v>#DIV/0!</v>
      </c>
      <c r="G1815" s="720">
        <f>204000-204000</f>
        <v>0</v>
      </c>
      <c r="H1815" s="698"/>
      <c r="I1815" s="966" t="e">
        <f t="shared" si="222"/>
        <v>#DIV/0!</v>
      </c>
      <c r="J1815" s="703"/>
      <c r="K1815" s="698"/>
      <c r="L1815" s="809"/>
      <c r="M1815" s="698"/>
      <c r="N1815" s="698"/>
      <c r="O1815" s="809"/>
      <c r="P1815" s="698"/>
      <c r="Q1815" s="698"/>
      <c r="R1815" s="770"/>
    </row>
    <row r="1816" spans="1:18" ht="48" hidden="1">
      <c r="A1816" s="764">
        <v>4360</v>
      </c>
      <c r="B1816" s="828" t="s">
        <v>682</v>
      </c>
      <c r="C1816" s="720"/>
      <c r="D1816" s="698">
        <f t="shared" si="216"/>
        <v>0</v>
      </c>
      <c r="E1816" s="698">
        <f t="shared" si="223"/>
        <v>0</v>
      </c>
      <c r="F1816" s="863" t="e">
        <f t="shared" si="218"/>
        <v>#DIV/0!</v>
      </c>
      <c r="G1816" s="720">
        <f>600-600</f>
        <v>0</v>
      </c>
      <c r="H1816" s="698"/>
      <c r="I1816" s="966" t="e">
        <f t="shared" si="222"/>
        <v>#DIV/0!</v>
      </c>
      <c r="J1816" s="703"/>
      <c r="K1816" s="698"/>
      <c r="L1816" s="809"/>
      <c r="M1816" s="698"/>
      <c r="N1816" s="698"/>
      <c r="O1816" s="809"/>
      <c r="P1816" s="698"/>
      <c r="Q1816" s="698"/>
      <c r="R1816" s="770"/>
    </row>
    <row r="1817" spans="1:18" ht="33.75" customHeight="1">
      <c r="A1817" s="956">
        <v>6050</v>
      </c>
      <c r="B1817" s="768" t="s">
        <v>275</v>
      </c>
      <c r="C1817" s="720"/>
      <c r="D1817" s="698">
        <f>G1817+J1817+P1817+M1817</f>
        <v>218900</v>
      </c>
      <c r="E1817" s="698">
        <f>SUM(H1817+K1817+N1817+Q1817)</f>
        <v>9354</v>
      </c>
      <c r="F1817" s="863">
        <f>E1817/D1817*100</f>
        <v>4.2731841023298305</v>
      </c>
      <c r="G1817" s="720">
        <v>218900</v>
      </c>
      <c r="H1817" s="698">
        <v>9354</v>
      </c>
      <c r="I1817" s="966">
        <f t="shared" si="222"/>
        <v>4.2731841023298305</v>
      </c>
      <c r="J1817" s="703"/>
      <c r="K1817" s="698"/>
      <c r="L1817" s="809"/>
      <c r="M1817" s="698"/>
      <c r="N1817" s="698"/>
      <c r="O1817" s="809"/>
      <c r="P1817" s="698"/>
      <c r="Q1817" s="698"/>
      <c r="R1817" s="770"/>
    </row>
    <row r="1818" spans="1:18" ht="60" customHeight="1" hidden="1" thickTop="1">
      <c r="A1818" s="764">
        <v>4400</v>
      </c>
      <c r="B1818" s="1048" t="s">
        <v>480</v>
      </c>
      <c r="C1818" s="720"/>
      <c r="D1818" s="698">
        <f t="shared" si="216"/>
        <v>0</v>
      </c>
      <c r="E1818" s="698">
        <f t="shared" si="223"/>
        <v>0</v>
      </c>
      <c r="F1818" s="863" t="e">
        <f t="shared" si="218"/>
        <v>#DIV/0!</v>
      </c>
      <c r="G1818" s="720">
        <f>1000-1000</f>
        <v>0</v>
      </c>
      <c r="H1818" s="698"/>
      <c r="I1818" s="966" t="e">
        <f t="shared" si="222"/>
        <v>#DIV/0!</v>
      </c>
      <c r="J1818" s="703"/>
      <c r="K1818" s="698"/>
      <c r="L1818" s="809"/>
      <c r="M1818" s="698"/>
      <c r="N1818" s="698"/>
      <c r="O1818" s="809"/>
      <c r="P1818" s="698"/>
      <c r="Q1818" s="698"/>
      <c r="R1818" s="770"/>
    </row>
    <row r="1819" spans="1:20" s="818" customFormat="1" ht="19.5" customHeight="1">
      <c r="A1819" s="757">
        <v>90002</v>
      </c>
      <c r="B1819" s="1049" t="s">
        <v>481</v>
      </c>
      <c r="C1819" s="725"/>
      <c r="D1819" s="712">
        <f t="shared" si="216"/>
        <v>500000</v>
      </c>
      <c r="E1819" s="712">
        <f t="shared" si="223"/>
        <v>0</v>
      </c>
      <c r="F1819" s="726">
        <f t="shared" si="218"/>
        <v>0</v>
      </c>
      <c r="G1819" s="717">
        <f>SUM(G1820)</f>
        <v>500000</v>
      </c>
      <c r="H1819" s="717">
        <f>SUM(H1820)</f>
        <v>0</v>
      </c>
      <c r="I1819" s="741">
        <f t="shared" si="222"/>
        <v>0</v>
      </c>
      <c r="J1819" s="717"/>
      <c r="K1819" s="712"/>
      <c r="L1819" s="926"/>
      <c r="M1819" s="712"/>
      <c r="N1819" s="712"/>
      <c r="O1819" s="926"/>
      <c r="P1819" s="712"/>
      <c r="Q1819" s="712"/>
      <c r="R1819" s="802"/>
      <c r="S1819" s="817"/>
      <c r="T1819" s="817"/>
    </row>
    <row r="1820" spans="1:20" s="818" customFormat="1" ht="105" customHeight="1">
      <c r="A1820" s="764">
        <v>6050</v>
      </c>
      <c r="B1820" s="768" t="s">
        <v>482</v>
      </c>
      <c r="C1820" s="720"/>
      <c r="D1820" s="698">
        <f t="shared" si="216"/>
        <v>500000</v>
      </c>
      <c r="E1820" s="698">
        <f t="shared" si="223"/>
        <v>0</v>
      </c>
      <c r="F1820" s="699">
        <f t="shared" si="218"/>
        <v>0</v>
      </c>
      <c r="G1820" s="793">
        <v>500000</v>
      </c>
      <c r="H1820" s="824"/>
      <c r="I1820" s="744">
        <f t="shared" si="222"/>
        <v>0</v>
      </c>
      <c r="J1820" s="815"/>
      <c r="K1820" s="814"/>
      <c r="L1820" s="702"/>
      <c r="M1820" s="814"/>
      <c r="N1820" s="814"/>
      <c r="O1820" s="702"/>
      <c r="P1820" s="814"/>
      <c r="Q1820" s="814"/>
      <c r="R1820" s="831"/>
      <c r="S1820" s="817"/>
      <c r="T1820" s="817"/>
    </row>
    <row r="1821" spans="1:20" s="756" customFormat="1" ht="21" customHeight="1">
      <c r="A1821" s="757">
        <v>90003</v>
      </c>
      <c r="B1821" s="852" t="s">
        <v>862</v>
      </c>
      <c r="C1821" s="725">
        <f>SUM(C1822:C1825)</f>
        <v>3310000</v>
      </c>
      <c r="D1821" s="712">
        <f t="shared" si="216"/>
        <v>3710065</v>
      </c>
      <c r="E1821" s="712">
        <f>H1821+K1821+Q1821+N1821</f>
        <v>3632165</v>
      </c>
      <c r="F1821" s="713">
        <f t="shared" si="218"/>
        <v>97.90030632886486</v>
      </c>
      <c r="G1821" s="712">
        <f>SUM(G1822:G1825)</f>
        <v>1960065</v>
      </c>
      <c r="H1821" s="717">
        <f>SUM(H1822:H1825)</f>
        <v>1882183</v>
      </c>
      <c r="I1821" s="741">
        <f t="shared" si="222"/>
        <v>96.02656034366207</v>
      </c>
      <c r="J1821" s="717"/>
      <c r="K1821" s="712"/>
      <c r="L1821" s="719"/>
      <c r="M1821" s="712">
        <f>SUM(M1822:M1825)</f>
        <v>1750000</v>
      </c>
      <c r="N1821" s="712">
        <f>SUM(N1822:N1825)</f>
        <v>1749982</v>
      </c>
      <c r="O1821" s="741">
        <f aca="true" t="shared" si="224" ref="O1821:O1827">N1821/M1821*100</f>
        <v>99.99897142857142</v>
      </c>
      <c r="P1821" s="712"/>
      <c r="Q1821" s="712"/>
      <c r="R1821" s="846"/>
      <c r="S1821" s="682"/>
      <c r="T1821" s="682"/>
    </row>
    <row r="1822" spans="1:18" ht="24" hidden="1">
      <c r="A1822" s="784">
        <v>4210</v>
      </c>
      <c r="B1822" s="785" t="s">
        <v>211</v>
      </c>
      <c r="C1822" s="723"/>
      <c r="D1822" s="698">
        <f t="shared" si="216"/>
        <v>0</v>
      </c>
      <c r="E1822" s="698">
        <f>H1822+K1822+Q1822+N1822</f>
        <v>0</v>
      </c>
      <c r="F1822" s="699" t="e">
        <f>E1822/D1822*100</f>
        <v>#DIV/0!</v>
      </c>
      <c r="G1822" s="732"/>
      <c r="H1822" s="735"/>
      <c r="I1822" s="786"/>
      <c r="J1822" s="735"/>
      <c r="K1822" s="732"/>
      <c r="L1822" s="707"/>
      <c r="M1822" s="732"/>
      <c r="N1822" s="732"/>
      <c r="O1822" s="744" t="e">
        <f t="shared" si="224"/>
        <v>#DIV/0!</v>
      </c>
      <c r="P1822" s="732"/>
      <c r="Q1822" s="732"/>
      <c r="R1822" s="788"/>
    </row>
    <row r="1823" spans="1:18" ht="24">
      <c r="A1823" s="764">
        <v>4270</v>
      </c>
      <c r="B1823" s="768" t="s">
        <v>217</v>
      </c>
      <c r="C1823" s="720">
        <v>70000</v>
      </c>
      <c r="D1823" s="698">
        <f t="shared" si="216"/>
        <v>60720</v>
      </c>
      <c r="E1823" s="698">
        <f t="shared" si="216"/>
        <v>60719</v>
      </c>
      <c r="F1823" s="699">
        <f>E1823/D1823*100</f>
        <v>99.99835309617919</v>
      </c>
      <c r="G1823" s="698"/>
      <c r="H1823" s="703"/>
      <c r="I1823" s="702"/>
      <c r="J1823" s="703"/>
      <c r="K1823" s="698"/>
      <c r="L1823" s="702"/>
      <c r="M1823" s="698">
        <f>70000-9280</f>
        <v>60720</v>
      </c>
      <c r="N1823" s="698">
        <f>60719+1-1</f>
        <v>60719</v>
      </c>
      <c r="O1823" s="744">
        <f t="shared" si="224"/>
        <v>99.99835309617919</v>
      </c>
      <c r="P1823" s="698"/>
      <c r="Q1823" s="698"/>
      <c r="R1823" s="770"/>
    </row>
    <row r="1824" spans="1:18" ht="36">
      <c r="A1824" s="764">
        <v>4300</v>
      </c>
      <c r="B1824" s="768" t="s">
        <v>483</v>
      </c>
      <c r="C1824" s="720"/>
      <c r="D1824" s="698">
        <f aca="true" t="shared" si="225" ref="D1824:E1839">G1824+J1824+P1824+M1824</f>
        <v>300000</v>
      </c>
      <c r="E1824" s="698">
        <f t="shared" si="225"/>
        <v>244232</v>
      </c>
      <c r="F1824" s="699">
        <f>E1824/D1824*100</f>
        <v>81.41066666666667</v>
      </c>
      <c r="G1824" s="698">
        <v>300000</v>
      </c>
      <c r="H1824" s="703">
        <v>244232</v>
      </c>
      <c r="I1824" s="744">
        <f t="shared" si="222"/>
        <v>81.41066666666667</v>
      </c>
      <c r="J1824" s="703"/>
      <c r="K1824" s="698"/>
      <c r="L1824" s="702"/>
      <c r="M1824" s="698"/>
      <c r="N1824" s="698"/>
      <c r="O1824" s="744"/>
      <c r="P1824" s="698"/>
      <c r="Q1824" s="698"/>
      <c r="R1824" s="770"/>
    </row>
    <row r="1825" spans="1:18" ht="16.5" customHeight="1">
      <c r="A1825" s="764">
        <v>4300</v>
      </c>
      <c r="B1825" s="768" t="s">
        <v>219</v>
      </c>
      <c r="C1825" s="720">
        <v>3240000</v>
      </c>
      <c r="D1825" s="698">
        <f t="shared" si="225"/>
        <v>3349345</v>
      </c>
      <c r="E1825" s="792">
        <f t="shared" si="225"/>
        <v>3327214</v>
      </c>
      <c r="F1825" s="699">
        <f t="shared" si="218"/>
        <v>99.33924394172593</v>
      </c>
      <c r="G1825" s="698">
        <f>1560000+150000-8000-3500-38435</f>
        <v>1660065</v>
      </c>
      <c r="H1825" s="703">
        <v>1637951</v>
      </c>
      <c r="I1825" s="744">
        <f t="shared" si="222"/>
        <v>98.66788348648998</v>
      </c>
      <c r="J1825" s="703"/>
      <c r="K1825" s="698"/>
      <c r="L1825" s="702"/>
      <c r="M1825" s="698">
        <f>1680000+9280</f>
        <v>1689280</v>
      </c>
      <c r="N1825" s="698">
        <v>1689263</v>
      </c>
      <c r="O1825" s="744">
        <f t="shared" si="224"/>
        <v>99.99899365410116</v>
      </c>
      <c r="P1825" s="698"/>
      <c r="Q1825" s="698"/>
      <c r="R1825" s="770"/>
    </row>
    <row r="1826" spans="1:20" s="756" customFormat="1" ht="28.5" customHeight="1">
      <c r="A1826" s="757">
        <v>90004</v>
      </c>
      <c r="B1826" s="852" t="s">
        <v>863</v>
      </c>
      <c r="C1826" s="725">
        <f>SUM(C1827:C1829)</f>
        <v>2106000</v>
      </c>
      <c r="D1826" s="712">
        <f t="shared" si="225"/>
        <v>2896000</v>
      </c>
      <c r="E1826" s="712">
        <f t="shared" si="225"/>
        <v>2874848</v>
      </c>
      <c r="F1826" s="713">
        <f t="shared" si="218"/>
        <v>99.2696132596685</v>
      </c>
      <c r="G1826" s="712">
        <f>SUM(G1827:G1829)</f>
        <v>1986000</v>
      </c>
      <c r="H1826" s="717">
        <f>SUM(H1827:H1829)</f>
        <v>1964855</v>
      </c>
      <c r="I1826" s="741">
        <f t="shared" si="222"/>
        <v>98.93529707955689</v>
      </c>
      <c r="J1826" s="717"/>
      <c r="K1826" s="712"/>
      <c r="L1826" s="719"/>
      <c r="M1826" s="712">
        <f>SUM(M1827:M1827)</f>
        <v>910000</v>
      </c>
      <c r="N1826" s="712">
        <f>SUM(N1827:N1827)</f>
        <v>909993</v>
      </c>
      <c r="O1826" s="741">
        <f t="shared" si="224"/>
        <v>99.99923076923078</v>
      </c>
      <c r="P1826" s="712"/>
      <c r="Q1826" s="712"/>
      <c r="R1826" s="846"/>
      <c r="S1826" s="682"/>
      <c r="T1826" s="682"/>
    </row>
    <row r="1827" spans="1:18" ht="16.5" customHeight="1">
      <c r="A1827" s="784">
        <v>4300</v>
      </c>
      <c r="B1827" s="785" t="s">
        <v>219</v>
      </c>
      <c r="C1827" s="723">
        <v>1900000</v>
      </c>
      <c r="D1827" s="732">
        <f t="shared" si="225"/>
        <v>2190000</v>
      </c>
      <c r="E1827" s="732">
        <f>SUM(H1827+K1827+N1827+Q1827)</f>
        <v>2188146</v>
      </c>
      <c r="F1827" s="721">
        <f t="shared" si="218"/>
        <v>99.91534246575343</v>
      </c>
      <c r="G1827" s="732">
        <f>1100000+120000+60000</f>
        <v>1280000</v>
      </c>
      <c r="H1827" s="735">
        <v>1278153</v>
      </c>
      <c r="I1827" s="786">
        <f t="shared" si="222"/>
        <v>99.85570312499999</v>
      </c>
      <c r="J1827" s="735"/>
      <c r="K1827" s="732"/>
      <c r="L1827" s="707"/>
      <c r="M1827" s="732">
        <f>800000+40000+70000</f>
        <v>910000</v>
      </c>
      <c r="N1827" s="732">
        <f>909992+1</f>
        <v>909993</v>
      </c>
      <c r="O1827" s="786">
        <f t="shared" si="224"/>
        <v>99.99923076923078</v>
      </c>
      <c r="P1827" s="732"/>
      <c r="Q1827" s="732"/>
      <c r="R1827" s="788"/>
    </row>
    <row r="1828" spans="1:18" ht="24">
      <c r="A1828" s="764">
        <v>4210</v>
      </c>
      <c r="B1828" s="768" t="s">
        <v>339</v>
      </c>
      <c r="C1828" s="720">
        <v>6000</v>
      </c>
      <c r="D1828" s="698">
        <f t="shared" si="225"/>
        <v>6000</v>
      </c>
      <c r="E1828" s="698">
        <f>SUM(H1828+K1828+N1828+Q1828)</f>
        <v>6000</v>
      </c>
      <c r="F1828" s="699">
        <f>E1828/D1828*100</f>
        <v>100</v>
      </c>
      <c r="G1828" s="698">
        <v>6000</v>
      </c>
      <c r="H1828" s="703">
        <v>6000</v>
      </c>
      <c r="I1828" s="744">
        <f t="shared" si="222"/>
        <v>100</v>
      </c>
      <c r="J1828" s="703"/>
      <c r="K1828" s="698"/>
      <c r="L1828" s="702"/>
      <c r="M1828" s="698"/>
      <c r="N1828" s="698"/>
      <c r="O1828" s="744"/>
      <c r="P1828" s="698"/>
      <c r="Q1828" s="698"/>
      <c r="R1828" s="770"/>
    </row>
    <row r="1829" spans="1:18" ht="36">
      <c r="A1829" s="956">
        <v>6050</v>
      </c>
      <c r="B1829" s="768" t="s">
        <v>275</v>
      </c>
      <c r="C1829" s="791">
        <v>200000</v>
      </c>
      <c r="D1829" s="792">
        <f t="shared" si="225"/>
        <v>700000</v>
      </c>
      <c r="E1829" s="698">
        <f>SUM(H1829+K1829+N1829+Q1829)</f>
        <v>680702</v>
      </c>
      <c r="F1829" s="699">
        <f t="shared" si="218"/>
        <v>97.24314285714286</v>
      </c>
      <c r="G1829" s="792">
        <f>200000+700000-200000</f>
        <v>700000</v>
      </c>
      <c r="H1829" s="793">
        <f>680702+1-1</f>
        <v>680702</v>
      </c>
      <c r="I1829" s="744">
        <f t="shared" si="222"/>
        <v>97.24314285714286</v>
      </c>
      <c r="J1829" s="793"/>
      <c r="K1829" s="792"/>
      <c r="L1829" s="796"/>
      <c r="M1829" s="792"/>
      <c r="N1829" s="792"/>
      <c r="O1829" s="796"/>
      <c r="P1829" s="792"/>
      <c r="Q1829" s="792"/>
      <c r="R1829" s="797"/>
    </row>
    <row r="1830" spans="1:20" s="756" customFormat="1" ht="18" customHeight="1">
      <c r="A1830" s="757">
        <v>90013</v>
      </c>
      <c r="B1830" s="852" t="s">
        <v>864</v>
      </c>
      <c r="C1830" s="725">
        <f>SUM(C1831:C1834)</f>
        <v>1025000</v>
      </c>
      <c r="D1830" s="712">
        <f t="shared" si="225"/>
        <v>1178300</v>
      </c>
      <c r="E1830" s="712">
        <f>H1830+K1830+Q1830+N1830</f>
        <v>926762</v>
      </c>
      <c r="F1830" s="713">
        <f t="shared" si="218"/>
        <v>78.65246541627768</v>
      </c>
      <c r="G1830" s="712">
        <f>SUM(G1831:G1834)</f>
        <v>1178300</v>
      </c>
      <c r="H1830" s="712">
        <f>SUM(H1831:H1834)</f>
        <v>926762</v>
      </c>
      <c r="I1830" s="741">
        <f t="shared" si="222"/>
        <v>78.65246541627768</v>
      </c>
      <c r="J1830" s="717"/>
      <c r="K1830" s="712"/>
      <c r="L1830" s="799"/>
      <c r="M1830" s="712"/>
      <c r="N1830" s="712"/>
      <c r="O1830" s="719"/>
      <c r="P1830" s="712"/>
      <c r="Q1830" s="712"/>
      <c r="R1830" s="846"/>
      <c r="S1830" s="682"/>
      <c r="T1830" s="682"/>
    </row>
    <row r="1831" spans="1:18" ht="65.25" customHeight="1">
      <c r="A1831" s="764">
        <v>2820</v>
      </c>
      <c r="B1831" s="768" t="s">
        <v>555</v>
      </c>
      <c r="C1831" s="720"/>
      <c r="D1831" s="698">
        <f t="shared" si="225"/>
        <v>285000</v>
      </c>
      <c r="E1831" s="698">
        <f>SUM(H1831+K1831+N1831+Q1831)</f>
        <v>283335</v>
      </c>
      <c r="F1831" s="699">
        <f t="shared" si="218"/>
        <v>99.41578947368421</v>
      </c>
      <c r="G1831" s="698">
        <f>300000-15000</f>
        <v>285000</v>
      </c>
      <c r="H1831" s="703">
        <f>285000-1665</f>
        <v>283335</v>
      </c>
      <c r="I1831" s="744">
        <f t="shared" si="222"/>
        <v>99.41578947368421</v>
      </c>
      <c r="J1831" s="703"/>
      <c r="K1831" s="698"/>
      <c r="L1831" s="702"/>
      <c r="M1831" s="698"/>
      <c r="N1831" s="698"/>
      <c r="O1831" s="702"/>
      <c r="P1831" s="698"/>
      <c r="Q1831" s="698"/>
      <c r="R1831" s="770"/>
    </row>
    <row r="1832" spans="1:18" ht="17.25" customHeight="1">
      <c r="A1832" s="764">
        <v>4270</v>
      </c>
      <c r="B1832" s="768" t="s">
        <v>217</v>
      </c>
      <c r="C1832" s="720">
        <v>25000</v>
      </c>
      <c r="D1832" s="698">
        <f t="shared" si="225"/>
        <v>0</v>
      </c>
      <c r="E1832" s="698">
        <f>SUM(H1832+K1832+N1832+Q1832)</f>
        <v>0</v>
      </c>
      <c r="F1832" s="699"/>
      <c r="G1832" s="698">
        <f>25000-25000</f>
        <v>0</v>
      </c>
      <c r="H1832" s="703"/>
      <c r="I1832" s="744"/>
      <c r="J1832" s="703"/>
      <c r="K1832" s="698"/>
      <c r="L1832" s="702"/>
      <c r="M1832" s="698"/>
      <c r="N1832" s="698"/>
      <c r="O1832" s="702"/>
      <c r="P1832" s="698"/>
      <c r="Q1832" s="698"/>
      <c r="R1832" s="770"/>
    </row>
    <row r="1833" spans="1:18" ht="30.75" customHeight="1">
      <c r="A1833" s="764">
        <v>4300</v>
      </c>
      <c r="B1833" s="768" t="s">
        <v>484</v>
      </c>
      <c r="C1833" s="720">
        <v>500000</v>
      </c>
      <c r="D1833" s="698">
        <f t="shared" si="225"/>
        <v>435600</v>
      </c>
      <c r="E1833" s="698">
        <f>SUM(H1833+K1833+N1833+Q1833)</f>
        <v>435532</v>
      </c>
      <c r="F1833" s="699">
        <f t="shared" si="218"/>
        <v>99.98438934802572</v>
      </c>
      <c r="G1833" s="698">
        <f>500000+150000-275000+57300+3300</f>
        <v>435600</v>
      </c>
      <c r="H1833" s="703">
        <v>435532</v>
      </c>
      <c r="I1833" s="744">
        <f t="shared" si="222"/>
        <v>99.98438934802572</v>
      </c>
      <c r="J1833" s="703"/>
      <c r="K1833" s="698"/>
      <c r="L1833" s="702"/>
      <c r="M1833" s="698"/>
      <c r="N1833" s="698"/>
      <c r="O1833" s="702"/>
      <c r="P1833" s="698"/>
      <c r="Q1833" s="698"/>
      <c r="R1833" s="770"/>
    </row>
    <row r="1834" spans="1:18" ht="40.5" customHeight="1">
      <c r="A1834" s="764">
        <v>6050</v>
      </c>
      <c r="B1834" s="768" t="s">
        <v>485</v>
      </c>
      <c r="C1834" s="720">
        <v>500000</v>
      </c>
      <c r="D1834" s="698">
        <f t="shared" si="225"/>
        <v>457700</v>
      </c>
      <c r="E1834" s="698">
        <f>H1834+K1834+Q1834+N1834</f>
        <v>207895</v>
      </c>
      <c r="F1834" s="699">
        <f t="shared" si="218"/>
        <v>45.4216735853179</v>
      </c>
      <c r="G1834" s="720">
        <f>500000-42300</f>
        <v>457700</v>
      </c>
      <c r="H1834" s="879">
        <v>207895</v>
      </c>
      <c r="I1834" s="744">
        <f t="shared" si="222"/>
        <v>45.4216735853179</v>
      </c>
      <c r="J1834" s="703"/>
      <c r="K1834" s="698"/>
      <c r="L1834" s="702"/>
      <c r="M1834" s="703"/>
      <c r="N1834" s="792"/>
      <c r="O1834" s="702"/>
      <c r="P1834" s="703"/>
      <c r="Q1834" s="698"/>
      <c r="R1834" s="770"/>
    </row>
    <row r="1835" spans="1:20" s="756" customFormat="1" ht="31.5" customHeight="1">
      <c r="A1835" s="757">
        <v>90015</v>
      </c>
      <c r="B1835" s="852" t="s">
        <v>865</v>
      </c>
      <c r="C1835" s="725">
        <f>SUM(C1836:C1840)</f>
        <v>3356000</v>
      </c>
      <c r="D1835" s="712">
        <f t="shared" si="225"/>
        <v>3806000</v>
      </c>
      <c r="E1835" s="712">
        <f>H1835+K1835+Q1835+N1835</f>
        <v>3796893</v>
      </c>
      <c r="F1835" s="713">
        <f t="shared" si="218"/>
        <v>99.76071991592222</v>
      </c>
      <c r="G1835" s="712">
        <f>SUM(G1836:G1840)</f>
        <v>2287560</v>
      </c>
      <c r="H1835" s="717">
        <f>SUM(H1836:H1840)</f>
        <v>2287043</v>
      </c>
      <c r="I1835" s="741">
        <f t="shared" si="222"/>
        <v>99.97739949990383</v>
      </c>
      <c r="J1835" s="717"/>
      <c r="K1835" s="712"/>
      <c r="L1835" s="719"/>
      <c r="M1835" s="712">
        <f>SUM(M1836:M1840)</f>
        <v>1518440</v>
      </c>
      <c r="N1835" s="759">
        <f>SUM(N1836:N1840)</f>
        <v>1509850</v>
      </c>
      <c r="O1835" s="741">
        <f>N1835/M1835*100</f>
        <v>99.43428782171175</v>
      </c>
      <c r="P1835" s="712"/>
      <c r="Q1835" s="712"/>
      <c r="R1835" s="846"/>
      <c r="S1835" s="682"/>
      <c r="T1835" s="682"/>
    </row>
    <row r="1836" spans="1:18" ht="15" customHeight="1">
      <c r="A1836" s="784">
        <v>4260</v>
      </c>
      <c r="B1836" s="1050" t="s">
        <v>215</v>
      </c>
      <c r="C1836" s="723">
        <v>1760000</v>
      </c>
      <c r="D1836" s="732">
        <f t="shared" si="225"/>
        <v>2053000</v>
      </c>
      <c r="E1836" s="732">
        <f aca="true" t="shared" si="226" ref="E1836:E1868">SUM(H1836+K1836+N1836+Q1836)</f>
        <v>2053000</v>
      </c>
      <c r="F1836" s="721">
        <f t="shared" si="218"/>
        <v>100</v>
      </c>
      <c r="G1836" s="732">
        <f>1029000+181660+90000</f>
        <v>1300660</v>
      </c>
      <c r="H1836" s="735">
        <v>1300660</v>
      </c>
      <c r="I1836" s="786">
        <f t="shared" si="222"/>
        <v>100</v>
      </c>
      <c r="J1836" s="735"/>
      <c r="K1836" s="732"/>
      <c r="L1836" s="707"/>
      <c r="M1836" s="732">
        <f>731000+111340-90000</f>
        <v>752340</v>
      </c>
      <c r="N1836" s="732">
        <v>752340</v>
      </c>
      <c r="O1836" s="744">
        <f>N1836/M1836*100</f>
        <v>100</v>
      </c>
      <c r="P1836" s="732"/>
      <c r="Q1836" s="732"/>
      <c r="R1836" s="788"/>
    </row>
    <row r="1837" spans="1:18" ht="17.25" customHeight="1">
      <c r="A1837" s="764">
        <v>4270</v>
      </c>
      <c r="B1837" s="768" t="s">
        <v>217</v>
      </c>
      <c r="C1837" s="720">
        <v>1266000</v>
      </c>
      <c r="D1837" s="698">
        <f t="shared" si="225"/>
        <v>1429700</v>
      </c>
      <c r="E1837" s="698">
        <f t="shared" si="226"/>
        <v>1429700</v>
      </c>
      <c r="F1837" s="699">
        <f t="shared" si="218"/>
        <v>100</v>
      </c>
      <c r="G1837" s="698">
        <f>782000-800-95500+89900+46000</f>
        <v>821600</v>
      </c>
      <c r="H1837" s="703">
        <v>821600</v>
      </c>
      <c r="I1837" s="744">
        <f t="shared" si="222"/>
        <v>100</v>
      </c>
      <c r="J1837" s="703"/>
      <c r="K1837" s="698"/>
      <c r="L1837" s="702"/>
      <c r="M1837" s="698">
        <f>484000+55100+69000</f>
        <v>608100</v>
      </c>
      <c r="N1837" s="698">
        <v>608100</v>
      </c>
      <c r="O1837" s="744">
        <f>N1837/M1837*100</f>
        <v>100</v>
      </c>
      <c r="P1837" s="698"/>
      <c r="Q1837" s="698"/>
      <c r="R1837" s="770"/>
    </row>
    <row r="1838" spans="1:18" ht="18" customHeight="1">
      <c r="A1838" s="764">
        <v>4300</v>
      </c>
      <c r="B1838" s="768" t="s">
        <v>219</v>
      </c>
      <c r="C1838" s="720"/>
      <c r="D1838" s="698">
        <f t="shared" si="225"/>
        <v>800</v>
      </c>
      <c r="E1838" s="698">
        <f t="shared" si="226"/>
        <v>469</v>
      </c>
      <c r="F1838" s="699">
        <f t="shared" si="218"/>
        <v>58.62500000000001</v>
      </c>
      <c r="G1838" s="698">
        <v>800</v>
      </c>
      <c r="H1838" s="703">
        <v>469</v>
      </c>
      <c r="I1838" s="744">
        <f t="shared" si="222"/>
        <v>58.62500000000001</v>
      </c>
      <c r="J1838" s="703"/>
      <c r="K1838" s="698"/>
      <c r="L1838" s="702"/>
      <c r="M1838" s="698"/>
      <c r="N1838" s="698"/>
      <c r="O1838" s="744"/>
      <c r="P1838" s="698"/>
      <c r="Q1838" s="698"/>
      <c r="R1838" s="770"/>
    </row>
    <row r="1839" spans="1:18" ht="39.75" customHeight="1">
      <c r="A1839" s="764">
        <v>4390</v>
      </c>
      <c r="B1839" s="768" t="s">
        <v>243</v>
      </c>
      <c r="C1839" s="720"/>
      <c r="D1839" s="698">
        <f t="shared" si="225"/>
        <v>62000</v>
      </c>
      <c r="E1839" s="698">
        <f>SUM(H1839+K1839+N1839+Q1839)</f>
        <v>62000</v>
      </c>
      <c r="F1839" s="699">
        <f>E1839/D1839*100</f>
        <v>100</v>
      </c>
      <c r="G1839" s="698"/>
      <c r="H1839" s="703"/>
      <c r="I1839" s="744"/>
      <c r="J1839" s="703"/>
      <c r="K1839" s="698"/>
      <c r="L1839" s="702"/>
      <c r="M1839" s="698">
        <v>62000</v>
      </c>
      <c r="N1839" s="698">
        <v>62000</v>
      </c>
      <c r="O1839" s="744">
        <f>N1839/M1839*100</f>
        <v>100</v>
      </c>
      <c r="P1839" s="698"/>
      <c r="Q1839" s="698"/>
      <c r="R1839" s="770"/>
    </row>
    <row r="1840" spans="1:18" ht="29.25" customHeight="1">
      <c r="A1840" s="789">
        <v>6050</v>
      </c>
      <c r="B1840" s="804" t="s">
        <v>275</v>
      </c>
      <c r="C1840" s="791">
        <v>330000</v>
      </c>
      <c r="D1840" s="792">
        <f aca="true" t="shared" si="227" ref="D1840:D1868">G1840+J1840+P1840+M1840</f>
        <v>260500</v>
      </c>
      <c r="E1840" s="792">
        <f t="shared" si="226"/>
        <v>251724</v>
      </c>
      <c r="F1840" s="760">
        <f t="shared" si="218"/>
        <v>96.63109404990404</v>
      </c>
      <c r="G1840" s="792">
        <f>190000-40000+95500-72000-10000+1000</f>
        <v>164500</v>
      </c>
      <c r="H1840" s="793">
        <v>164314</v>
      </c>
      <c r="I1840" s="744">
        <f t="shared" si="222"/>
        <v>99.8869300911854</v>
      </c>
      <c r="J1840" s="793"/>
      <c r="K1840" s="792"/>
      <c r="L1840" s="796"/>
      <c r="M1840" s="792">
        <f>140000-43000-1000</f>
        <v>96000</v>
      </c>
      <c r="N1840" s="792">
        <v>87410</v>
      </c>
      <c r="O1840" s="744">
        <f>N1840/M1840*100</f>
        <v>91.05208333333333</v>
      </c>
      <c r="P1840" s="792"/>
      <c r="Q1840" s="792"/>
      <c r="R1840" s="797"/>
    </row>
    <row r="1841" spans="1:18" ht="27.75" customHeight="1">
      <c r="A1841" s="757">
        <v>90095</v>
      </c>
      <c r="B1841" s="852" t="s">
        <v>233</v>
      </c>
      <c r="C1841" s="845">
        <f>SUM(C1842:C1856)</f>
        <v>2861700</v>
      </c>
      <c r="D1841" s="712">
        <f t="shared" si="227"/>
        <v>3667160</v>
      </c>
      <c r="E1841" s="712">
        <f t="shared" si="226"/>
        <v>2206205</v>
      </c>
      <c r="F1841" s="713">
        <f t="shared" si="218"/>
        <v>60.16113286575988</v>
      </c>
      <c r="G1841" s="712">
        <f>SUM(G1842:G1854)+G1856</f>
        <v>3667160</v>
      </c>
      <c r="H1841" s="712">
        <f>SUM(H1842:H1854)+H1856</f>
        <v>2206205</v>
      </c>
      <c r="I1841" s="741">
        <f t="shared" si="222"/>
        <v>60.16113286575988</v>
      </c>
      <c r="J1841" s="800"/>
      <c r="K1841" s="712"/>
      <c r="L1841" s="719"/>
      <c r="M1841" s="712"/>
      <c r="N1841" s="712"/>
      <c r="O1841" s="719"/>
      <c r="P1841" s="712"/>
      <c r="Q1841" s="712"/>
      <c r="R1841" s="762"/>
    </row>
    <row r="1842" spans="1:18" ht="33" customHeight="1">
      <c r="A1842" s="764">
        <v>4110</v>
      </c>
      <c r="B1842" s="768" t="s">
        <v>207</v>
      </c>
      <c r="C1842" s="1051"/>
      <c r="D1842" s="698">
        <f t="shared" si="227"/>
        <v>1215</v>
      </c>
      <c r="E1842" s="698">
        <f t="shared" si="226"/>
        <v>1211</v>
      </c>
      <c r="F1842" s="699">
        <f t="shared" si="218"/>
        <v>99.67078189300412</v>
      </c>
      <c r="G1842" s="1051">
        <f>910+305</f>
        <v>1215</v>
      </c>
      <c r="H1842" s="703">
        <v>1211</v>
      </c>
      <c r="I1842" s="744">
        <f>H1842/G1842*100</f>
        <v>99.67078189300412</v>
      </c>
      <c r="J1842" s="703"/>
      <c r="K1842" s="698"/>
      <c r="L1842" s="702"/>
      <c r="M1842" s="698"/>
      <c r="N1842" s="698"/>
      <c r="O1842" s="702"/>
      <c r="P1842" s="698"/>
      <c r="Q1842" s="698"/>
      <c r="R1842" s="770"/>
    </row>
    <row r="1843" spans="1:18" ht="12.75">
      <c r="A1843" s="764">
        <v>4120</v>
      </c>
      <c r="B1843" s="768" t="s">
        <v>584</v>
      </c>
      <c r="C1843" s="1051"/>
      <c r="D1843" s="698">
        <f t="shared" si="227"/>
        <v>200</v>
      </c>
      <c r="E1843" s="698">
        <f>SUM(H1843+K1843+N1843+Q1843)</f>
        <v>147</v>
      </c>
      <c r="F1843" s="699">
        <f t="shared" si="218"/>
        <v>73.5</v>
      </c>
      <c r="G1843" s="1051">
        <f>150+50</f>
        <v>200</v>
      </c>
      <c r="H1843" s="703">
        <v>147</v>
      </c>
      <c r="I1843" s="744">
        <f>H1843/G1843*100</f>
        <v>73.5</v>
      </c>
      <c r="J1843" s="703"/>
      <c r="K1843" s="698"/>
      <c r="L1843" s="702"/>
      <c r="M1843" s="698"/>
      <c r="N1843" s="698"/>
      <c r="O1843" s="702"/>
      <c r="P1843" s="698"/>
      <c r="Q1843" s="698"/>
      <c r="R1843" s="770"/>
    </row>
    <row r="1844" spans="1:18" ht="24">
      <c r="A1844" s="764">
        <v>4170</v>
      </c>
      <c r="B1844" s="768" t="s">
        <v>242</v>
      </c>
      <c r="C1844" s="1051"/>
      <c r="D1844" s="698">
        <f t="shared" si="227"/>
        <v>8020</v>
      </c>
      <c r="E1844" s="698">
        <f>SUM(H1844+K1844+N1844+Q1844)</f>
        <v>8020</v>
      </c>
      <c r="F1844" s="699">
        <f aca="true" t="shared" si="228" ref="F1844:F1906">E1844/D1844*100</f>
        <v>100</v>
      </c>
      <c r="G1844" s="1051">
        <f>6015+2005</f>
        <v>8020</v>
      </c>
      <c r="H1844" s="703">
        <v>8020</v>
      </c>
      <c r="I1844" s="744">
        <f>H1844/G1844*100</f>
        <v>100</v>
      </c>
      <c r="J1844" s="703"/>
      <c r="K1844" s="698"/>
      <c r="L1844" s="702"/>
      <c r="M1844" s="698"/>
      <c r="N1844" s="698"/>
      <c r="O1844" s="702"/>
      <c r="P1844" s="698"/>
      <c r="Q1844" s="698"/>
      <c r="R1844" s="770"/>
    </row>
    <row r="1845" spans="1:18" ht="24">
      <c r="A1845" s="764">
        <v>4210</v>
      </c>
      <c r="B1845" s="768" t="s">
        <v>211</v>
      </c>
      <c r="C1845" s="1051"/>
      <c r="D1845" s="698">
        <f t="shared" si="227"/>
        <v>17751</v>
      </c>
      <c r="E1845" s="698">
        <f>SUM(H1845+K1845+N1845+Q1845)</f>
        <v>17751</v>
      </c>
      <c r="F1845" s="699">
        <f t="shared" si="228"/>
        <v>100</v>
      </c>
      <c r="G1845" s="1051">
        <v>17751</v>
      </c>
      <c r="H1845" s="703">
        <v>17751</v>
      </c>
      <c r="I1845" s="744">
        <f>H1845/G1845*100</f>
        <v>100</v>
      </c>
      <c r="J1845" s="703"/>
      <c r="K1845" s="698"/>
      <c r="L1845" s="702"/>
      <c r="M1845" s="698"/>
      <c r="N1845" s="698"/>
      <c r="O1845" s="702"/>
      <c r="P1845" s="698"/>
      <c r="Q1845" s="698"/>
      <c r="R1845" s="770"/>
    </row>
    <row r="1846" spans="1:18" ht="24.75" customHeight="1">
      <c r="A1846" s="764">
        <v>4270</v>
      </c>
      <c r="B1846" s="768" t="s">
        <v>486</v>
      </c>
      <c r="C1846" s="1051">
        <f>200000+352500</f>
        <v>552500</v>
      </c>
      <c r="D1846" s="698">
        <f t="shared" si="227"/>
        <v>453689</v>
      </c>
      <c r="E1846" s="698">
        <f t="shared" si="226"/>
        <v>385425</v>
      </c>
      <c r="F1846" s="699">
        <f t="shared" si="228"/>
        <v>84.95356951568145</v>
      </c>
      <c r="G1846" s="1051">
        <f>200000+352500-4000-37500+65000-63000-2000+2000-7075-75000+75000+2000-4360+2000+20000-17000-54876</f>
        <v>453689</v>
      </c>
      <c r="H1846" s="703">
        <v>385425</v>
      </c>
      <c r="I1846" s="744">
        <f>H1846/G1846*100</f>
        <v>84.95356951568145</v>
      </c>
      <c r="J1846" s="703"/>
      <c r="K1846" s="698"/>
      <c r="L1846" s="702"/>
      <c r="M1846" s="698"/>
      <c r="N1846" s="698"/>
      <c r="O1846" s="702"/>
      <c r="P1846" s="698"/>
      <c r="Q1846" s="698"/>
      <c r="R1846" s="770"/>
    </row>
    <row r="1847" spans="1:18" ht="23.25" customHeight="1">
      <c r="A1847" s="764">
        <v>4300</v>
      </c>
      <c r="B1847" s="768" t="s">
        <v>219</v>
      </c>
      <c r="C1847" s="895">
        <v>209200</v>
      </c>
      <c r="D1847" s="698">
        <f t="shared" si="227"/>
        <v>210603</v>
      </c>
      <c r="E1847" s="698">
        <f t="shared" si="226"/>
        <v>196998</v>
      </c>
      <c r="F1847" s="699">
        <f t="shared" si="228"/>
        <v>93.53997806299056</v>
      </c>
      <c r="G1847" s="895">
        <f>209200-4020-3000-117-300+5000+3500+860-520</f>
        <v>210603</v>
      </c>
      <c r="H1847" s="703">
        <v>196998</v>
      </c>
      <c r="I1847" s="744">
        <f t="shared" si="222"/>
        <v>93.53997806299056</v>
      </c>
      <c r="J1847" s="703"/>
      <c r="K1847" s="698"/>
      <c r="L1847" s="702"/>
      <c r="M1847" s="698"/>
      <c r="N1847" s="698"/>
      <c r="O1847" s="702"/>
      <c r="P1847" s="698"/>
      <c r="Q1847" s="698"/>
      <c r="R1847" s="770"/>
    </row>
    <row r="1848" spans="1:18" ht="12.75">
      <c r="A1848" s="764">
        <v>4430</v>
      </c>
      <c r="B1848" s="768" t="s">
        <v>221</v>
      </c>
      <c r="C1848" s="895"/>
      <c r="D1848" s="698">
        <f t="shared" si="227"/>
        <v>6680</v>
      </c>
      <c r="E1848" s="698">
        <f>SUM(H1848+K1848+N1848+Q1848)</f>
        <v>6677</v>
      </c>
      <c r="F1848" s="699">
        <f t="shared" si="228"/>
        <v>99.95508982035928</v>
      </c>
      <c r="G1848" s="895">
        <f>7020-340</f>
        <v>6680</v>
      </c>
      <c r="H1848" s="703">
        <v>6677</v>
      </c>
      <c r="I1848" s="744">
        <f t="shared" si="222"/>
        <v>99.95508982035928</v>
      </c>
      <c r="J1848" s="703"/>
      <c r="K1848" s="698"/>
      <c r="L1848" s="702"/>
      <c r="M1848" s="698"/>
      <c r="N1848" s="698"/>
      <c r="O1848" s="702"/>
      <c r="P1848" s="698"/>
      <c r="Q1848" s="698"/>
      <c r="R1848" s="770"/>
    </row>
    <row r="1849" spans="1:18" ht="12.75" hidden="1">
      <c r="A1849" s="764">
        <v>4580</v>
      </c>
      <c r="B1849" s="768" t="s">
        <v>244</v>
      </c>
      <c r="C1849" s="1051"/>
      <c r="D1849" s="698">
        <f t="shared" si="227"/>
        <v>0</v>
      </c>
      <c r="E1849" s="698">
        <f t="shared" si="226"/>
        <v>0</v>
      </c>
      <c r="F1849" s="699" t="e">
        <f t="shared" si="228"/>
        <v>#DIV/0!</v>
      </c>
      <c r="G1849" s="1051"/>
      <c r="H1849" s="703"/>
      <c r="I1849" s="744" t="e">
        <f t="shared" si="222"/>
        <v>#DIV/0!</v>
      </c>
      <c r="J1849" s="703"/>
      <c r="K1849" s="698"/>
      <c r="L1849" s="702"/>
      <c r="M1849" s="698"/>
      <c r="N1849" s="698"/>
      <c r="O1849" s="809"/>
      <c r="P1849" s="698"/>
      <c r="Q1849" s="698"/>
      <c r="R1849" s="770"/>
    </row>
    <row r="1850" spans="1:18" ht="36" hidden="1">
      <c r="A1850" s="764">
        <v>4590</v>
      </c>
      <c r="B1850" s="768" t="s">
        <v>577</v>
      </c>
      <c r="C1850" s="1051"/>
      <c r="D1850" s="698">
        <f t="shared" si="227"/>
        <v>0</v>
      </c>
      <c r="E1850" s="698">
        <f>SUM(H1850+K1850+N1850+Q1850)</f>
        <v>0</v>
      </c>
      <c r="F1850" s="699" t="e">
        <f t="shared" si="228"/>
        <v>#DIV/0!</v>
      </c>
      <c r="G1850" s="1051"/>
      <c r="H1850" s="703"/>
      <c r="I1850" s="744" t="e">
        <f t="shared" si="222"/>
        <v>#DIV/0!</v>
      </c>
      <c r="J1850" s="703"/>
      <c r="K1850" s="698"/>
      <c r="L1850" s="702"/>
      <c r="M1850" s="698"/>
      <c r="N1850" s="698"/>
      <c r="O1850" s="809"/>
      <c r="P1850" s="698"/>
      <c r="Q1850" s="698"/>
      <c r="R1850" s="770"/>
    </row>
    <row r="1851" spans="1:18" ht="36">
      <c r="A1851" s="764">
        <v>4610</v>
      </c>
      <c r="B1851" s="768" t="s">
        <v>245</v>
      </c>
      <c r="C1851" s="1051"/>
      <c r="D1851" s="698">
        <f t="shared" si="227"/>
        <v>117</v>
      </c>
      <c r="E1851" s="698">
        <f>SUM(H1851+K1851+N1851+Q1851)</f>
        <v>117</v>
      </c>
      <c r="F1851" s="699">
        <f t="shared" si="228"/>
        <v>100</v>
      </c>
      <c r="G1851" s="1051">
        <v>117</v>
      </c>
      <c r="H1851" s="703">
        <v>117</v>
      </c>
      <c r="I1851" s="744">
        <f t="shared" si="222"/>
        <v>100</v>
      </c>
      <c r="J1851" s="703"/>
      <c r="K1851" s="698"/>
      <c r="L1851" s="702"/>
      <c r="M1851" s="698"/>
      <c r="N1851" s="698"/>
      <c r="O1851" s="809"/>
      <c r="P1851" s="698"/>
      <c r="Q1851" s="698"/>
      <c r="R1851" s="770"/>
    </row>
    <row r="1852" spans="1:18" ht="33.75" customHeight="1">
      <c r="A1852" s="956">
        <v>6050</v>
      </c>
      <c r="B1852" s="768" t="s">
        <v>246</v>
      </c>
      <c r="C1852" s="1051">
        <v>2000000</v>
      </c>
      <c r="D1852" s="698">
        <f t="shared" si="227"/>
        <v>1631760</v>
      </c>
      <c r="E1852" s="698">
        <f t="shared" si="226"/>
        <v>1545936</v>
      </c>
      <c r="F1852" s="699">
        <f t="shared" si="228"/>
        <v>94.74040300044125</v>
      </c>
      <c r="G1852" s="1051">
        <f>2000000+620000+21500-134000+134000-820000+500000+37000+360-600000+6000-45000+45000-25000-25000+50000-133100</f>
        <v>1631760</v>
      </c>
      <c r="H1852" s="941">
        <f>1535566+10370</f>
        <v>1545936</v>
      </c>
      <c r="I1852" s="744">
        <f t="shared" si="222"/>
        <v>94.74040300044125</v>
      </c>
      <c r="J1852" s="815"/>
      <c r="K1852" s="814"/>
      <c r="L1852" s="702"/>
      <c r="M1852" s="698"/>
      <c r="N1852" s="698"/>
      <c r="O1852" s="702"/>
      <c r="P1852" s="698"/>
      <c r="Q1852" s="698"/>
      <c r="R1852" s="770"/>
    </row>
    <row r="1853" spans="1:18" ht="39" customHeight="1">
      <c r="A1853" s="956">
        <v>6060</v>
      </c>
      <c r="B1853" s="768" t="s">
        <v>593</v>
      </c>
      <c r="C1853" s="1051"/>
      <c r="D1853" s="698">
        <f t="shared" si="227"/>
        <v>37125</v>
      </c>
      <c r="E1853" s="698">
        <f>SUM(H1853+K1853+N1853+Q1853)</f>
        <v>37125</v>
      </c>
      <c r="F1853" s="699">
        <f>E1853/D1853*100</f>
        <v>100</v>
      </c>
      <c r="G1853" s="1051">
        <v>37125</v>
      </c>
      <c r="H1853" s="1052">
        <v>37125</v>
      </c>
      <c r="I1853" s="744">
        <f t="shared" si="222"/>
        <v>100</v>
      </c>
      <c r="J1853" s="815"/>
      <c r="K1853" s="814"/>
      <c r="L1853" s="702"/>
      <c r="M1853" s="698"/>
      <c r="N1853" s="698"/>
      <c r="O1853" s="702"/>
      <c r="P1853" s="698"/>
      <c r="Q1853" s="698"/>
      <c r="R1853" s="770"/>
    </row>
    <row r="1854" spans="1:20" s="818" customFormat="1" ht="114" customHeight="1">
      <c r="A1854" s="764">
        <v>6300</v>
      </c>
      <c r="B1854" s="768" t="s">
        <v>790</v>
      </c>
      <c r="C1854" s="1051"/>
      <c r="D1854" s="698">
        <f t="shared" si="227"/>
        <v>1200000</v>
      </c>
      <c r="E1854" s="698">
        <f t="shared" si="226"/>
        <v>0</v>
      </c>
      <c r="F1854" s="699">
        <f t="shared" si="228"/>
        <v>0</v>
      </c>
      <c r="G1854" s="1051">
        <v>1200000</v>
      </c>
      <c r="H1854" s="1053"/>
      <c r="I1854" s="744">
        <f t="shared" si="222"/>
        <v>0</v>
      </c>
      <c r="J1854" s="815"/>
      <c r="K1854" s="814"/>
      <c r="L1854" s="702"/>
      <c r="M1854" s="814"/>
      <c r="N1854" s="814"/>
      <c r="O1854" s="702"/>
      <c r="P1854" s="814"/>
      <c r="Q1854" s="814"/>
      <c r="R1854" s="831"/>
      <c r="S1854" s="817"/>
      <c r="T1854" s="817"/>
    </row>
    <row r="1855" spans="1:18" ht="60" customHeight="1" hidden="1">
      <c r="A1855" s="764">
        <v>6010</v>
      </c>
      <c r="B1855" s="768" t="s">
        <v>866</v>
      </c>
      <c r="C1855" s="720">
        <v>0</v>
      </c>
      <c r="D1855" s="698">
        <f t="shared" si="227"/>
        <v>0</v>
      </c>
      <c r="E1855" s="698">
        <f t="shared" si="226"/>
        <v>0</v>
      </c>
      <c r="F1855" s="699" t="e">
        <f t="shared" si="228"/>
        <v>#DIV/0!</v>
      </c>
      <c r="G1855" s="698">
        <v>0</v>
      </c>
      <c r="H1855" s="703">
        <v>0</v>
      </c>
      <c r="I1855" s="744" t="e">
        <f t="shared" si="222"/>
        <v>#DIV/0!</v>
      </c>
      <c r="J1855" s="703"/>
      <c r="K1855" s="698"/>
      <c r="L1855" s="702"/>
      <c r="M1855" s="698"/>
      <c r="N1855" s="698"/>
      <c r="O1855" s="702"/>
      <c r="P1855" s="698"/>
      <c r="Q1855" s="698"/>
      <c r="R1855" s="770"/>
    </row>
    <row r="1856" spans="1:20" s="756" customFormat="1" ht="21" customHeight="1">
      <c r="A1856" s="774"/>
      <c r="B1856" s="848" t="s">
        <v>867</v>
      </c>
      <c r="C1856" s="776">
        <f>SUM(C1857:C1868)</f>
        <v>100000</v>
      </c>
      <c r="D1856" s="777">
        <f t="shared" si="227"/>
        <v>100000</v>
      </c>
      <c r="E1856" s="777">
        <f t="shared" si="226"/>
        <v>6798</v>
      </c>
      <c r="F1856" s="747">
        <f t="shared" si="228"/>
        <v>6.798</v>
      </c>
      <c r="G1856" s="778">
        <f>SUM(G1857:G1868)</f>
        <v>100000</v>
      </c>
      <c r="H1856" s="778">
        <f>SUM(H1857:H1868)</f>
        <v>6798</v>
      </c>
      <c r="I1856" s="744">
        <f t="shared" si="222"/>
        <v>6.798</v>
      </c>
      <c r="J1856" s="778"/>
      <c r="K1856" s="777"/>
      <c r="L1856" s="782"/>
      <c r="M1856" s="778"/>
      <c r="N1856" s="778"/>
      <c r="O1856" s="1026"/>
      <c r="P1856" s="778"/>
      <c r="Q1856" s="777"/>
      <c r="R1856" s="783"/>
      <c r="S1856" s="682"/>
      <c r="T1856" s="682"/>
    </row>
    <row r="1857" spans="1:18" ht="24">
      <c r="A1857" s="764">
        <v>4178</v>
      </c>
      <c r="B1857" s="768" t="s">
        <v>868</v>
      </c>
      <c r="C1857" s="720">
        <v>10000</v>
      </c>
      <c r="D1857" s="698">
        <f t="shared" si="227"/>
        <v>10000</v>
      </c>
      <c r="E1857" s="698">
        <f t="shared" si="226"/>
        <v>0</v>
      </c>
      <c r="F1857" s="699">
        <f t="shared" si="228"/>
        <v>0</v>
      </c>
      <c r="G1857" s="703">
        <v>10000</v>
      </c>
      <c r="H1857" s="703"/>
      <c r="I1857" s="744">
        <f t="shared" si="222"/>
        <v>0</v>
      </c>
      <c r="J1857" s="703"/>
      <c r="K1857" s="698"/>
      <c r="L1857" s="702"/>
      <c r="M1857" s="703"/>
      <c r="N1857" s="703"/>
      <c r="O1857" s="746"/>
      <c r="P1857" s="703"/>
      <c r="Q1857" s="698"/>
      <c r="R1857" s="770"/>
    </row>
    <row r="1858" spans="1:18" ht="24">
      <c r="A1858" s="764">
        <v>4210</v>
      </c>
      <c r="B1858" s="768" t="s">
        <v>211</v>
      </c>
      <c r="C1858" s="720">
        <v>100</v>
      </c>
      <c r="D1858" s="698">
        <f>G1858+J1858+P1858+M1858</f>
        <v>100</v>
      </c>
      <c r="E1858" s="698">
        <f>SUM(H1858+K1858+N1858+Q1858)</f>
        <v>0</v>
      </c>
      <c r="F1858" s="699">
        <f t="shared" si="228"/>
        <v>0</v>
      </c>
      <c r="G1858" s="703">
        <v>100</v>
      </c>
      <c r="H1858" s="703"/>
      <c r="I1858" s="744">
        <f t="shared" si="222"/>
        <v>0</v>
      </c>
      <c r="J1858" s="703"/>
      <c r="K1858" s="698"/>
      <c r="L1858" s="702"/>
      <c r="M1858" s="703"/>
      <c r="N1858" s="703"/>
      <c r="O1858" s="746"/>
      <c r="P1858" s="703"/>
      <c r="Q1858" s="698"/>
      <c r="R1858" s="770"/>
    </row>
    <row r="1859" spans="1:18" ht="24">
      <c r="A1859" s="764">
        <v>4218</v>
      </c>
      <c r="B1859" s="768" t="s">
        <v>211</v>
      </c>
      <c r="C1859" s="720">
        <v>3000</v>
      </c>
      <c r="D1859" s="698">
        <f t="shared" si="227"/>
        <v>3000</v>
      </c>
      <c r="E1859" s="698">
        <f t="shared" si="226"/>
        <v>0</v>
      </c>
      <c r="F1859" s="699">
        <f t="shared" si="228"/>
        <v>0</v>
      </c>
      <c r="G1859" s="703">
        <v>3000</v>
      </c>
      <c r="H1859" s="703"/>
      <c r="I1859" s="744">
        <f t="shared" si="222"/>
        <v>0</v>
      </c>
      <c r="J1859" s="703"/>
      <c r="K1859" s="698"/>
      <c r="L1859" s="702"/>
      <c r="M1859" s="703"/>
      <c r="N1859" s="703"/>
      <c r="O1859" s="746"/>
      <c r="P1859" s="703"/>
      <c r="Q1859" s="698"/>
      <c r="R1859" s="770"/>
    </row>
    <row r="1860" spans="1:18" ht="24">
      <c r="A1860" s="764">
        <v>4219</v>
      </c>
      <c r="B1860" s="768" t="s">
        <v>211</v>
      </c>
      <c r="C1860" s="720">
        <v>700</v>
      </c>
      <c r="D1860" s="698">
        <f t="shared" si="227"/>
        <v>700</v>
      </c>
      <c r="E1860" s="698">
        <f t="shared" si="226"/>
        <v>0</v>
      </c>
      <c r="F1860" s="699">
        <f t="shared" si="228"/>
        <v>0</v>
      </c>
      <c r="G1860" s="703">
        <v>700</v>
      </c>
      <c r="H1860" s="703"/>
      <c r="I1860" s="744">
        <f t="shared" si="222"/>
        <v>0</v>
      </c>
      <c r="J1860" s="703"/>
      <c r="K1860" s="698"/>
      <c r="L1860" s="702"/>
      <c r="M1860" s="703"/>
      <c r="N1860" s="703"/>
      <c r="O1860" s="746"/>
      <c r="P1860" s="703"/>
      <c r="Q1860" s="698"/>
      <c r="R1860" s="770"/>
    </row>
    <row r="1861" spans="1:18" ht="24" hidden="1">
      <c r="A1861" s="764">
        <v>4300</v>
      </c>
      <c r="B1861" s="768" t="s">
        <v>236</v>
      </c>
      <c r="C1861" s="720"/>
      <c r="D1861" s="698">
        <f t="shared" si="227"/>
        <v>0</v>
      </c>
      <c r="E1861" s="698">
        <f>SUM(H1861+K1861+N1861+Q1861)</f>
        <v>0</v>
      </c>
      <c r="F1861" s="699" t="e">
        <f>E1861/D1861*100</f>
        <v>#DIV/0!</v>
      </c>
      <c r="G1861" s="703"/>
      <c r="H1861" s="703"/>
      <c r="I1861" s="744" t="e">
        <f t="shared" si="222"/>
        <v>#DIV/0!</v>
      </c>
      <c r="J1861" s="703"/>
      <c r="K1861" s="698"/>
      <c r="L1861" s="702"/>
      <c r="M1861" s="703"/>
      <c r="N1861" s="703"/>
      <c r="O1861" s="746"/>
      <c r="P1861" s="703"/>
      <c r="Q1861" s="698"/>
      <c r="R1861" s="770"/>
    </row>
    <row r="1862" spans="1:18" ht="17.25" customHeight="1">
      <c r="A1862" s="764">
        <v>4308</v>
      </c>
      <c r="B1862" s="768" t="s">
        <v>236</v>
      </c>
      <c r="C1862" s="720">
        <v>10000</v>
      </c>
      <c r="D1862" s="698">
        <f t="shared" si="227"/>
        <v>10000</v>
      </c>
      <c r="E1862" s="698">
        <f t="shared" si="226"/>
        <v>0</v>
      </c>
      <c r="F1862" s="699">
        <f t="shared" si="228"/>
        <v>0</v>
      </c>
      <c r="G1862" s="703">
        <v>10000</v>
      </c>
      <c r="H1862" s="703"/>
      <c r="I1862" s="744">
        <f t="shared" si="222"/>
        <v>0</v>
      </c>
      <c r="J1862" s="703"/>
      <c r="K1862" s="698"/>
      <c r="L1862" s="702"/>
      <c r="M1862" s="703"/>
      <c r="N1862" s="703"/>
      <c r="O1862" s="746"/>
      <c r="P1862" s="703"/>
      <c r="Q1862" s="698"/>
      <c r="R1862" s="770"/>
    </row>
    <row r="1863" spans="1:18" ht="17.25" customHeight="1">
      <c r="A1863" s="764">
        <v>4309</v>
      </c>
      <c r="B1863" s="768" t="s">
        <v>236</v>
      </c>
      <c r="C1863" s="720">
        <v>2200</v>
      </c>
      <c r="D1863" s="698">
        <f t="shared" si="227"/>
        <v>2200</v>
      </c>
      <c r="E1863" s="698">
        <f t="shared" si="226"/>
        <v>0</v>
      </c>
      <c r="F1863" s="699">
        <f t="shared" si="228"/>
        <v>0</v>
      </c>
      <c r="G1863" s="703">
        <v>2200</v>
      </c>
      <c r="H1863" s="703"/>
      <c r="I1863" s="744">
        <f t="shared" si="222"/>
        <v>0</v>
      </c>
      <c r="J1863" s="703"/>
      <c r="K1863" s="698"/>
      <c r="L1863" s="702"/>
      <c r="M1863" s="703"/>
      <c r="N1863" s="703"/>
      <c r="O1863" s="746"/>
      <c r="P1863" s="703"/>
      <c r="Q1863" s="698"/>
      <c r="R1863" s="770"/>
    </row>
    <row r="1864" spans="1:18" ht="27.75" customHeight="1">
      <c r="A1864" s="764">
        <v>4388</v>
      </c>
      <c r="B1864" s="768" t="s">
        <v>711</v>
      </c>
      <c r="C1864" s="720">
        <v>2800</v>
      </c>
      <c r="D1864" s="698">
        <f t="shared" si="227"/>
        <v>2800</v>
      </c>
      <c r="E1864" s="698">
        <f t="shared" si="226"/>
        <v>0</v>
      </c>
      <c r="F1864" s="699">
        <f t="shared" si="228"/>
        <v>0</v>
      </c>
      <c r="G1864" s="703">
        <v>2800</v>
      </c>
      <c r="H1864" s="703"/>
      <c r="I1864" s="744">
        <f t="shared" si="222"/>
        <v>0</v>
      </c>
      <c r="J1864" s="703"/>
      <c r="K1864" s="698"/>
      <c r="L1864" s="702"/>
      <c r="M1864" s="703"/>
      <c r="N1864" s="703"/>
      <c r="O1864" s="746"/>
      <c r="P1864" s="703"/>
      <c r="Q1864" s="698"/>
      <c r="R1864" s="770"/>
    </row>
    <row r="1865" spans="1:18" ht="42" customHeight="1">
      <c r="A1865" s="764">
        <v>4398</v>
      </c>
      <c r="B1865" s="768" t="s">
        <v>243</v>
      </c>
      <c r="C1865" s="720">
        <v>60000</v>
      </c>
      <c r="D1865" s="698">
        <f t="shared" si="227"/>
        <v>60000</v>
      </c>
      <c r="E1865" s="698">
        <f t="shared" si="226"/>
        <v>0</v>
      </c>
      <c r="F1865" s="699">
        <f t="shared" si="228"/>
        <v>0</v>
      </c>
      <c r="G1865" s="703">
        <v>60000</v>
      </c>
      <c r="H1865" s="703"/>
      <c r="I1865" s="744">
        <f t="shared" si="222"/>
        <v>0</v>
      </c>
      <c r="J1865" s="703"/>
      <c r="K1865" s="698"/>
      <c r="L1865" s="702"/>
      <c r="M1865" s="703"/>
      <c r="N1865" s="703"/>
      <c r="O1865" s="746"/>
      <c r="P1865" s="703"/>
      <c r="Q1865" s="698"/>
      <c r="R1865" s="770"/>
    </row>
    <row r="1866" spans="1:18" ht="42.75" customHeight="1">
      <c r="A1866" s="764">
        <v>4399</v>
      </c>
      <c r="B1866" s="768" t="s">
        <v>243</v>
      </c>
      <c r="C1866" s="720">
        <v>800</v>
      </c>
      <c r="D1866" s="698">
        <f t="shared" si="227"/>
        <v>800</v>
      </c>
      <c r="E1866" s="698">
        <f t="shared" si="226"/>
        <v>0</v>
      </c>
      <c r="F1866" s="699">
        <f t="shared" si="228"/>
        <v>0</v>
      </c>
      <c r="G1866" s="703">
        <v>800</v>
      </c>
      <c r="H1866" s="703"/>
      <c r="I1866" s="744">
        <f t="shared" si="222"/>
        <v>0</v>
      </c>
      <c r="J1866" s="703"/>
      <c r="K1866" s="698"/>
      <c r="L1866" s="702"/>
      <c r="M1866" s="703"/>
      <c r="N1866" s="703"/>
      <c r="O1866" s="746"/>
      <c r="P1866" s="703"/>
      <c r="Q1866" s="698"/>
      <c r="R1866" s="770"/>
    </row>
    <row r="1867" spans="1:18" ht="28.5" customHeight="1">
      <c r="A1867" s="764">
        <v>4420</v>
      </c>
      <c r="B1867" s="768" t="s">
        <v>560</v>
      </c>
      <c r="C1867" s="720">
        <v>400</v>
      </c>
      <c r="D1867" s="698">
        <f t="shared" si="227"/>
        <v>400</v>
      </c>
      <c r="E1867" s="698">
        <f t="shared" si="226"/>
        <v>0</v>
      </c>
      <c r="F1867" s="699">
        <f t="shared" si="228"/>
        <v>0</v>
      </c>
      <c r="G1867" s="703">
        <v>400</v>
      </c>
      <c r="H1867" s="703"/>
      <c r="I1867" s="744">
        <f aca="true" t="shared" si="229" ref="I1867:I1872">H1867/G1867*100</f>
        <v>0</v>
      </c>
      <c r="J1867" s="703"/>
      <c r="K1867" s="698"/>
      <c r="L1867" s="702"/>
      <c r="M1867" s="703"/>
      <c r="N1867" s="703"/>
      <c r="O1867" s="746"/>
      <c r="P1867" s="703"/>
      <c r="Q1867" s="698"/>
      <c r="R1867" s="770"/>
    </row>
    <row r="1868" spans="1:18" ht="33.75" customHeight="1" thickBot="1">
      <c r="A1868" s="764">
        <v>4428</v>
      </c>
      <c r="B1868" s="768" t="s">
        <v>560</v>
      </c>
      <c r="C1868" s="769">
        <v>10000</v>
      </c>
      <c r="D1868" s="698">
        <f t="shared" si="227"/>
        <v>10000</v>
      </c>
      <c r="E1868" s="698">
        <f t="shared" si="226"/>
        <v>6798</v>
      </c>
      <c r="F1868" s="699">
        <f t="shared" si="228"/>
        <v>67.97999999999999</v>
      </c>
      <c r="G1868" s="703">
        <v>10000</v>
      </c>
      <c r="H1868" s="703">
        <v>6798</v>
      </c>
      <c r="I1868" s="744">
        <f t="shared" si="229"/>
        <v>67.97999999999999</v>
      </c>
      <c r="J1868" s="703"/>
      <c r="K1868" s="698"/>
      <c r="L1868" s="702"/>
      <c r="M1868" s="703"/>
      <c r="N1868" s="703"/>
      <c r="O1868" s="746"/>
      <c r="P1868" s="703"/>
      <c r="Q1868" s="698"/>
      <c r="R1868" s="770"/>
    </row>
    <row r="1869" spans="1:20" s="756" customFormat="1" ht="46.5" customHeight="1" thickBot="1" thickTop="1">
      <c r="A1869" s="749">
        <v>921</v>
      </c>
      <c r="B1869" s="750" t="s">
        <v>869</v>
      </c>
      <c r="C1869" s="751">
        <f>C1920+C1872+C1894+C1910+C1955+C1969+C1996+C2005+C1870</f>
        <v>17214100</v>
      </c>
      <c r="D1869" s="674">
        <f>D1920+D1872+D1894+D1910+D1955+D1969+D1996+D2005+D1870</f>
        <v>20859841</v>
      </c>
      <c r="E1869" s="674">
        <f>E1920+E1872+E1894+E1910+E1955+E1969+E1996+E2005+E1870</f>
        <v>19989517</v>
      </c>
      <c r="F1869" s="752">
        <f t="shared" si="228"/>
        <v>95.82775343301994</v>
      </c>
      <c r="G1869" s="751">
        <f>G1920+G1872+G1894+G1910+G1955+G1969+G1996+G2005+G1870</f>
        <v>7516441</v>
      </c>
      <c r="H1869" s="674">
        <f>H1920+H1872+H1894+H1910+H1955+H1969+H1996+H2005+H1870</f>
        <v>6819627</v>
      </c>
      <c r="I1869" s="752">
        <f t="shared" si="229"/>
        <v>90.72946890689357</v>
      </c>
      <c r="J1869" s="751">
        <f>J1910</f>
        <v>5000</v>
      </c>
      <c r="K1869" s="674">
        <f>K1910</f>
        <v>0</v>
      </c>
      <c r="L1869" s="679"/>
      <c r="M1869" s="751">
        <f>M1920+M1872+M1894+M1910+M1955+M1969+M1996+M2005</f>
        <v>13270400</v>
      </c>
      <c r="N1869" s="678">
        <f>N1920+N1872+N1894+N1910+N1955+N1969+N1996+N2005</f>
        <v>13101890</v>
      </c>
      <c r="O1869" s="850">
        <f>N1869/M1869*100</f>
        <v>98.73018145647457</v>
      </c>
      <c r="P1869" s="751">
        <f>P1920+P1872+P1894+P1910+P1955+P1969+P1996+P2005</f>
        <v>68000</v>
      </c>
      <c r="Q1869" s="678">
        <f>Q1920+Q1872+Q1894+Q1910+Q1955+Q1969+Q1996+Q2005</f>
        <v>68000</v>
      </c>
      <c r="R1869" s="675"/>
      <c r="S1869" s="682"/>
      <c r="T1869" s="682"/>
    </row>
    <row r="1870" spans="1:20" s="756" customFormat="1" ht="24.75" hidden="1" thickTop="1">
      <c r="A1870" s="866">
        <v>92103</v>
      </c>
      <c r="B1870" s="867" t="s">
        <v>870</v>
      </c>
      <c r="C1870" s="868"/>
      <c r="D1870" s="686">
        <f aca="true" t="shared" si="230" ref="D1870:E1885">G1870+J1870+P1870+M1870</f>
        <v>0</v>
      </c>
      <c r="E1870" s="686">
        <f t="shared" si="230"/>
        <v>0</v>
      </c>
      <c r="F1870" s="687" t="e">
        <f t="shared" si="228"/>
        <v>#DIV/0!</v>
      </c>
      <c r="G1870" s="868">
        <f>G1871</f>
        <v>0</v>
      </c>
      <c r="H1870" s="1054">
        <f>H1871</f>
        <v>0</v>
      </c>
      <c r="I1870" s="978" t="e">
        <f t="shared" si="229"/>
        <v>#DIV/0!</v>
      </c>
      <c r="J1870" s="691"/>
      <c r="K1870" s="686"/>
      <c r="L1870" s="692"/>
      <c r="M1870" s="691"/>
      <c r="N1870" s="686"/>
      <c r="O1870" s="853"/>
      <c r="P1870" s="691"/>
      <c r="Q1870" s="686"/>
      <c r="R1870" s="947"/>
      <c r="S1870" s="682"/>
      <c r="T1870" s="682"/>
    </row>
    <row r="1871" spans="1:18" ht="36.75" hidden="1" thickTop="1">
      <c r="A1871" s="764">
        <v>2550</v>
      </c>
      <c r="B1871" s="872" t="s">
        <v>871</v>
      </c>
      <c r="C1871" s="720"/>
      <c r="D1871" s="792">
        <f t="shared" si="230"/>
        <v>0</v>
      </c>
      <c r="E1871" s="792">
        <f t="shared" si="230"/>
        <v>0</v>
      </c>
      <c r="F1871" s="760" t="e">
        <f t="shared" si="228"/>
        <v>#DIV/0!</v>
      </c>
      <c r="G1871" s="879"/>
      <c r="H1871" s="698"/>
      <c r="I1871" s="761" t="e">
        <f t="shared" si="229"/>
        <v>#DIV/0!</v>
      </c>
      <c r="J1871" s="703"/>
      <c r="K1871" s="698"/>
      <c r="L1871" s="704"/>
      <c r="M1871" s="703"/>
      <c r="N1871" s="698"/>
      <c r="O1871" s="746"/>
      <c r="P1871" s="703"/>
      <c r="Q1871" s="698"/>
      <c r="R1871" s="770"/>
    </row>
    <row r="1872" spans="1:18" ht="30.75" customHeight="1" thickTop="1">
      <c r="A1872" s="757">
        <v>92105</v>
      </c>
      <c r="B1872" s="852" t="s">
        <v>872</v>
      </c>
      <c r="C1872" s="725">
        <f>SUM(C1873:C1882)</f>
        <v>400300</v>
      </c>
      <c r="D1872" s="712">
        <f t="shared" si="230"/>
        <v>607200</v>
      </c>
      <c r="E1872" s="712">
        <f t="shared" si="230"/>
        <v>561587</v>
      </c>
      <c r="F1872" s="713">
        <f t="shared" si="228"/>
        <v>92.48797760210805</v>
      </c>
      <c r="G1872" s="712">
        <f>SUM(G1873:G1883)</f>
        <v>607200</v>
      </c>
      <c r="H1872" s="712">
        <f>SUM(H1873:H1883)</f>
        <v>561587</v>
      </c>
      <c r="I1872" s="741">
        <f t="shared" si="229"/>
        <v>92.48797760210805</v>
      </c>
      <c r="J1872" s="717"/>
      <c r="K1872" s="712"/>
      <c r="L1872" s="718"/>
      <c r="M1872" s="712"/>
      <c r="N1872" s="712"/>
      <c r="O1872" s="762"/>
      <c r="P1872" s="712"/>
      <c r="Q1872" s="712"/>
      <c r="R1872" s="846"/>
    </row>
    <row r="1873" spans="1:18" ht="36" hidden="1">
      <c r="A1873" s="784">
        <v>3020</v>
      </c>
      <c r="B1873" s="785" t="s">
        <v>873</v>
      </c>
      <c r="C1873" s="723"/>
      <c r="D1873" s="732">
        <f t="shared" si="230"/>
        <v>0</v>
      </c>
      <c r="E1873" s="732">
        <f aca="true" t="shared" si="231" ref="E1873:E1893">SUM(H1873+K1873+N1873+Q1873)</f>
        <v>0</v>
      </c>
      <c r="F1873" s="721"/>
      <c r="G1873" s="723"/>
      <c r="H1873" s="732"/>
      <c r="I1873" s="786"/>
      <c r="J1873" s="735"/>
      <c r="K1873" s="732"/>
      <c r="L1873" s="736"/>
      <c r="M1873" s="732"/>
      <c r="N1873" s="732"/>
      <c r="O1873" s="803"/>
      <c r="P1873" s="732"/>
      <c r="Q1873" s="732"/>
      <c r="R1873" s="788"/>
    </row>
    <row r="1874" spans="1:18" ht="39.75" customHeight="1">
      <c r="A1874" s="764">
        <v>3040</v>
      </c>
      <c r="B1874" s="768" t="s">
        <v>749</v>
      </c>
      <c r="C1874" s="720">
        <v>52000</v>
      </c>
      <c r="D1874" s="698">
        <f t="shared" si="230"/>
        <v>87000</v>
      </c>
      <c r="E1874" s="698">
        <f t="shared" si="231"/>
        <v>66600</v>
      </c>
      <c r="F1874" s="699">
        <f t="shared" si="228"/>
        <v>76.55172413793103</v>
      </c>
      <c r="G1874" s="720">
        <f>52000+5000+30000</f>
        <v>87000</v>
      </c>
      <c r="H1874" s="698">
        <v>66600</v>
      </c>
      <c r="I1874" s="744">
        <f aca="true" t="shared" si="232" ref="I1874:I1892">H1874/G1874*100</f>
        <v>76.55172413793103</v>
      </c>
      <c r="J1874" s="703"/>
      <c r="K1874" s="698"/>
      <c r="L1874" s="704"/>
      <c r="M1874" s="698"/>
      <c r="N1874" s="698"/>
      <c r="O1874" s="766"/>
      <c r="P1874" s="698"/>
      <c r="Q1874" s="698"/>
      <c r="R1874" s="770"/>
    </row>
    <row r="1875" spans="1:18" ht="26.25" customHeight="1">
      <c r="A1875" s="764">
        <v>4210</v>
      </c>
      <c r="B1875" s="768" t="s">
        <v>211</v>
      </c>
      <c r="C1875" s="720">
        <v>18000</v>
      </c>
      <c r="D1875" s="698">
        <f t="shared" si="230"/>
        <v>22000</v>
      </c>
      <c r="E1875" s="698">
        <f t="shared" si="231"/>
        <v>18906</v>
      </c>
      <c r="F1875" s="699">
        <f t="shared" si="228"/>
        <v>85.93636363636364</v>
      </c>
      <c r="G1875" s="720">
        <f>18000+4000</f>
        <v>22000</v>
      </c>
      <c r="H1875" s="698">
        <v>18906</v>
      </c>
      <c r="I1875" s="744">
        <f t="shared" si="232"/>
        <v>85.93636363636364</v>
      </c>
      <c r="J1875" s="703"/>
      <c r="K1875" s="698"/>
      <c r="L1875" s="704"/>
      <c r="M1875" s="698"/>
      <c r="N1875" s="698"/>
      <c r="O1875" s="766"/>
      <c r="P1875" s="698"/>
      <c r="Q1875" s="698"/>
      <c r="R1875" s="770"/>
    </row>
    <row r="1876" spans="1:18" ht="27" customHeight="1" hidden="1">
      <c r="A1876" s="764">
        <v>4300</v>
      </c>
      <c r="B1876" s="768" t="s">
        <v>487</v>
      </c>
      <c r="C1876" s="720"/>
      <c r="D1876" s="698">
        <f t="shared" si="230"/>
        <v>0</v>
      </c>
      <c r="E1876" s="698">
        <f t="shared" si="231"/>
        <v>0</v>
      </c>
      <c r="F1876" s="699" t="e">
        <f t="shared" si="228"/>
        <v>#DIV/0!</v>
      </c>
      <c r="G1876" s="720"/>
      <c r="H1876" s="698"/>
      <c r="I1876" s="744" t="e">
        <f t="shared" si="232"/>
        <v>#DIV/0!</v>
      </c>
      <c r="J1876" s="703"/>
      <c r="K1876" s="698"/>
      <c r="L1876" s="704"/>
      <c r="M1876" s="698"/>
      <c r="N1876" s="698"/>
      <c r="O1876" s="766"/>
      <c r="P1876" s="698"/>
      <c r="Q1876" s="698"/>
      <c r="R1876" s="770"/>
    </row>
    <row r="1877" spans="1:18" ht="27" customHeight="1" hidden="1">
      <c r="A1877" s="764">
        <v>4210</v>
      </c>
      <c r="B1877" s="768" t="s">
        <v>874</v>
      </c>
      <c r="C1877" s="720"/>
      <c r="D1877" s="698">
        <f t="shared" si="230"/>
        <v>0</v>
      </c>
      <c r="E1877" s="698">
        <f t="shared" si="231"/>
        <v>0</v>
      </c>
      <c r="F1877" s="699" t="e">
        <f t="shared" si="228"/>
        <v>#DIV/0!</v>
      </c>
      <c r="G1877" s="720"/>
      <c r="H1877" s="698"/>
      <c r="I1877" s="744" t="e">
        <f t="shared" si="232"/>
        <v>#DIV/0!</v>
      </c>
      <c r="J1877" s="703"/>
      <c r="K1877" s="698"/>
      <c r="L1877" s="704"/>
      <c r="M1877" s="698"/>
      <c r="N1877" s="698"/>
      <c r="O1877" s="766"/>
      <c r="P1877" s="698"/>
      <c r="Q1877" s="698"/>
      <c r="R1877" s="770"/>
    </row>
    <row r="1878" spans="1:18" ht="24" hidden="1">
      <c r="A1878" s="764">
        <v>4170</v>
      </c>
      <c r="B1878" s="768" t="s">
        <v>242</v>
      </c>
      <c r="C1878" s="720"/>
      <c r="D1878" s="698">
        <f t="shared" si="230"/>
        <v>0</v>
      </c>
      <c r="E1878" s="698">
        <f t="shared" si="231"/>
        <v>0</v>
      </c>
      <c r="F1878" s="699" t="e">
        <f t="shared" si="228"/>
        <v>#DIV/0!</v>
      </c>
      <c r="G1878" s="720"/>
      <c r="H1878" s="698"/>
      <c r="I1878" s="744" t="e">
        <f t="shared" si="232"/>
        <v>#DIV/0!</v>
      </c>
      <c r="J1878" s="703"/>
      <c r="K1878" s="698"/>
      <c r="L1878" s="704"/>
      <c r="M1878" s="698"/>
      <c r="N1878" s="698"/>
      <c r="O1878" s="766"/>
      <c r="P1878" s="698"/>
      <c r="Q1878" s="698"/>
      <c r="R1878" s="770"/>
    </row>
    <row r="1879" spans="1:18" ht="12.75">
      <c r="A1879" s="764">
        <v>4430</v>
      </c>
      <c r="B1879" s="768" t="s">
        <v>221</v>
      </c>
      <c r="C1879" s="720">
        <v>300</v>
      </c>
      <c r="D1879" s="698">
        <f t="shared" si="230"/>
        <v>300</v>
      </c>
      <c r="E1879" s="698">
        <f t="shared" si="231"/>
        <v>202</v>
      </c>
      <c r="F1879" s="699">
        <f t="shared" si="228"/>
        <v>67.33333333333333</v>
      </c>
      <c r="G1879" s="720">
        <v>300</v>
      </c>
      <c r="H1879" s="698">
        <v>202</v>
      </c>
      <c r="I1879" s="744">
        <f t="shared" si="232"/>
        <v>67.33333333333333</v>
      </c>
      <c r="J1879" s="703"/>
      <c r="K1879" s="698"/>
      <c r="L1879" s="704"/>
      <c r="M1879" s="698"/>
      <c r="N1879" s="698"/>
      <c r="O1879" s="766"/>
      <c r="P1879" s="698"/>
      <c r="Q1879" s="698"/>
      <c r="R1879" s="770"/>
    </row>
    <row r="1880" spans="1:18" ht="18.75" customHeight="1">
      <c r="A1880" s="764">
        <v>4300</v>
      </c>
      <c r="B1880" s="768" t="s">
        <v>219</v>
      </c>
      <c r="C1880" s="720">
        <v>120000</v>
      </c>
      <c r="D1880" s="698">
        <f t="shared" si="230"/>
        <v>72300</v>
      </c>
      <c r="E1880" s="698">
        <f t="shared" si="231"/>
        <v>60267</v>
      </c>
      <c r="F1880" s="699">
        <f t="shared" si="228"/>
        <v>83.35684647302905</v>
      </c>
      <c r="G1880" s="720">
        <f>120000-30000-5000-3700-4000-5000</f>
        <v>72300</v>
      </c>
      <c r="H1880" s="698">
        <v>60267</v>
      </c>
      <c r="I1880" s="744">
        <f t="shared" si="232"/>
        <v>83.35684647302905</v>
      </c>
      <c r="J1880" s="703"/>
      <c r="K1880" s="698"/>
      <c r="L1880" s="704"/>
      <c r="M1880" s="698"/>
      <c r="N1880" s="698"/>
      <c r="O1880" s="766"/>
      <c r="P1880" s="698"/>
      <c r="Q1880" s="698"/>
      <c r="R1880" s="770"/>
    </row>
    <row r="1881" spans="1:18" ht="69" customHeight="1">
      <c r="A1881" s="764">
        <v>2710</v>
      </c>
      <c r="B1881" s="768" t="s">
        <v>564</v>
      </c>
      <c r="C1881" s="720"/>
      <c r="D1881" s="698">
        <f t="shared" si="230"/>
        <v>200000</v>
      </c>
      <c r="E1881" s="698">
        <f t="shared" si="231"/>
        <v>200000</v>
      </c>
      <c r="F1881" s="699">
        <f t="shared" si="228"/>
        <v>100</v>
      </c>
      <c r="G1881" s="720">
        <v>200000</v>
      </c>
      <c r="H1881" s="698">
        <v>200000</v>
      </c>
      <c r="I1881" s="744">
        <f t="shared" si="232"/>
        <v>100</v>
      </c>
      <c r="J1881" s="703"/>
      <c r="K1881" s="698"/>
      <c r="L1881" s="704"/>
      <c r="M1881" s="698"/>
      <c r="N1881" s="698"/>
      <c r="O1881" s="766"/>
      <c r="P1881" s="698"/>
      <c r="Q1881" s="698"/>
      <c r="R1881" s="770"/>
    </row>
    <row r="1882" spans="1:18" ht="70.5" customHeight="1">
      <c r="A1882" s="764">
        <v>2820</v>
      </c>
      <c r="B1882" s="768" t="s">
        <v>555</v>
      </c>
      <c r="C1882" s="720">
        <v>210000</v>
      </c>
      <c r="D1882" s="698">
        <f t="shared" si="230"/>
        <v>225600</v>
      </c>
      <c r="E1882" s="698">
        <f t="shared" si="231"/>
        <v>215612</v>
      </c>
      <c r="F1882" s="699">
        <f t="shared" si="228"/>
        <v>95.572695035461</v>
      </c>
      <c r="G1882" s="720">
        <f>210000+13000+2600</f>
        <v>225600</v>
      </c>
      <c r="H1882" s="698">
        <v>215612</v>
      </c>
      <c r="I1882" s="744">
        <f t="shared" si="232"/>
        <v>95.572695035461</v>
      </c>
      <c r="J1882" s="703"/>
      <c r="K1882" s="698"/>
      <c r="L1882" s="704"/>
      <c r="M1882" s="698"/>
      <c r="N1882" s="698"/>
      <c r="O1882" s="766"/>
      <c r="P1882" s="698"/>
      <c r="Q1882" s="698"/>
      <c r="R1882" s="770"/>
    </row>
    <row r="1883" spans="1:20" s="756" customFormat="1" ht="48" hidden="1">
      <c r="A1883" s="774"/>
      <c r="B1883" s="848" t="s">
        <v>340</v>
      </c>
      <c r="C1883" s="776"/>
      <c r="D1883" s="777">
        <f t="shared" si="230"/>
        <v>0</v>
      </c>
      <c r="E1883" s="777">
        <f t="shared" si="231"/>
        <v>0</v>
      </c>
      <c r="F1883" s="699" t="e">
        <f t="shared" si="228"/>
        <v>#DIV/0!</v>
      </c>
      <c r="G1883" s="778">
        <f>SUM(G1884:G1893)</f>
        <v>0</v>
      </c>
      <c r="H1883" s="777">
        <f>SUM(H1884:H1893)</f>
        <v>0</v>
      </c>
      <c r="I1883" s="744" t="e">
        <f t="shared" si="232"/>
        <v>#DIV/0!</v>
      </c>
      <c r="J1883" s="778"/>
      <c r="K1883" s="777"/>
      <c r="L1883" s="906"/>
      <c r="M1883" s="777"/>
      <c r="N1883" s="777"/>
      <c r="O1883" s="906"/>
      <c r="P1883" s="777"/>
      <c r="Q1883" s="777"/>
      <c r="R1883" s="783"/>
      <c r="S1883" s="682"/>
      <c r="T1883" s="682"/>
    </row>
    <row r="1884" spans="1:18" ht="36" hidden="1">
      <c r="A1884" s="764">
        <v>4110</v>
      </c>
      <c r="B1884" s="768" t="s">
        <v>207</v>
      </c>
      <c r="C1884" s="720"/>
      <c r="D1884" s="698">
        <f t="shared" si="230"/>
        <v>0</v>
      </c>
      <c r="E1884" s="698">
        <f t="shared" si="231"/>
        <v>0</v>
      </c>
      <c r="F1884" s="699" t="e">
        <f t="shared" si="228"/>
        <v>#DIV/0!</v>
      </c>
      <c r="G1884" s="703"/>
      <c r="H1884" s="698"/>
      <c r="I1884" s="744" t="e">
        <f t="shared" si="232"/>
        <v>#DIV/0!</v>
      </c>
      <c r="J1884" s="703"/>
      <c r="K1884" s="698"/>
      <c r="L1884" s="704"/>
      <c r="M1884" s="698"/>
      <c r="N1884" s="698"/>
      <c r="O1884" s="766"/>
      <c r="P1884" s="698"/>
      <c r="Q1884" s="698"/>
      <c r="R1884" s="770"/>
    </row>
    <row r="1885" spans="1:18" ht="12.75" hidden="1">
      <c r="A1885" s="764">
        <v>4120</v>
      </c>
      <c r="B1885" s="768" t="s">
        <v>584</v>
      </c>
      <c r="C1885" s="720"/>
      <c r="D1885" s="698">
        <f t="shared" si="230"/>
        <v>0</v>
      </c>
      <c r="E1885" s="698">
        <f t="shared" si="231"/>
        <v>0</v>
      </c>
      <c r="F1885" s="699" t="e">
        <f t="shared" si="228"/>
        <v>#DIV/0!</v>
      </c>
      <c r="G1885" s="703"/>
      <c r="H1885" s="698"/>
      <c r="I1885" s="744" t="e">
        <f t="shared" si="232"/>
        <v>#DIV/0!</v>
      </c>
      <c r="J1885" s="703"/>
      <c r="K1885" s="698"/>
      <c r="L1885" s="704"/>
      <c r="M1885" s="698"/>
      <c r="N1885" s="698"/>
      <c r="O1885" s="766"/>
      <c r="P1885" s="698"/>
      <c r="Q1885" s="698"/>
      <c r="R1885" s="770"/>
    </row>
    <row r="1886" spans="1:18" ht="24" hidden="1">
      <c r="A1886" s="764">
        <v>4178</v>
      </c>
      <c r="B1886" s="768" t="s">
        <v>868</v>
      </c>
      <c r="C1886" s="720"/>
      <c r="D1886" s="698">
        <f aca="true" t="shared" si="233" ref="D1886:D1933">G1886+J1886+P1886+M1886</f>
        <v>0</v>
      </c>
      <c r="E1886" s="698">
        <f t="shared" si="231"/>
        <v>0</v>
      </c>
      <c r="F1886" s="699" t="e">
        <f t="shared" si="228"/>
        <v>#DIV/0!</v>
      </c>
      <c r="G1886" s="703"/>
      <c r="H1886" s="698"/>
      <c r="I1886" s="744" t="e">
        <f t="shared" si="232"/>
        <v>#DIV/0!</v>
      </c>
      <c r="J1886" s="703"/>
      <c r="K1886" s="698"/>
      <c r="L1886" s="704"/>
      <c r="M1886" s="698"/>
      <c r="N1886" s="698"/>
      <c r="O1886" s="766"/>
      <c r="P1886" s="698"/>
      <c r="Q1886" s="698"/>
      <c r="R1886" s="770"/>
    </row>
    <row r="1887" spans="1:18" ht="24" hidden="1">
      <c r="A1887" s="764">
        <v>4179</v>
      </c>
      <c r="B1887" s="768" t="s">
        <v>868</v>
      </c>
      <c r="C1887" s="720"/>
      <c r="D1887" s="698">
        <f t="shared" si="233"/>
        <v>0</v>
      </c>
      <c r="E1887" s="698">
        <f t="shared" si="231"/>
        <v>0</v>
      </c>
      <c r="F1887" s="699" t="e">
        <f t="shared" si="228"/>
        <v>#DIV/0!</v>
      </c>
      <c r="G1887" s="703"/>
      <c r="H1887" s="698"/>
      <c r="I1887" s="744" t="e">
        <f t="shared" si="232"/>
        <v>#DIV/0!</v>
      </c>
      <c r="J1887" s="703"/>
      <c r="K1887" s="698"/>
      <c r="L1887" s="704"/>
      <c r="M1887" s="698"/>
      <c r="N1887" s="698"/>
      <c r="O1887" s="766"/>
      <c r="P1887" s="698"/>
      <c r="Q1887" s="698"/>
      <c r="R1887" s="770"/>
    </row>
    <row r="1888" spans="1:18" ht="24" hidden="1">
      <c r="A1888" s="784">
        <v>4218</v>
      </c>
      <c r="B1888" s="785" t="s">
        <v>211</v>
      </c>
      <c r="C1888" s="723"/>
      <c r="D1888" s="732">
        <f>G1888+J1888+P1888+M1888</f>
        <v>0</v>
      </c>
      <c r="E1888" s="732">
        <f>SUM(H1888+K1888+N1888+Q1888)</f>
        <v>0</v>
      </c>
      <c r="F1888" s="721" t="e">
        <f>E1888/D1888*100</f>
        <v>#DIV/0!</v>
      </c>
      <c r="G1888" s="735"/>
      <c r="H1888" s="732"/>
      <c r="I1888" s="786" t="e">
        <f t="shared" si="232"/>
        <v>#DIV/0!</v>
      </c>
      <c r="J1888" s="735"/>
      <c r="K1888" s="732"/>
      <c r="L1888" s="736"/>
      <c r="M1888" s="732"/>
      <c r="N1888" s="732"/>
      <c r="O1888" s="803"/>
      <c r="P1888" s="732"/>
      <c r="Q1888" s="732"/>
      <c r="R1888" s="788"/>
    </row>
    <row r="1889" spans="1:18" ht="24" hidden="1">
      <c r="A1889" s="764">
        <v>4219</v>
      </c>
      <c r="B1889" s="768" t="s">
        <v>211</v>
      </c>
      <c r="C1889" s="720"/>
      <c r="D1889" s="698">
        <f>G1889+J1889+P1889+M1889</f>
        <v>0</v>
      </c>
      <c r="E1889" s="698">
        <f>SUM(H1889+K1889+N1889+Q1889)</f>
        <v>0</v>
      </c>
      <c r="F1889" s="699" t="e">
        <f>E1889/D1889*100</f>
        <v>#DIV/0!</v>
      </c>
      <c r="G1889" s="703"/>
      <c r="H1889" s="698"/>
      <c r="I1889" s="744" t="e">
        <f t="shared" si="232"/>
        <v>#DIV/0!</v>
      </c>
      <c r="J1889" s="703"/>
      <c r="K1889" s="698"/>
      <c r="L1889" s="704"/>
      <c r="M1889" s="698"/>
      <c r="N1889" s="698"/>
      <c r="O1889" s="766"/>
      <c r="P1889" s="698"/>
      <c r="Q1889" s="698"/>
      <c r="R1889" s="770"/>
    </row>
    <row r="1890" spans="1:18" ht="24" hidden="1">
      <c r="A1890" s="764">
        <v>4308</v>
      </c>
      <c r="B1890" s="768" t="s">
        <v>219</v>
      </c>
      <c r="C1890" s="720"/>
      <c r="D1890" s="698">
        <f>G1890+J1890+P1890+M1890</f>
        <v>0</v>
      </c>
      <c r="E1890" s="698">
        <f>SUM(H1890+K1890+N1890+Q1890)</f>
        <v>0</v>
      </c>
      <c r="F1890" s="699" t="e">
        <f>E1890/D1890*100</f>
        <v>#DIV/0!</v>
      </c>
      <c r="G1890" s="703"/>
      <c r="H1890" s="698"/>
      <c r="I1890" s="744" t="e">
        <f t="shared" si="232"/>
        <v>#DIV/0!</v>
      </c>
      <c r="J1890" s="703"/>
      <c r="K1890" s="698"/>
      <c r="L1890" s="704"/>
      <c r="M1890" s="698"/>
      <c r="N1890" s="698"/>
      <c r="O1890" s="766"/>
      <c r="P1890" s="698"/>
      <c r="Q1890" s="698"/>
      <c r="R1890" s="770"/>
    </row>
    <row r="1891" spans="1:18" ht="24" hidden="1">
      <c r="A1891" s="764">
        <v>4309</v>
      </c>
      <c r="B1891" s="768" t="s">
        <v>219</v>
      </c>
      <c r="C1891" s="720"/>
      <c r="D1891" s="698">
        <f>G1891+J1891+P1891+M1891</f>
        <v>0</v>
      </c>
      <c r="E1891" s="698">
        <f>SUM(H1891+K1891+N1891+Q1891)</f>
        <v>0</v>
      </c>
      <c r="F1891" s="699" t="e">
        <f>E1891/D1891*100</f>
        <v>#DIV/0!</v>
      </c>
      <c r="G1891" s="703"/>
      <c r="H1891" s="698"/>
      <c r="I1891" s="744" t="e">
        <f t="shared" si="232"/>
        <v>#DIV/0!</v>
      </c>
      <c r="J1891" s="703"/>
      <c r="K1891" s="698"/>
      <c r="L1891" s="704"/>
      <c r="M1891" s="698"/>
      <c r="N1891" s="698"/>
      <c r="O1891" s="766"/>
      <c r="P1891" s="698"/>
      <c r="Q1891" s="698"/>
      <c r="R1891" s="770"/>
    </row>
    <row r="1892" spans="1:18" ht="36" hidden="1">
      <c r="A1892" s="764">
        <v>4388</v>
      </c>
      <c r="B1892" s="768" t="s">
        <v>711</v>
      </c>
      <c r="C1892" s="720"/>
      <c r="D1892" s="698">
        <f t="shared" si="233"/>
        <v>0</v>
      </c>
      <c r="E1892" s="698">
        <f t="shared" si="231"/>
        <v>0</v>
      </c>
      <c r="F1892" s="699" t="e">
        <f t="shared" si="228"/>
        <v>#DIV/0!</v>
      </c>
      <c r="G1892" s="703"/>
      <c r="H1892" s="698"/>
      <c r="I1892" s="744" t="e">
        <f t="shared" si="232"/>
        <v>#DIV/0!</v>
      </c>
      <c r="J1892" s="703"/>
      <c r="K1892" s="698"/>
      <c r="L1892" s="704"/>
      <c r="M1892" s="698"/>
      <c r="N1892" s="698"/>
      <c r="O1892" s="766"/>
      <c r="P1892" s="698"/>
      <c r="Q1892" s="698"/>
      <c r="R1892" s="770"/>
    </row>
    <row r="1893" spans="1:18" ht="36" hidden="1">
      <c r="A1893" s="764">
        <v>4389</v>
      </c>
      <c r="B1893" s="768" t="s">
        <v>711</v>
      </c>
      <c r="C1893" s="720"/>
      <c r="D1893" s="698">
        <f t="shared" si="233"/>
        <v>0</v>
      </c>
      <c r="E1893" s="698">
        <f t="shared" si="231"/>
        <v>0</v>
      </c>
      <c r="F1893" s="699" t="e">
        <f t="shared" si="228"/>
        <v>#DIV/0!</v>
      </c>
      <c r="G1893" s="703">
        <f>1300-1300</f>
        <v>0</v>
      </c>
      <c r="H1893" s="792"/>
      <c r="I1893" s="744"/>
      <c r="J1893" s="703"/>
      <c r="K1893" s="698"/>
      <c r="L1893" s="704"/>
      <c r="M1893" s="698"/>
      <c r="N1893" s="698"/>
      <c r="O1893" s="766"/>
      <c r="P1893" s="698"/>
      <c r="Q1893" s="698"/>
      <c r="R1893" s="770"/>
    </row>
    <row r="1894" spans="1:20" s="756" customFormat="1" ht="23.25" customHeight="1">
      <c r="A1894" s="757">
        <v>92106</v>
      </c>
      <c r="B1894" s="852" t="s">
        <v>875</v>
      </c>
      <c r="C1894" s="725">
        <f>C1895+SUM(C1904:C1906)</f>
        <v>3091000</v>
      </c>
      <c r="D1894" s="712">
        <f t="shared" si="233"/>
        <v>4248000</v>
      </c>
      <c r="E1894" s="712">
        <f>H1894+K1894+Q1894+N1894</f>
        <v>4247877</v>
      </c>
      <c r="F1894" s="726">
        <f t="shared" si="228"/>
        <v>99.99710451977401</v>
      </c>
      <c r="G1894" s="712"/>
      <c r="H1894" s="712"/>
      <c r="I1894" s="741"/>
      <c r="J1894" s="717"/>
      <c r="K1894" s="712"/>
      <c r="L1894" s="718"/>
      <c r="M1894" s="712">
        <f>SUM(M1895)+M1906+M1905+M1904+M1908+M1907</f>
        <v>4180000</v>
      </c>
      <c r="N1894" s="712">
        <f>SUM(N1895)+N1906+N1905+N1904+N1908+N1907</f>
        <v>4179877</v>
      </c>
      <c r="O1894" s="925">
        <f aca="true" t="shared" si="234" ref="O1894:O1919">N1894/M1894*100</f>
        <v>99.99705741626795</v>
      </c>
      <c r="P1894" s="712">
        <f>P1895+P1908</f>
        <v>68000</v>
      </c>
      <c r="Q1894" s="712">
        <f>Q1895+Q1908</f>
        <v>68000</v>
      </c>
      <c r="R1894" s="1031">
        <f>Q1894/P1894*100</f>
        <v>100</v>
      </c>
      <c r="S1894" s="682"/>
      <c r="T1894" s="682"/>
    </row>
    <row r="1895" spans="1:18" ht="60">
      <c r="A1895" s="784">
        <v>2480</v>
      </c>
      <c r="B1895" s="785" t="s">
        <v>876</v>
      </c>
      <c r="C1895" s="723">
        <f>SUM(C1896:C1903)</f>
        <v>2591000</v>
      </c>
      <c r="D1895" s="732">
        <f t="shared" si="233"/>
        <v>3091000</v>
      </c>
      <c r="E1895" s="732">
        <f aca="true" t="shared" si="235" ref="E1895:E1906">SUM(H1895+K1895+N1895+Q1895)</f>
        <v>3091000</v>
      </c>
      <c r="F1895" s="721">
        <f t="shared" si="228"/>
        <v>100</v>
      </c>
      <c r="G1895" s="732"/>
      <c r="H1895" s="735"/>
      <c r="I1895" s="786"/>
      <c r="J1895" s="735"/>
      <c r="K1895" s="732"/>
      <c r="L1895" s="736"/>
      <c r="M1895" s="723">
        <f>SUM(M1896:M1903)</f>
        <v>3091000</v>
      </c>
      <c r="N1895" s="732">
        <f>SUM(N1896:N1903)</f>
        <v>3091000</v>
      </c>
      <c r="O1895" s="786">
        <f t="shared" si="234"/>
        <v>100</v>
      </c>
      <c r="P1895" s="732"/>
      <c r="Q1895" s="732"/>
      <c r="R1895" s="788"/>
    </row>
    <row r="1896" spans="1:20" s="818" customFormat="1" ht="12.75">
      <c r="A1896" s="811"/>
      <c r="B1896" s="812" t="s">
        <v>877</v>
      </c>
      <c r="C1896" s="813">
        <v>2591000</v>
      </c>
      <c r="D1896" s="814">
        <f t="shared" si="233"/>
        <v>3091000</v>
      </c>
      <c r="E1896" s="814">
        <f t="shared" si="235"/>
        <v>3091000</v>
      </c>
      <c r="F1896" s="699">
        <f t="shared" si="228"/>
        <v>100</v>
      </c>
      <c r="G1896" s="814"/>
      <c r="H1896" s="815"/>
      <c r="I1896" s="744"/>
      <c r="J1896" s="815"/>
      <c r="K1896" s="814"/>
      <c r="L1896" s="704"/>
      <c r="M1896" s="813">
        <f>2591000+500000</f>
        <v>3091000</v>
      </c>
      <c r="N1896" s="814">
        <f>215916+215916+215916+215916+215916+215916+125000+125000+215916+215916+215916+125000+125000+115916+215916+100000+215924</f>
        <v>3091000</v>
      </c>
      <c r="O1896" s="744">
        <f t="shared" si="234"/>
        <v>100</v>
      </c>
      <c r="P1896" s="814"/>
      <c r="Q1896" s="814"/>
      <c r="R1896" s="831"/>
      <c r="S1896" s="817"/>
      <c r="T1896" s="817"/>
    </row>
    <row r="1897" spans="1:20" s="818" customFormat="1" ht="12.75" hidden="1">
      <c r="A1897" s="811"/>
      <c r="B1897" s="812" t="s">
        <v>341</v>
      </c>
      <c r="C1897" s="813"/>
      <c r="D1897" s="814">
        <f t="shared" si="233"/>
        <v>0</v>
      </c>
      <c r="E1897" s="814">
        <f t="shared" si="235"/>
        <v>0</v>
      </c>
      <c r="F1897" s="699" t="e">
        <f t="shared" si="228"/>
        <v>#DIV/0!</v>
      </c>
      <c r="G1897" s="814"/>
      <c r="H1897" s="815"/>
      <c r="I1897" s="744"/>
      <c r="J1897" s="815"/>
      <c r="K1897" s="814"/>
      <c r="L1897" s="704"/>
      <c r="M1897" s="813"/>
      <c r="N1897" s="814"/>
      <c r="O1897" s="744" t="e">
        <f t="shared" si="234"/>
        <v>#DIV/0!</v>
      </c>
      <c r="P1897" s="814"/>
      <c r="Q1897" s="814"/>
      <c r="R1897" s="831"/>
      <c r="S1897" s="817"/>
      <c r="T1897" s="817"/>
    </row>
    <row r="1898" spans="1:20" s="818" customFormat="1" ht="12.75" hidden="1">
      <c r="A1898" s="811" t="s">
        <v>342</v>
      </c>
      <c r="B1898" s="812" t="s">
        <v>343</v>
      </c>
      <c r="C1898" s="813"/>
      <c r="D1898" s="814">
        <f>G1898+J1898+P1898+M1898</f>
        <v>0</v>
      </c>
      <c r="E1898" s="814">
        <f>SUM(H1898+K1898+N1898+Q1898)</f>
        <v>0</v>
      </c>
      <c r="F1898" s="699" t="e">
        <f t="shared" si="228"/>
        <v>#DIV/0!</v>
      </c>
      <c r="G1898" s="814"/>
      <c r="H1898" s="815"/>
      <c r="I1898" s="744"/>
      <c r="J1898" s="815"/>
      <c r="K1898" s="814"/>
      <c r="L1898" s="704"/>
      <c r="M1898" s="813"/>
      <c r="N1898" s="814"/>
      <c r="O1898" s="744" t="e">
        <f t="shared" si="234"/>
        <v>#DIV/0!</v>
      </c>
      <c r="P1898" s="814"/>
      <c r="Q1898" s="814"/>
      <c r="R1898" s="831"/>
      <c r="S1898" s="817"/>
      <c r="T1898" s="817"/>
    </row>
    <row r="1899" spans="1:20" s="818" customFormat="1" ht="27" customHeight="1" hidden="1">
      <c r="A1899" s="811"/>
      <c r="B1899" s="812" t="s">
        <v>344</v>
      </c>
      <c r="C1899" s="813"/>
      <c r="D1899" s="814">
        <f>G1899+J1899+P1899+M1899</f>
        <v>0</v>
      </c>
      <c r="E1899" s="814">
        <f>SUM(H1899+K1899+N1899+Q1899)</f>
        <v>0</v>
      </c>
      <c r="F1899" s="699" t="e">
        <f t="shared" si="228"/>
        <v>#DIV/0!</v>
      </c>
      <c r="G1899" s="814"/>
      <c r="H1899" s="815"/>
      <c r="I1899" s="744"/>
      <c r="J1899" s="815"/>
      <c r="K1899" s="814"/>
      <c r="L1899" s="704"/>
      <c r="M1899" s="813"/>
      <c r="N1899" s="814"/>
      <c r="O1899" s="744" t="e">
        <f t="shared" si="234"/>
        <v>#DIV/0!</v>
      </c>
      <c r="P1899" s="814"/>
      <c r="Q1899" s="814"/>
      <c r="R1899" s="831"/>
      <c r="S1899" s="817"/>
      <c r="T1899" s="817"/>
    </row>
    <row r="1900" spans="1:20" s="818" customFormat="1" ht="36" hidden="1">
      <c r="A1900" s="811"/>
      <c r="B1900" s="812" t="s">
        <v>879</v>
      </c>
      <c r="C1900" s="813"/>
      <c r="D1900" s="814">
        <f t="shared" si="233"/>
        <v>0</v>
      </c>
      <c r="E1900" s="814">
        <f t="shared" si="235"/>
        <v>0</v>
      </c>
      <c r="F1900" s="699"/>
      <c r="G1900" s="814"/>
      <c r="H1900" s="815"/>
      <c r="I1900" s="744"/>
      <c r="J1900" s="815"/>
      <c r="K1900" s="814"/>
      <c r="L1900" s="704"/>
      <c r="M1900" s="813"/>
      <c r="N1900" s="814"/>
      <c r="O1900" s="744"/>
      <c r="P1900" s="814"/>
      <c r="Q1900" s="814"/>
      <c r="R1900" s="831"/>
      <c r="S1900" s="817"/>
      <c r="T1900" s="817"/>
    </row>
    <row r="1901" spans="1:20" s="818" customFormat="1" ht="36" hidden="1">
      <c r="A1901" s="811"/>
      <c r="B1901" s="812" t="s">
        <v>880</v>
      </c>
      <c r="C1901" s="813"/>
      <c r="D1901" s="814">
        <f t="shared" si="233"/>
        <v>0</v>
      </c>
      <c r="E1901" s="814">
        <f t="shared" si="235"/>
        <v>0</v>
      </c>
      <c r="F1901" s="699" t="e">
        <f t="shared" si="228"/>
        <v>#DIV/0!</v>
      </c>
      <c r="G1901" s="814"/>
      <c r="H1901" s="815"/>
      <c r="I1901" s="744"/>
      <c r="J1901" s="815"/>
      <c r="K1901" s="814"/>
      <c r="L1901" s="704"/>
      <c r="M1901" s="813"/>
      <c r="N1901" s="814"/>
      <c r="O1901" s="744" t="e">
        <f t="shared" si="234"/>
        <v>#DIV/0!</v>
      </c>
      <c r="P1901" s="814"/>
      <c r="Q1901" s="814"/>
      <c r="R1901" s="831"/>
      <c r="S1901" s="817"/>
      <c r="T1901" s="817"/>
    </row>
    <row r="1902" spans="1:20" s="818" customFormat="1" ht="12.75" hidden="1">
      <c r="A1902" s="811"/>
      <c r="B1902" s="812" t="s">
        <v>881</v>
      </c>
      <c r="C1902" s="813"/>
      <c r="D1902" s="814">
        <f t="shared" si="233"/>
        <v>0</v>
      </c>
      <c r="E1902" s="814">
        <f t="shared" si="235"/>
        <v>0</v>
      </c>
      <c r="F1902" s="699" t="e">
        <f t="shared" si="228"/>
        <v>#DIV/0!</v>
      </c>
      <c r="G1902" s="814"/>
      <c r="H1902" s="815"/>
      <c r="I1902" s="744"/>
      <c r="J1902" s="815"/>
      <c r="K1902" s="814"/>
      <c r="L1902" s="704"/>
      <c r="M1902" s="813"/>
      <c r="N1902" s="814"/>
      <c r="O1902" s="744" t="e">
        <f t="shared" si="234"/>
        <v>#DIV/0!</v>
      </c>
      <c r="P1902" s="814"/>
      <c r="Q1902" s="814"/>
      <c r="R1902" s="831"/>
      <c r="S1902" s="817"/>
      <c r="T1902" s="817"/>
    </row>
    <row r="1903" spans="1:20" s="818" customFormat="1" ht="36" hidden="1">
      <c r="A1903" s="811"/>
      <c r="B1903" s="812" t="s">
        <v>882</v>
      </c>
      <c r="C1903" s="813"/>
      <c r="D1903" s="814">
        <f t="shared" si="233"/>
        <v>0</v>
      </c>
      <c r="E1903" s="814">
        <f t="shared" si="235"/>
        <v>0</v>
      </c>
      <c r="F1903" s="699" t="e">
        <f t="shared" si="228"/>
        <v>#DIV/0!</v>
      </c>
      <c r="G1903" s="814"/>
      <c r="H1903" s="815"/>
      <c r="I1903" s="744"/>
      <c r="J1903" s="815"/>
      <c r="K1903" s="814"/>
      <c r="L1903" s="704"/>
      <c r="M1903" s="813"/>
      <c r="N1903" s="814"/>
      <c r="O1903" s="744" t="e">
        <f t="shared" si="234"/>
        <v>#DIV/0!</v>
      </c>
      <c r="P1903" s="814"/>
      <c r="Q1903" s="814"/>
      <c r="R1903" s="831"/>
      <c r="S1903" s="817"/>
      <c r="T1903" s="817"/>
    </row>
    <row r="1904" spans="1:18" ht="36">
      <c r="A1904" s="764">
        <v>6050</v>
      </c>
      <c r="B1904" s="768" t="s">
        <v>246</v>
      </c>
      <c r="C1904" s="720">
        <v>500000</v>
      </c>
      <c r="D1904" s="698">
        <f>G1904+J1904+P1904+M1904</f>
        <v>1049000</v>
      </c>
      <c r="E1904" s="698">
        <f>SUM(H1904+K1904+N1904+Q1904)</f>
        <v>1048877</v>
      </c>
      <c r="F1904" s="863">
        <f>E1904/D1904*100</f>
        <v>99.9882745471878</v>
      </c>
      <c r="G1904" s="698"/>
      <c r="H1904" s="703"/>
      <c r="I1904" s="966"/>
      <c r="J1904" s="703"/>
      <c r="K1904" s="698"/>
      <c r="L1904" s="704"/>
      <c r="M1904" s="720">
        <f>500000+600000-51000</f>
        <v>1049000</v>
      </c>
      <c r="N1904" s="698">
        <v>1048877</v>
      </c>
      <c r="O1904" s="744">
        <f t="shared" si="234"/>
        <v>99.9882745471878</v>
      </c>
      <c r="P1904" s="698"/>
      <c r="Q1904" s="698"/>
      <c r="R1904" s="770"/>
    </row>
    <row r="1905" spans="1:18" ht="36" hidden="1">
      <c r="A1905" s="764">
        <v>6058</v>
      </c>
      <c r="B1905" s="768" t="s">
        <v>246</v>
      </c>
      <c r="C1905" s="720"/>
      <c r="D1905" s="698">
        <f>G1905+J1905+P1905+M1905</f>
        <v>0</v>
      </c>
      <c r="E1905" s="698">
        <f>SUM(H1905+K1905+N1905+Q1905)</f>
        <v>0</v>
      </c>
      <c r="F1905" s="863" t="e">
        <f>E1905/D1905*100</f>
        <v>#DIV/0!</v>
      </c>
      <c r="G1905" s="698"/>
      <c r="H1905" s="703"/>
      <c r="I1905" s="966"/>
      <c r="J1905" s="703"/>
      <c r="K1905" s="698"/>
      <c r="L1905" s="704"/>
      <c r="M1905" s="720"/>
      <c r="N1905" s="698"/>
      <c r="O1905" s="744" t="e">
        <f t="shared" si="234"/>
        <v>#DIV/0!</v>
      </c>
      <c r="P1905" s="698"/>
      <c r="Q1905" s="698"/>
      <c r="R1905" s="770"/>
    </row>
    <row r="1906" spans="1:18" ht="36" hidden="1">
      <c r="A1906" s="764">
        <v>6059</v>
      </c>
      <c r="B1906" s="768" t="s">
        <v>246</v>
      </c>
      <c r="C1906" s="720"/>
      <c r="D1906" s="698">
        <f t="shared" si="233"/>
        <v>0</v>
      </c>
      <c r="E1906" s="698">
        <f t="shared" si="235"/>
        <v>0</v>
      </c>
      <c r="F1906" s="699" t="e">
        <f t="shared" si="228"/>
        <v>#DIV/0!</v>
      </c>
      <c r="G1906" s="698"/>
      <c r="H1906" s="703"/>
      <c r="I1906" s="744"/>
      <c r="J1906" s="703"/>
      <c r="K1906" s="698"/>
      <c r="L1906" s="704"/>
      <c r="M1906" s="720"/>
      <c r="N1906" s="698"/>
      <c r="O1906" s="744" t="e">
        <f t="shared" si="234"/>
        <v>#DIV/0!</v>
      </c>
      <c r="P1906" s="698"/>
      <c r="Q1906" s="698"/>
      <c r="R1906" s="770"/>
    </row>
    <row r="1907" spans="1:18" ht="24" hidden="1">
      <c r="A1907" s="764">
        <v>4270</v>
      </c>
      <c r="B1907" s="768" t="s">
        <v>217</v>
      </c>
      <c r="C1907" s="720"/>
      <c r="D1907" s="698">
        <f>G1907+J1907+P1907+M1907</f>
        <v>0</v>
      </c>
      <c r="E1907" s="698">
        <f>SUM(H1907+K1907+N1907+Q1907)</f>
        <v>0</v>
      </c>
      <c r="F1907" s="699" t="e">
        <f>E1907/D1907*100</f>
        <v>#DIV/0!</v>
      </c>
      <c r="G1907" s="698"/>
      <c r="H1907" s="703"/>
      <c r="I1907" s="744"/>
      <c r="J1907" s="703"/>
      <c r="K1907" s="698"/>
      <c r="L1907" s="704"/>
      <c r="M1907" s="703"/>
      <c r="N1907" s="698"/>
      <c r="O1907" s="744" t="e">
        <f t="shared" si="234"/>
        <v>#DIV/0!</v>
      </c>
      <c r="P1907" s="698"/>
      <c r="Q1907" s="698"/>
      <c r="R1907" s="770"/>
    </row>
    <row r="1908" spans="1:18" ht="108">
      <c r="A1908" s="764">
        <v>6220</v>
      </c>
      <c r="B1908" s="768" t="s">
        <v>738</v>
      </c>
      <c r="C1908" s="720"/>
      <c r="D1908" s="698">
        <f>G1908+J1908+P1908+M1908</f>
        <v>108000</v>
      </c>
      <c r="E1908" s="698">
        <f>SUM(H1908+K1908+N1908+Q1908)</f>
        <v>108000</v>
      </c>
      <c r="F1908" s="699">
        <f>E1908/D1908*100</f>
        <v>100</v>
      </c>
      <c r="G1908" s="698"/>
      <c r="H1908" s="703"/>
      <c r="I1908" s="744"/>
      <c r="J1908" s="703"/>
      <c r="K1908" s="698"/>
      <c r="L1908" s="704"/>
      <c r="M1908" s="703">
        <f>SUM(M1909)</f>
        <v>40000</v>
      </c>
      <c r="N1908" s="698">
        <f>SUM(N1909)</f>
        <v>40000</v>
      </c>
      <c r="O1908" s="744">
        <f t="shared" si="234"/>
        <v>100</v>
      </c>
      <c r="P1908" s="698">
        <f>SUM(P1909)</f>
        <v>68000</v>
      </c>
      <c r="Q1908" s="698">
        <f>SUM(Q1909)</f>
        <v>68000</v>
      </c>
      <c r="R1908" s="1001">
        <f>Q1908/P1908*100</f>
        <v>100</v>
      </c>
    </row>
    <row r="1909" spans="1:20" s="818" customFormat="1" ht="60">
      <c r="A1909" s="820" t="s">
        <v>342</v>
      </c>
      <c r="B1909" s="821" t="s">
        <v>791</v>
      </c>
      <c r="C1909" s="822"/>
      <c r="D1909" s="814">
        <f>G1909+J1909+P1909+M1909</f>
        <v>108000</v>
      </c>
      <c r="E1909" s="814">
        <f>SUM(H1909+K1909+N1909+Q1909)</f>
        <v>108000</v>
      </c>
      <c r="F1909" s="699">
        <f>E1909/D1909*100</f>
        <v>100</v>
      </c>
      <c r="G1909" s="823"/>
      <c r="H1909" s="824"/>
      <c r="I1909" s="761"/>
      <c r="J1909" s="824"/>
      <c r="K1909" s="823"/>
      <c r="L1909" s="794"/>
      <c r="M1909" s="824">
        <f>40000</f>
        <v>40000</v>
      </c>
      <c r="N1909" s="823">
        <v>40000</v>
      </c>
      <c r="O1909" s="744">
        <f t="shared" si="234"/>
        <v>100</v>
      </c>
      <c r="P1909" s="823">
        <v>68000</v>
      </c>
      <c r="Q1909" s="823">
        <v>68000</v>
      </c>
      <c r="R1909" s="1004">
        <f>Q1909/P1909*100</f>
        <v>100</v>
      </c>
      <c r="S1909" s="817"/>
      <c r="T1909" s="817"/>
    </row>
    <row r="1910" spans="1:18" ht="22.5" customHeight="1">
      <c r="A1910" s="757">
        <v>92108</v>
      </c>
      <c r="B1910" s="852" t="s">
        <v>883</v>
      </c>
      <c r="C1910" s="725">
        <f>SUM(C1911:C1911)+C1918</f>
        <v>4127000</v>
      </c>
      <c r="D1910" s="712">
        <f t="shared" si="233"/>
        <v>4137000</v>
      </c>
      <c r="E1910" s="712">
        <f>H1910+K1910+Q1910+N1910</f>
        <v>3978835</v>
      </c>
      <c r="F1910" s="713">
        <f aca="true" t="shared" si="236" ref="F1910:F1921">E1910/D1910*100</f>
        <v>96.17681895093064</v>
      </c>
      <c r="G1910" s="712"/>
      <c r="H1910" s="717"/>
      <c r="I1910" s="719"/>
      <c r="J1910" s="717">
        <f>J1911+J1917+J1918</f>
        <v>5000</v>
      </c>
      <c r="K1910" s="717">
        <f>K1911+K1917+K1918</f>
        <v>0</v>
      </c>
      <c r="L1910" s="742"/>
      <c r="M1910" s="712">
        <f>SUM(M1911)+M1918+M1919</f>
        <v>4132000</v>
      </c>
      <c r="N1910" s="712">
        <f>SUM(N1911)+N1918+N1919</f>
        <v>3978835</v>
      </c>
      <c r="O1910" s="741">
        <f t="shared" si="234"/>
        <v>96.29319941916748</v>
      </c>
      <c r="P1910" s="712"/>
      <c r="Q1910" s="712"/>
      <c r="R1910" s="846"/>
    </row>
    <row r="1911" spans="1:18" ht="60">
      <c r="A1911" s="784">
        <v>2480</v>
      </c>
      <c r="B1911" s="785" t="s">
        <v>884</v>
      </c>
      <c r="C1911" s="723">
        <f>SUM(C1912:C1916)</f>
        <v>3127000</v>
      </c>
      <c r="D1911" s="732">
        <f t="shared" si="233"/>
        <v>3322000</v>
      </c>
      <c r="E1911" s="732">
        <f aca="true" t="shared" si="237" ref="E1911:E1918">SUM(H1911+K1911+N1911+Q1911)</f>
        <v>3322000</v>
      </c>
      <c r="F1911" s="721">
        <f t="shared" si="236"/>
        <v>100</v>
      </c>
      <c r="G1911" s="732"/>
      <c r="H1911" s="735"/>
      <c r="I1911" s="707"/>
      <c r="J1911" s="735"/>
      <c r="K1911" s="732"/>
      <c r="L1911" s="1041"/>
      <c r="M1911" s="723">
        <f>SUM(M1912:M1916)</f>
        <v>3322000</v>
      </c>
      <c r="N1911" s="732">
        <f>SUM(N1912:N1916)</f>
        <v>3322000</v>
      </c>
      <c r="O1911" s="786">
        <f t="shared" si="234"/>
        <v>100</v>
      </c>
      <c r="P1911" s="732"/>
      <c r="Q1911" s="732"/>
      <c r="R1911" s="788"/>
    </row>
    <row r="1912" spans="1:20" s="818" customFormat="1" ht="12.75">
      <c r="A1912" s="811"/>
      <c r="B1912" s="812" t="s">
        <v>877</v>
      </c>
      <c r="C1912" s="813">
        <v>2940000</v>
      </c>
      <c r="D1912" s="814">
        <f t="shared" si="233"/>
        <v>3125915</v>
      </c>
      <c r="E1912" s="814">
        <f t="shared" si="237"/>
        <v>3125915</v>
      </c>
      <c r="F1912" s="699">
        <f t="shared" si="236"/>
        <v>100</v>
      </c>
      <c r="G1912" s="814"/>
      <c r="H1912" s="815"/>
      <c r="I1912" s="702"/>
      <c r="J1912" s="815"/>
      <c r="K1912" s="814"/>
      <c r="L1912" s="745"/>
      <c r="M1912" s="813">
        <f>2940000+170000+15915</f>
        <v>3125915</v>
      </c>
      <c r="N1912" s="814">
        <f>250000+250000+235000+263888+263888+263888+263888+263888+263888+263888+263888+15915+263896</f>
        <v>3125915</v>
      </c>
      <c r="O1912" s="744">
        <f t="shared" si="234"/>
        <v>100</v>
      </c>
      <c r="P1912" s="814"/>
      <c r="Q1912" s="814"/>
      <c r="R1912" s="831"/>
      <c r="S1912" s="817"/>
      <c r="T1912" s="817"/>
    </row>
    <row r="1913" spans="1:20" s="818" customFormat="1" ht="12.75">
      <c r="A1913" s="811"/>
      <c r="B1913" s="812" t="s">
        <v>345</v>
      </c>
      <c r="C1913" s="813">
        <v>60000</v>
      </c>
      <c r="D1913" s="814">
        <f t="shared" si="233"/>
        <v>60000</v>
      </c>
      <c r="E1913" s="814">
        <f t="shared" si="237"/>
        <v>60000</v>
      </c>
      <c r="F1913" s="699">
        <f t="shared" si="236"/>
        <v>100</v>
      </c>
      <c r="G1913" s="814"/>
      <c r="H1913" s="815"/>
      <c r="I1913" s="702"/>
      <c r="J1913" s="815"/>
      <c r="K1913" s="814"/>
      <c r="L1913" s="745"/>
      <c r="M1913" s="813">
        <v>60000</v>
      </c>
      <c r="N1913" s="814">
        <v>60000</v>
      </c>
      <c r="O1913" s="744">
        <f t="shared" si="234"/>
        <v>100</v>
      </c>
      <c r="P1913" s="814"/>
      <c r="Q1913" s="814"/>
      <c r="R1913" s="831"/>
      <c r="S1913" s="817"/>
      <c r="T1913" s="817"/>
    </row>
    <row r="1914" spans="1:20" s="818" customFormat="1" ht="36">
      <c r="A1914" s="811" t="s">
        <v>342</v>
      </c>
      <c r="B1914" s="812" t="s">
        <v>488</v>
      </c>
      <c r="C1914" s="813"/>
      <c r="D1914" s="814">
        <f t="shared" si="233"/>
        <v>25000</v>
      </c>
      <c r="E1914" s="814">
        <f t="shared" si="237"/>
        <v>25000</v>
      </c>
      <c r="F1914" s="699">
        <f t="shared" si="236"/>
        <v>100</v>
      </c>
      <c r="G1914" s="814"/>
      <c r="H1914" s="815"/>
      <c r="I1914" s="702"/>
      <c r="J1914" s="815"/>
      <c r="K1914" s="814"/>
      <c r="L1914" s="745"/>
      <c r="M1914" s="813">
        <v>25000</v>
      </c>
      <c r="N1914" s="814">
        <v>25000</v>
      </c>
      <c r="O1914" s="744">
        <f t="shared" si="234"/>
        <v>100</v>
      </c>
      <c r="P1914" s="814"/>
      <c r="Q1914" s="814"/>
      <c r="R1914" s="831"/>
      <c r="S1914" s="817"/>
      <c r="T1914" s="817"/>
    </row>
    <row r="1915" spans="1:20" s="818" customFormat="1" ht="24">
      <c r="A1915" s="811"/>
      <c r="B1915" s="812" t="s">
        <v>885</v>
      </c>
      <c r="C1915" s="813">
        <v>72000</v>
      </c>
      <c r="D1915" s="814">
        <f t="shared" si="233"/>
        <v>72000</v>
      </c>
      <c r="E1915" s="814">
        <f t="shared" si="237"/>
        <v>72000</v>
      </c>
      <c r="F1915" s="699">
        <f t="shared" si="236"/>
        <v>100</v>
      </c>
      <c r="G1915" s="814"/>
      <c r="H1915" s="815"/>
      <c r="I1915" s="702"/>
      <c r="J1915" s="815"/>
      <c r="K1915" s="814"/>
      <c r="L1915" s="745"/>
      <c r="M1915" s="813">
        <v>72000</v>
      </c>
      <c r="N1915" s="814">
        <v>72000</v>
      </c>
      <c r="O1915" s="744">
        <f t="shared" si="234"/>
        <v>100</v>
      </c>
      <c r="P1915" s="814"/>
      <c r="Q1915" s="814"/>
      <c r="R1915" s="831"/>
      <c r="S1915" s="817"/>
      <c r="T1915" s="817"/>
    </row>
    <row r="1916" spans="1:20" s="818" customFormat="1" ht="24">
      <c r="A1916" s="811"/>
      <c r="B1916" s="812" t="s">
        <v>886</v>
      </c>
      <c r="C1916" s="813">
        <v>55000</v>
      </c>
      <c r="D1916" s="814">
        <f t="shared" si="233"/>
        <v>39085</v>
      </c>
      <c r="E1916" s="814">
        <f t="shared" si="237"/>
        <v>39085</v>
      </c>
      <c r="F1916" s="699">
        <f t="shared" si="236"/>
        <v>100</v>
      </c>
      <c r="G1916" s="814"/>
      <c r="H1916" s="815"/>
      <c r="I1916" s="702"/>
      <c r="J1916" s="815"/>
      <c r="K1916" s="814"/>
      <c r="L1916" s="745"/>
      <c r="M1916" s="813">
        <f>55000-15915</f>
        <v>39085</v>
      </c>
      <c r="N1916" s="814">
        <f>55000-15915</f>
        <v>39085</v>
      </c>
      <c r="O1916" s="744">
        <f t="shared" si="234"/>
        <v>100</v>
      </c>
      <c r="P1916" s="814"/>
      <c r="Q1916" s="814"/>
      <c r="R1916" s="831"/>
      <c r="S1916" s="817"/>
      <c r="T1916" s="817"/>
    </row>
    <row r="1917" spans="1:18" ht="26.25" customHeight="1">
      <c r="A1917" s="764">
        <v>4210</v>
      </c>
      <c r="B1917" s="768" t="s">
        <v>489</v>
      </c>
      <c r="C1917" s="720"/>
      <c r="D1917" s="698">
        <f t="shared" si="233"/>
        <v>5000</v>
      </c>
      <c r="E1917" s="698">
        <f t="shared" si="237"/>
        <v>0</v>
      </c>
      <c r="F1917" s="699">
        <f t="shared" si="236"/>
        <v>0</v>
      </c>
      <c r="G1917" s="698"/>
      <c r="H1917" s="703"/>
      <c r="I1917" s="702"/>
      <c r="J1917" s="703">
        <v>5000</v>
      </c>
      <c r="K1917" s="698"/>
      <c r="L1917" s="745">
        <f>K1917/J1917*100</f>
        <v>0</v>
      </c>
      <c r="M1917" s="703"/>
      <c r="N1917" s="698"/>
      <c r="O1917" s="744"/>
      <c r="P1917" s="698"/>
      <c r="Q1917" s="698"/>
      <c r="R1917" s="770"/>
    </row>
    <row r="1918" spans="1:18" ht="48">
      <c r="A1918" s="764">
        <v>6050</v>
      </c>
      <c r="B1918" s="768" t="s">
        <v>490</v>
      </c>
      <c r="C1918" s="720">
        <v>1000000</v>
      </c>
      <c r="D1918" s="698">
        <f t="shared" si="233"/>
        <v>730000</v>
      </c>
      <c r="E1918" s="698">
        <f t="shared" si="237"/>
        <v>581635</v>
      </c>
      <c r="F1918" s="699">
        <f t="shared" si="236"/>
        <v>79.67602739726027</v>
      </c>
      <c r="G1918" s="720"/>
      <c r="H1918" s="703"/>
      <c r="I1918" s="702"/>
      <c r="J1918" s="703"/>
      <c r="K1918" s="698"/>
      <c r="L1918" s="704"/>
      <c r="M1918" s="703">
        <f>1000000-400000+130000</f>
        <v>730000</v>
      </c>
      <c r="N1918" s="698">
        <v>581635</v>
      </c>
      <c r="O1918" s="744">
        <f t="shared" si="234"/>
        <v>79.67602739726027</v>
      </c>
      <c r="P1918" s="698"/>
      <c r="Q1918" s="698"/>
      <c r="R1918" s="770"/>
    </row>
    <row r="1919" spans="1:18" ht="120">
      <c r="A1919" s="764">
        <v>6220</v>
      </c>
      <c r="B1919" s="804" t="s">
        <v>491</v>
      </c>
      <c r="C1919" s="791"/>
      <c r="D1919" s="698">
        <f t="shared" si="233"/>
        <v>80000</v>
      </c>
      <c r="E1919" s="698">
        <f>SUM(H1919+K1919+N1919+Q1919)</f>
        <v>75200</v>
      </c>
      <c r="F1919" s="699">
        <f t="shared" si="236"/>
        <v>94</v>
      </c>
      <c r="G1919" s="791"/>
      <c r="H1919" s="793"/>
      <c r="I1919" s="796"/>
      <c r="J1919" s="793"/>
      <c r="K1919" s="792"/>
      <c r="L1919" s="794"/>
      <c r="M1919" s="793">
        <v>80000</v>
      </c>
      <c r="N1919" s="792">
        <v>75200</v>
      </c>
      <c r="O1919" s="761">
        <f t="shared" si="234"/>
        <v>94</v>
      </c>
      <c r="P1919" s="792"/>
      <c r="Q1919" s="792"/>
      <c r="R1919" s="797"/>
    </row>
    <row r="1920" spans="1:18" ht="28.5" customHeight="1">
      <c r="A1920" s="757">
        <v>92109</v>
      </c>
      <c r="B1920" s="852" t="s">
        <v>887</v>
      </c>
      <c r="C1920" s="725">
        <f>C1921</f>
        <v>2569000</v>
      </c>
      <c r="D1920" s="712">
        <f t="shared" si="233"/>
        <v>3614000</v>
      </c>
      <c r="E1920" s="712">
        <f>H1920+K1920+Q1920+N1920</f>
        <v>3597728</v>
      </c>
      <c r="F1920" s="713">
        <f t="shared" si="236"/>
        <v>99.54975096845601</v>
      </c>
      <c r="G1920" s="712">
        <f>G1921</f>
        <v>3614000</v>
      </c>
      <c r="H1920" s="712">
        <f>H1921</f>
        <v>3597728</v>
      </c>
      <c r="I1920" s="741">
        <f>H1920/G1920*100</f>
        <v>99.54975096845601</v>
      </c>
      <c r="J1920" s="717"/>
      <c r="K1920" s="712"/>
      <c r="L1920" s="718"/>
      <c r="M1920" s="712"/>
      <c r="N1920" s="712"/>
      <c r="O1920" s="719"/>
      <c r="P1920" s="712"/>
      <c r="Q1920" s="712"/>
      <c r="R1920" s="846"/>
    </row>
    <row r="1921" spans="1:20" s="818" customFormat="1" ht="24">
      <c r="A1921" s="1055"/>
      <c r="B1921" s="1056" t="s">
        <v>888</v>
      </c>
      <c r="C1921" s="1057">
        <f>SUM(C1922:C1935)+C1954+C1951+C1952</f>
        <v>2569000</v>
      </c>
      <c r="D1921" s="1058">
        <f t="shared" si="233"/>
        <v>3614000</v>
      </c>
      <c r="E1921" s="1058">
        <f>H1921+K1921+Q1921+N1921</f>
        <v>3597728</v>
      </c>
      <c r="F1921" s="713">
        <f t="shared" si="236"/>
        <v>99.54975096845601</v>
      </c>
      <c r="G1921" s="1058">
        <f>SUM(G1922:G1935)+G1951+G1952</f>
        <v>3614000</v>
      </c>
      <c r="H1921" s="1058">
        <f>SUM(H1922:H1935)+H1951+H1952</f>
        <v>3597728</v>
      </c>
      <c r="I1921" s="741">
        <f>H1921/G1921*100</f>
        <v>99.54975096845601</v>
      </c>
      <c r="J1921" s="1059"/>
      <c r="K1921" s="1058"/>
      <c r="L1921" s="718"/>
      <c r="M1921" s="1058"/>
      <c r="N1921" s="1058"/>
      <c r="O1921" s="719"/>
      <c r="P1921" s="1058"/>
      <c r="Q1921" s="1058"/>
      <c r="R1921" s="1019"/>
      <c r="S1921" s="817"/>
      <c r="T1921" s="817"/>
    </row>
    <row r="1922" spans="1:18" ht="40.5" customHeight="1" hidden="1">
      <c r="A1922" s="764">
        <v>3020</v>
      </c>
      <c r="B1922" s="768" t="s">
        <v>650</v>
      </c>
      <c r="C1922" s="720"/>
      <c r="D1922" s="698">
        <f t="shared" si="233"/>
        <v>0</v>
      </c>
      <c r="E1922" s="698">
        <f>SUM(H1922+K1922+N1922+Q1922)</f>
        <v>0</v>
      </c>
      <c r="F1922" s="699"/>
      <c r="G1922" s="777"/>
      <c r="H1922" s="778"/>
      <c r="I1922" s="744"/>
      <c r="J1922" s="778"/>
      <c r="K1922" s="777"/>
      <c r="L1922" s="779"/>
      <c r="M1922" s="720"/>
      <c r="N1922" s="698"/>
      <c r="O1922" s="702"/>
      <c r="P1922" s="698"/>
      <c r="Q1922" s="698"/>
      <c r="R1922" s="770"/>
    </row>
    <row r="1923" spans="1:18" ht="24.75" customHeight="1" hidden="1">
      <c r="A1923" s="764">
        <v>4010</v>
      </c>
      <c r="B1923" s="768" t="s">
        <v>201</v>
      </c>
      <c r="C1923" s="720"/>
      <c r="D1923" s="698">
        <f t="shared" si="233"/>
        <v>0</v>
      </c>
      <c r="E1923" s="698">
        <f aca="true" t="shared" si="238" ref="E1923:E1929">SUM(H1923+K1923+N1923+Q1923)</f>
        <v>0</v>
      </c>
      <c r="F1923" s="699"/>
      <c r="G1923" s="777"/>
      <c r="H1923" s="778"/>
      <c r="I1923" s="744"/>
      <c r="J1923" s="778"/>
      <c r="K1923" s="777"/>
      <c r="L1923" s="779"/>
      <c r="M1923" s="720"/>
      <c r="N1923" s="698"/>
      <c r="O1923" s="702"/>
      <c r="P1923" s="698"/>
      <c r="Q1923" s="698"/>
      <c r="R1923" s="770"/>
    </row>
    <row r="1924" spans="1:18" ht="27" customHeight="1" hidden="1">
      <c r="A1924" s="764">
        <v>4040</v>
      </c>
      <c r="B1924" s="768" t="s">
        <v>205</v>
      </c>
      <c r="C1924" s="720"/>
      <c r="D1924" s="698">
        <f t="shared" si="233"/>
        <v>0</v>
      </c>
      <c r="E1924" s="698">
        <f t="shared" si="238"/>
        <v>0</v>
      </c>
      <c r="F1924" s="699"/>
      <c r="G1924" s="777"/>
      <c r="H1924" s="778"/>
      <c r="I1924" s="744"/>
      <c r="J1924" s="778"/>
      <c r="K1924" s="777"/>
      <c r="L1924" s="779"/>
      <c r="M1924" s="720"/>
      <c r="N1924" s="698"/>
      <c r="O1924" s="702"/>
      <c r="P1924" s="698"/>
      <c r="Q1924" s="698"/>
      <c r="R1924" s="770"/>
    </row>
    <row r="1925" spans="1:18" ht="27" customHeight="1" hidden="1">
      <c r="A1925" s="764">
        <v>4110</v>
      </c>
      <c r="B1925" s="768" t="s">
        <v>207</v>
      </c>
      <c r="C1925" s="720"/>
      <c r="D1925" s="698">
        <f t="shared" si="233"/>
        <v>0</v>
      </c>
      <c r="E1925" s="698">
        <f t="shared" si="238"/>
        <v>0</v>
      </c>
      <c r="F1925" s="699"/>
      <c r="G1925" s="777"/>
      <c r="H1925" s="778"/>
      <c r="I1925" s="744"/>
      <c r="J1925" s="778"/>
      <c r="K1925" s="777"/>
      <c r="L1925" s="779"/>
      <c r="M1925" s="720"/>
      <c r="N1925" s="698"/>
      <c r="O1925" s="702"/>
      <c r="P1925" s="698"/>
      <c r="Q1925" s="698"/>
      <c r="R1925" s="770"/>
    </row>
    <row r="1926" spans="1:18" ht="19.5" customHeight="1" hidden="1">
      <c r="A1926" s="764">
        <v>4120</v>
      </c>
      <c r="B1926" s="768" t="s">
        <v>584</v>
      </c>
      <c r="C1926" s="720"/>
      <c r="D1926" s="698">
        <f t="shared" si="233"/>
        <v>0</v>
      </c>
      <c r="E1926" s="698">
        <f t="shared" si="238"/>
        <v>0</v>
      </c>
      <c r="F1926" s="699"/>
      <c r="G1926" s="777"/>
      <c r="H1926" s="778"/>
      <c r="I1926" s="744"/>
      <c r="J1926" s="778"/>
      <c r="K1926" s="777"/>
      <c r="L1926" s="779"/>
      <c r="M1926" s="720"/>
      <c r="N1926" s="698"/>
      <c r="O1926" s="702"/>
      <c r="P1926" s="698"/>
      <c r="Q1926" s="698"/>
      <c r="R1926" s="770"/>
    </row>
    <row r="1927" spans="1:18" ht="25.5" customHeight="1" hidden="1">
      <c r="A1927" s="764">
        <v>4210</v>
      </c>
      <c r="B1927" s="768" t="s">
        <v>211</v>
      </c>
      <c r="C1927" s="720"/>
      <c r="D1927" s="698">
        <f t="shared" si="233"/>
        <v>0</v>
      </c>
      <c r="E1927" s="698">
        <f t="shared" si="238"/>
        <v>0</v>
      </c>
      <c r="F1927" s="699"/>
      <c r="G1927" s="777"/>
      <c r="H1927" s="778"/>
      <c r="I1927" s="744"/>
      <c r="J1927" s="778"/>
      <c r="K1927" s="777"/>
      <c r="L1927" s="779"/>
      <c r="M1927" s="720"/>
      <c r="N1927" s="698"/>
      <c r="O1927" s="702"/>
      <c r="P1927" s="698"/>
      <c r="Q1927" s="698"/>
      <c r="R1927" s="770"/>
    </row>
    <row r="1928" spans="1:18" ht="38.25" customHeight="1" hidden="1">
      <c r="A1928" s="764">
        <v>4240</v>
      </c>
      <c r="B1928" s="768" t="s">
        <v>572</v>
      </c>
      <c r="C1928" s="720"/>
      <c r="D1928" s="698">
        <f t="shared" si="233"/>
        <v>0</v>
      </c>
      <c r="E1928" s="698">
        <f t="shared" si="238"/>
        <v>0</v>
      </c>
      <c r="F1928" s="699"/>
      <c r="G1928" s="777"/>
      <c r="H1928" s="778"/>
      <c r="I1928" s="744"/>
      <c r="J1928" s="778"/>
      <c r="K1928" s="777"/>
      <c r="L1928" s="779"/>
      <c r="M1928" s="720"/>
      <c r="N1928" s="698"/>
      <c r="O1928" s="702"/>
      <c r="P1928" s="698"/>
      <c r="Q1928" s="698"/>
      <c r="R1928" s="770"/>
    </row>
    <row r="1929" spans="1:18" ht="15" customHeight="1" hidden="1">
      <c r="A1929" s="764">
        <v>4260</v>
      </c>
      <c r="B1929" s="768" t="s">
        <v>215</v>
      </c>
      <c r="C1929" s="720"/>
      <c r="D1929" s="698">
        <f t="shared" si="233"/>
        <v>0</v>
      </c>
      <c r="E1929" s="698">
        <f t="shared" si="238"/>
        <v>0</v>
      </c>
      <c r="F1929" s="699"/>
      <c r="G1929" s="777"/>
      <c r="H1929" s="778"/>
      <c r="I1929" s="744"/>
      <c r="J1929" s="778"/>
      <c r="K1929" s="777"/>
      <c r="L1929" s="779"/>
      <c r="M1929" s="720"/>
      <c r="N1929" s="698"/>
      <c r="O1929" s="702"/>
      <c r="P1929" s="698"/>
      <c r="Q1929" s="698"/>
      <c r="R1929" s="770"/>
    </row>
    <row r="1930" spans="1:18" ht="21" customHeight="1" hidden="1">
      <c r="A1930" s="764">
        <v>4300</v>
      </c>
      <c r="B1930" s="768" t="s">
        <v>219</v>
      </c>
      <c r="C1930" s="720"/>
      <c r="D1930" s="698">
        <f t="shared" si="233"/>
        <v>0</v>
      </c>
      <c r="E1930" s="698">
        <f>SUM(H1930+K1930+N1930+Q1930)</f>
        <v>0</v>
      </c>
      <c r="F1930" s="699"/>
      <c r="G1930" s="777"/>
      <c r="H1930" s="778"/>
      <c r="I1930" s="744"/>
      <c r="J1930" s="778"/>
      <c r="K1930" s="777"/>
      <c r="L1930" s="779"/>
      <c r="M1930" s="720"/>
      <c r="N1930" s="698"/>
      <c r="O1930" s="702"/>
      <c r="P1930" s="698"/>
      <c r="Q1930" s="698"/>
      <c r="R1930" s="770"/>
    </row>
    <row r="1931" spans="1:18" ht="15.75" customHeight="1" hidden="1">
      <c r="A1931" s="764">
        <v>4410</v>
      </c>
      <c r="B1931" s="768" t="s">
        <v>193</v>
      </c>
      <c r="C1931" s="720"/>
      <c r="D1931" s="698">
        <f t="shared" si="233"/>
        <v>0</v>
      </c>
      <c r="E1931" s="698">
        <f>SUM(H1931+K1931+N1931+Q1931)</f>
        <v>0</v>
      </c>
      <c r="F1931" s="699"/>
      <c r="G1931" s="777"/>
      <c r="H1931" s="778"/>
      <c r="I1931" s="744"/>
      <c r="J1931" s="778"/>
      <c r="K1931" s="777"/>
      <c r="L1931" s="779"/>
      <c r="M1931" s="720"/>
      <c r="N1931" s="698"/>
      <c r="O1931" s="702"/>
      <c r="P1931" s="698"/>
      <c r="Q1931" s="698"/>
      <c r="R1931" s="770"/>
    </row>
    <row r="1932" spans="1:18" ht="15.75" customHeight="1" hidden="1">
      <c r="A1932" s="764">
        <v>4430</v>
      </c>
      <c r="B1932" s="768" t="s">
        <v>221</v>
      </c>
      <c r="C1932" s="720"/>
      <c r="D1932" s="698">
        <f t="shared" si="233"/>
        <v>0</v>
      </c>
      <c r="E1932" s="698">
        <f>SUM(H1932+K1932+N1932+Q1932)</f>
        <v>0</v>
      </c>
      <c r="F1932" s="699"/>
      <c r="G1932" s="777"/>
      <c r="H1932" s="778"/>
      <c r="I1932" s="744"/>
      <c r="J1932" s="778"/>
      <c r="K1932" s="777"/>
      <c r="L1932" s="779"/>
      <c r="M1932" s="720"/>
      <c r="N1932" s="698"/>
      <c r="O1932" s="702"/>
      <c r="P1932" s="698"/>
      <c r="Q1932" s="698"/>
      <c r="R1932" s="770"/>
    </row>
    <row r="1933" spans="1:18" ht="18" customHeight="1" hidden="1">
      <c r="A1933" s="764">
        <v>4440</v>
      </c>
      <c r="B1933" s="768" t="s">
        <v>223</v>
      </c>
      <c r="C1933" s="720"/>
      <c r="D1933" s="698">
        <f t="shared" si="233"/>
        <v>0</v>
      </c>
      <c r="E1933" s="698">
        <f>SUM(H1933+K1933+N1933+Q1933)</f>
        <v>0</v>
      </c>
      <c r="F1933" s="699"/>
      <c r="G1933" s="777"/>
      <c r="H1933" s="778"/>
      <c r="I1933" s="744"/>
      <c r="J1933" s="778"/>
      <c r="K1933" s="777"/>
      <c r="L1933" s="779"/>
      <c r="M1933" s="720"/>
      <c r="N1933" s="698"/>
      <c r="O1933" s="702"/>
      <c r="P1933" s="698"/>
      <c r="Q1933" s="698"/>
      <c r="R1933" s="770"/>
    </row>
    <row r="1934" spans="1:18" ht="19.5" customHeight="1" hidden="1">
      <c r="A1934" s="764">
        <v>4480</v>
      </c>
      <c r="B1934" s="768" t="s">
        <v>225</v>
      </c>
      <c r="C1934" s="720"/>
      <c r="D1934" s="698"/>
      <c r="E1934" s="698"/>
      <c r="F1934" s="699"/>
      <c r="G1934" s="776"/>
      <c r="H1934" s="777"/>
      <c r="I1934" s="744"/>
      <c r="J1934" s="778"/>
      <c r="K1934" s="777"/>
      <c r="L1934" s="779"/>
      <c r="M1934" s="720"/>
      <c r="N1934" s="698"/>
      <c r="O1934" s="702"/>
      <c r="P1934" s="698"/>
      <c r="Q1934" s="698"/>
      <c r="R1934" s="770"/>
    </row>
    <row r="1935" spans="1:20" s="818" customFormat="1" ht="60">
      <c r="A1935" s="784">
        <v>2480</v>
      </c>
      <c r="B1935" s="785" t="s">
        <v>876</v>
      </c>
      <c r="C1935" s="720">
        <f>SUM(C1936:C1954)</f>
        <v>2569000</v>
      </c>
      <c r="D1935" s="698">
        <f aca="true" t="shared" si="239" ref="D1935:E1955">G1935+J1935+P1935+M1935</f>
        <v>3614000</v>
      </c>
      <c r="E1935" s="698">
        <f t="shared" si="239"/>
        <v>3597728</v>
      </c>
      <c r="F1935" s="699">
        <f>E1935/D1935*100</f>
        <v>99.54975096845601</v>
      </c>
      <c r="G1935" s="720">
        <f>SUM(G1936:G1950)</f>
        <v>3614000</v>
      </c>
      <c r="H1935" s="698">
        <f>SUM(H1936:H1950)</f>
        <v>3597728</v>
      </c>
      <c r="I1935" s="744">
        <f>H1935/G1935*100</f>
        <v>99.54975096845601</v>
      </c>
      <c r="J1935" s="703"/>
      <c r="K1935" s="698"/>
      <c r="L1935" s="704"/>
      <c r="M1935" s="698"/>
      <c r="N1935" s="698"/>
      <c r="O1935" s="766"/>
      <c r="P1935" s="698"/>
      <c r="Q1935" s="698"/>
      <c r="R1935" s="770"/>
      <c r="S1935" s="817"/>
      <c r="T1935" s="817"/>
    </row>
    <row r="1936" spans="1:20" s="818" customFormat="1" ht="12.75">
      <c r="A1936" s="811"/>
      <c r="B1936" s="812" t="s">
        <v>877</v>
      </c>
      <c r="C1936" s="813">
        <v>1650000</v>
      </c>
      <c r="D1936" s="814">
        <f t="shared" si="239"/>
        <v>2200000</v>
      </c>
      <c r="E1936" s="814">
        <f t="shared" si="239"/>
        <v>2200000</v>
      </c>
      <c r="F1936" s="699">
        <f aca="true" t="shared" si="240" ref="F1936:F1950">E1936/D1936*100</f>
        <v>100</v>
      </c>
      <c r="G1936" s="813">
        <f>1650000+400000+150000</f>
        <v>2200000</v>
      </c>
      <c r="H1936" s="814">
        <f>958332+181944+181944+181944+181944+50000+131944+100000+131948+100000</f>
        <v>2200000</v>
      </c>
      <c r="I1936" s="744">
        <f aca="true" t="shared" si="241" ref="I1936:I1950">H1936/G1936*100</f>
        <v>100</v>
      </c>
      <c r="J1936" s="815"/>
      <c r="K1936" s="814"/>
      <c r="L1936" s="704"/>
      <c r="M1936" s="814"/>
      <c r="N1936" s="814"/>
      <c r="O1936" s="704"/>
      <c r="P1936" s="814"/>
      <c r="Q1936" s="814"/>
      <c r="R1936" s="831"/>
      <c r="S1936" s="817"/>
      <c r="T1936" s="817"/>
    </row>
    <row r="1937" spans="1:20" s="818" customFormat="1" ht="12.75">
      <c r="A1937" s="811"/>
      <c r="B1937" s="812" t="s">
        <v>346</v>
      </c>
      <c r="C1937" s="813"/>
      <c r="D1937" s="814">
        <f>G1937+J1937+P1937+M1937</f>
        <v>440000</v>
      </c>
      <c r="E1937" s="814">
        <f>H1937+K1937+Q1937+N1937</f>
        <v>440000</v>
      </c>
      <c r="F1937" s="699">
        <f>E1937/D1937*100</f>
        <v>100</v>
      </c>
      <c r="G1937" s="813">
        <v>440000</v>
      </c>
      <c r="H1937" s="814">
        <v>440000</v>
      </c>
      <c r="I1937" s="744">
        <f t="shared" si="241"/>
        <v>100</v>
      </c>
      <c r="J1937" s="815"/>
      <c r="K1937" s="814"/>
      <c r="L1937" s="704"/>
      <c r="M1937" s="814"/>
      <c r="N1937" s="814"/>
      <c r="O1937" s="704"/>
      <c r="P1937" s="814"/>
      <c r="Q1937" s="814"/>
      <c r="R1937" s="831"/>
      <c r="S1937" s="817"/>
      <c r="T1937" s="817"/>
    </row>
    <row r="1938" spans="1:20" s="818" customFormat="1" ht="12.75">
      <c r="A1938" s="811"/>
      <c r="B1938" s="812" t="s">
        <v>889</v>
      </c>
      <c r="C1938" s="813">
        <v>547000</v>
      </c>
      <c r="D1938" s="814">
        <f t="shared" si="239"/>
        <v>547000</v>
      </c>
      <c r="E1938" s="814">
        <f t="shared" si="239"/>
        <v>547000</v>
      </c>
      <c r="F1938" s="699">
        <f t="shared" si="240"/>
        <v>100</v>
      </c>
      <c r="G1938" s="813">
        <v>547000</v>
      </c>
      <c r="H1938" s="814">
        <f>412580+30000+90000+14420</f>
        <v>547000</v>
      </c>
      <c r="I1938" s="744">
        <f t="shared" si="241"/>
        <v>100</v>
      </c>
      <c r="J1938" s="815"/>
      <c r="K1938" s="814"/>
      <c r="L1938" s="704"/>
      <c r="M1938" s="814"/>
      <c r="N1938" s="814"/>
      <c r="O1938" s="704"/>
      <c r="P1938" s="814"/>
      <c r="Q1938" s="814"/>
      <c r="R1938" s="831"/>
      <c r="S1938" s="817"/>
      <c r="T1938" s="817"/>
    </row>
    <row r="1939" spans="1:20" s="818" customFormat="1" ht="12.75">
      <c r="A1939" s="811"/>
      <c r="B1939" s="812" t="s">
        <v>492</v>
      </c>
      <c r="C1939" s="813"/>
      <c r="D1939" s="814">
        <f t="shared" si="239"/>
        <v>16400</v>
      </c>
      <c r="E1939" s="814">
        <f t="shared" si="239"/>
        <v>340</v>
      </c>
      <c r="F1939" s="699">
        <f t="shared" si="240"/>
        <v>2.073170731707317</v>
      </c>
      <c r="G1939" s="813">
        <v>16400</v>
      </c>
      <c r="H1939" s="814">
        <f>7200-6860</f>
        <v>340</v>
      </c>
      <c r="I1939" s="744">
        <f t="shared" si="241"/>
        <v>2.073170731707317</v>
      </c>
      <c r="J1939" s="815"/>
      <c r="K1939" s="814"/>
      <c r="L1939" s="704"/>
      <c r="M1939" s="814"/>
      <c r="N1939" s="814"/>
      <c r="O1939" s="704"/>
      <c r="P1939" s="814"/>
      <c r="Q1939" s="814"/>
      <c r="R1939" s="831"/>
      <c r="S1939" s="817"/>
      <c r="T1939" s="817"/>
    </row>
    <row r="1940" spans="1:20" s="818" customFormat="1" ht="24">
      <c r="A1940" s="811" t="s">
        <v>342</v>
      </c>
      <c r="B1940" s="812" t="s">
        <v>347</v>
      </c>
      <c r="C1940" s="813"/>
      <c r="D1940" s="814">
        <f>G1940+J1940+P1940+M1940</f>
        <v>25000</v>
      </c>
      <c r="E1940" s="814">
        <f>H1940+K1940+Q1940+N1940</f>
        <v>25000</v>
      </c>
      <c r="F1940" s="699">
        <f>E1940/D1940*100</f>
        <v>100</v>
      </c>
      <c r="G1940" s="813">
        <v>25000</v>
      </c>
      <c r="H1940" s="814">
        <v>25000</v>
      </c>
      <c r="I1940" s="744">
        <f t="shared" si="241"/>
        <v>100</v>
      </c>
      <c r="J1940" s="815"/>
      <c r="K1940" s="814"/>
      <c r="L1940" s="704"/>
      <c r="M1940" s="814"/>
      <c r="N1940" s="814"/>
      <c r="O1940" s="704"/>
      <c r="P1940" s="814"/>
      <c r="Q1940" s="814"/>
      <c r="R1940" s="831"/>
      <c r="S1940" s="817"/>
      <c r="T1940" s="817"/>
    </row>
    <row r="1941" spans="1:20" s="818" customFormat="1" ht="24">
      <c r="A1941" s="811"/>
      <c r="B1941" s="812" t="s">
        <v>348</v>
      </c>
      <c r="C1941" s="813">
        <v>250000</v>
      </c>
      <c r="D1941" s="814">
        <f t="shared" si="239"/>
        <v>250000</v>
      </c>
      <c r="E1941" s="814">
        <f t="shared" si="239"/>
        <v>250000</v>
      </c>
      <c r="F1941" s="699">
        <f t="shared" si="240"/>
        <v>100</v>
      </c>
      <c r="G1941" s="813">
        <v>250000</v>
      </c>
      <c r="H1941" s="814">
        <f>100000+150000</f>
        <v>250000</v>
      </c>
      <c r="I1941" s="744">
        <f t="shared" si="241"/>
        <v>100</v>
      </c>
      <c r="J1941" s="815"/>
      <c r="K1941" s="814"/>
      <c r="L1941" s="704"/>
      <c r="M1941" s="814"/>
      <c r="N1941" s="814"/>
      <c r="O1941" s="704"/>
      <c r="P1941" s="814"/>
      <c r="Q1941" s="814"/>
      <c r="R1941" s="831"/>
      <c r="S1941" s="817"/>
      <c r="T1941" s="817"/>
    </row>
    <row r="1942" spans="1:20" s="818" customFormat="1" ht="25.5" customHeight="1">
      <c r="A1942" s="811"/>
      <c r="B1942" s="812" t="s">
        <v>792</v>
      </c>
      <c r="C1942" s="813"/>
      <c r="D1942" s="814">
        <f t="shared" si="239"/>
        <v>15000</v>
      </c>
      <c r="E1942" s="814">
        <f t="shared" si="239"/>
        <v>14900</v>
      </c>
      <c r="F1942" s="699">
        <f t="shared" si="240"/>
        <v>99.33333333333333</v>
      </c>
      <c r="G1942" s="813">
        <f>30000-15000</f>
        <v>15000</v>
      </c>
      <c r="H1942" s="814">
        <f>15000-100</f>
        <v>14900</v>
      </c>
      <c r="I1942" s="744">
        <f t="shared" si="241"/>
        <v>99.33333333333333</v>
      </c>
      <c r="J1942" s="815"/>
      <c r="K1942" s="814"/>
      <c r="L1942" s="704"/>
      <c r="M1942" s="814"/>
      <c r="N1942" s="814"/>
      <c r="O1942" s="704"/>
      <c r="P1942" s="814"/>
      <c r="Q1942" s="814"/>
      <c r="R1942" s="831"/>
      <c r="S1942" s="817"/>
      <c r="T1942" s="817"/>
    </row>
    <row r="1943" spans="1:20" s="818" customFormat="1" ht="12.75">
      <c r="A1943" s="811"/>
      <c r="B1943" s="812" t="s">
        <v>890</v>
      </c>
      <c r="C1943" s="813">
        <v>62000</v>
      </c>
      <c r="D1943" s="814">
        <f t="shared" si="239"/>
        <v>62000</v>
      </c>
      <c r="E1943" s="814">
        <f t="shared" si="239"/>
        <v>62000</v>
      </c>
      <c r="F1943" s="699">
        <f t="shared" si="240"/>
        <v>100</v>
      </c>
      <c r="G1943" s="813">
        <v>62000</v>
      </c>
      <c r="H1943" s="814">
        <f>34600+27400</f>
        <v>62000</v>
      </c>
      <c r="I1943" s="744">
        <f t="shared" si="241"/>
        <v>100</v>
      </c>
      <c r="J1943" s="815"/>
      <c r="K1943" s="814"/>
      <c r="L1943" s="704"/>
      <c r="M1943" s="814"/>
      <c r="N1943" s="814"/>
      <c r="O1943" s="704"/>
      <c r="P1943" s="814"/>
      <c r="Q1943" s="814"/>
      <c r="R1943" s="831"/>
      <c r="S1943" s="817"/>
      <c r="T1943" s="817"/>
    </row>
    <row r="1944" spans="1:20" s="818" customFormat="1" ht="24">
      <c r="A1944" s="811"/>
      <c r="B1944" s="812" t="s">
        <v>891</v>
      </c>
      <c r="C1944" s="813">
        <v>15000</v>
      </c>
      <c r="D1944" s="814">
        <f t="shared" si="239"/>
        <v>15000</v>
      </c>
      <c r="E1944" s="814">
        <f t="shared" si="239"/>
        <v>14919</v>
      </c>
      <c r="F1944" s="699">
        <f t="shared" si="240"/>
        <v>99.46000000000001</v>
      </c>
      <c r="G1944" s="813">
        <v>15000</v>
      </c>
      <c r="H1944" s="814">
        <f>10000+5000-81</f>
        <v>14919</v>
      </c>
      <c r="I1944" s="744">
        <f t="shared" si="241"/>
        <v>99.46000000000001</v>
      </c>
      <c r="J1944" s="815"/>
      <c r="K1944" s="814"/>
      <c r="L1944" s="704"/>
      <c r="M1944" s="814"/>
      <c r="N1944" s="814"/>
      <c r="O1944" s="704"/>
      <c r="P1944" s="814"/>
      <c r="Q1944" s="814"/>
      <c r="R1944" s="831"/>
      <c r="S1944" s="817"/>
      <c r="T1944" s="817"/>
    </row>
    <row r="1945" spans="1:20" s="818" customFormat="1" ht="16.5" customHeight="1">
      <c r="A1945" s="811"/>
      <c r="B1945" s="812" t="s">
        <v>892</v>
      </c>
      <c r="C1945" s="813">
        <v>45000</v>
      </c>
      <c r="D1945" s="814">
        <f t="shared" si="239"/>
        <v>28600</v>
      </c>
      <c r="E1945" s="814">
        <f t="shared" si="239"/>
        <v>28569</v>
      </c>
      <c r="F1945" s="699">
        <f t="shared" si="240"/>
        <v>99.89160839160839</v>
      </c>
      <c r="G1945" s="813">
        <f>45000-16400</f>
        <v>28600</v>
      </c>
      <c r="H1945" s="814">
        <f>35800-31-7200</f>
        <v>28569</v>
      </c>
      <c r="I1945" s="744">
        <f t="shared" si="241"/>
        <v>99.89160839160839</v>
      </c>
      <c r="J1945" s="815"/>
      <c r="K1945" s="814"/>
      <c r="L1945" s="704"/>
      <c r="M1945" s="814"/>
      <c r="N1945" s="814"/>
      <c r="O1945" s="704"/>
      <c r="P1945" s="814"/>
      <c r="Q1945" s="814"/>
      <c r="R1945" s="831"/>
      <c r="S1945" s="817"/>
      <c r="T1945" s="817"/>
    </row>
    <row r="1946" spans="1:20" s="818" customFormat="1" ht="84" hidden="1">
      <c r="A1946" s="811"/>
      <c r="B1946" s="812" t="s">
        <v>512</v>
      </c>
      <c r="C1946" s="813"/>
      <c r="D1946" s="814">
        <f t="shared" si="239"/>
        <v>0</v>
      </c>
      <c r="E1946" s="814">
        <f>H1946+K1946+Q1946+N1946</f>
        <v>0</v>
      </c>
      <c r="F1946" s="699" t="e">
        <f>E1946/D1946*100</f>
        <v>#DIV/0!</v>
      </c>
      <c r="G1946" s="813"/>
      <c r="H1946" s="814"/>
      <c r="I1946" s="744" t="e">
        <f t="shared" si="241"/>
        <v>#DIV/0!</v>
      </c>
      <c r="J1946" s="815"/>
      <c r="K1946" s="814"/>
      <c r="L1946" s="704"/>
      <c r="M1946" s="814"/>
      <c r="N1946" s="814"/>
      <c r="O1946" s="704"/>
      <c r="P1946" s="814"/>
      <c r="Q1946" s="814"/>
      <c r="R1946" s="831"/>
      <c r="S1946" s="817"/>
      <c r="T1946" s="817"/>
    </row>
    <row r="1947" spans="1:20" s="818" customFormat="1" ht="24" hidden="1">
      <c r="A1947" s="811"/>
      <c r="B1947" s="812" t="s">
        <v>513</v>
      </c>
      <c r="C1947" s="813"/>
      <c r="D1947" s="814">
        <f>G1947+J1947+P1947+M1947</f>
        <v>0</v>
      </c>
      <c r="E1947" s="814">
        <f>H1947+K1947+Q1947+N1947</f>
        <v>0</v>
      </c>
      <c r="F1947" s="699" t="e">
        <f>E1947/D1947*100</f>
        <v>#DIV/0!</v>
      </c>
      <c r="G1947" s="813"/>
      <c r="H1947" s="814"/>
      <c r="I1947" s="744" t="e">
        <f t="shared" si="241"/>
        <v>#DIV/0!</v>
      </c>
      <c r="J1947" s="815"/>
      <c r="K1947" s="814"/>
      <c r="L1947" s="704"/>
      <c r="M1947" s="814"/>
      <c r="N1947" s="814"/>
      <c r="O1947" s="704"/>
      <c r="P1947" s="814"/>
      <c r="Q1947" s="814"/>
      <c r="R1947" s="831"/>
      <c r="S1947" s="817"/>
      <c r="T1947" s="817"/>
    </row>
    <row r="1948" spans="1:20" s="818" customFormat="1" ht="12.75" hidden="1">
      <c r="A1948" s="811"/>
      <c r="B1948" s="812" t="s">
        <v>514</v>
      </c>
      <c r="C1948" s="813"/>
      <c r="D1948" s="814">
        <f>G1948+J1948+P1948+M1948</f>
        <v>0</v>
      </c>
      <c r="E1948" s="814">
        <f>H1948+K1948+Q1948+N1948</f>
        <v>0</v>
      </c>
      <c r="F1948" s="699" t="e">
        <f>E1948/D1948*100</f>
        <v>#DIV/0!</v>
      </c>
      <c r="G1948" s="813"/>
      <c r="H1948" s="814"/>
      <c r="I1948" s="744" t="e">
        <f t="shared" si="241"/>
        <v>#DIV/0!</v>
      </c>
      <c r="J1948" s="815"/>
      <c r="K1948" s="814"/>
      <c r="L1948" s="704"/>
      <c r="M1948" s="814"/>
      <c r="N1948" s="814"/>
      <c r="O1948" s="704"/>
      <c r="P1948" s="814"/>
      <c r="Q1948" s="814"/>
      <c r="R1948" s="831"/>
      <c r="S1948" s="817"/>
      <c r="T1948" s="817"/>
    </row>
    <row r="1949" spans="1:20" s="818" customFormat="1" ht="12.75" hidden="1">
      <c r="A1949" s="811"/>
      <c r="B1949" s="812" t="s">
        <v>515</v>
      </c>
      <c r="C1949" s="813"/>
      <c r="D1949" s="814">
        <f>G1949+J1949+P1949+M1949</f>
        <v>0</v>
      </c>
      <c r="E1949" s="814">
        <f>H1949+K1949+Q1949+N1949</f>
        <v>0</v>
      </c>
      <c r="F1949" s="699" t="e">
        <f>E1949/D1949*100</f>
        <v>#DIV/0!</v>
      </c>
      <c r="G1949" s="813"/>
      <c r="H1949" s="814"/>
      <c r="I1949" s="744" t="e">
        <f t="shared" si="241"/>
        <v>#DIV/0!</v>
      </c>
      <c r="J1949" s="815"/>
      <c r="K1949" s="814"/>
      <c r="L1949" s="704"/>
      <c r="M1949" s="814"/>
      <c r="N1949" s="814"/>
      <c r="O1949" s="704"/>
      <c r="P1949" s="814"/>
      <c r="Q1949" s="814"/>
      <c r="R1949" s="831"/>
      <c r="S1949" s="817"/>
      <c r="T1949" s="817"/>
    </row>
    <row r="1950" spans="1:20" s="818" customFormat="1" ht="72">
      <c r="A1950" s="811"/>
      <c r="B1950" s="812" t="s">
        <v>793</v>
      </c>
      <c r="C1950" s="813"/>
      <c r="D1950" s="814">
        <f t="shared" si="239"/>
        <v>15000</v>
      </c>
      <c r="E1950" s="814">
        <f t="shared" si="239"/>
        <v>15000</v>
      </c>
      <c r="F1950" s="699">
        <f t="shared" si="240"/>
        <v>100</v>
      </c>
      <c r="G1950" s="813">
        <v>15000</v>
      </c>
      <c r="H1950" s="814">
        <v>15000</v>
      </c>
      <c r="I1950" s="744">
        <f t="shared" si="241"/>
        <v>100</v>
      </c>
      <c r="J1950" s="815"/>
      <c r="K1950" s="814"/>
      <c r="L1950" s="704"/>
      <c r="M1950" s="814"/>
      <c r="N1950" s="814"/>
      <c r="O1950" s="704"/>
      <c r="P1950" s="814"/>
      <c r="Q1950" s="814"/>
      <c r="R1950" s="831"/>
      <c r="S1950" s="817"/>
      <c r="T1950" s="817"/>
    </row>
    <row r="1951" spans="1:20" s="818" customFormat="1" ht="48" hidden="1">
      <c r="A1951" s="764">
        <v>6050</v>
      </c>
      <c r="B1951" s="768" t="s">
        <v>493</v>
      </c>
      <c r="C1951" s="720"/>
      <c r="D1951" s="698">
        <f t="shared" si="239"/>
        <v>0</v>
      </c>
      <c r="E1951" s="698">
        <f t="shared" si="239"/>
        <v>0</v>
      </c>
      <c r="F1951" s="699"/>
      <c r="G1951" s="720"/>
      <c r="H1951" s="698"/>
      <c r="I1951" s="744"/>
      <c r="J1951" s="703"/>
      <c r="K1951" s="698"/>
      <c r="L1951" s="704"/>
      <c r="M1951" s="698"/>
      <c r="N1951" s="698"/>
      <c r="O1951" s="766"/>
      <c r="P1951" s="698"/>
      <c r="Q1951" s="698"/>
      <c r="R1951" s="770"/>
      <c r="S1951" s="817"/>
      <c r="T1951" s="817"/>
    </row>
    <row r="1952" spans="1:18" ht="108" hidden="1">
      <c r="A1952" s="764">
        <v>6220</v>
      </c>
      <c r="B1952" s="768" t="s">
        <v>738</v>
      </c>
      <c r="C1952" s="720"/>
      <c r="D1952" s="698">
        <f t="shared" si="239"/>
        <v>0</v>
      </c>
      <c r="E1952" s="698">
        <f>SUM(H1952+K1952+N1952+Q1952)</f>
        <v>0</v>
      </c>
      <c r="F1952" s="699" t="e">
        <f>E1952/D1952*100</f>
        <v>#DIV/0!</v>
      </c>
      <c r="G1952" s="720"/>
      <c r="H1952" s="698"/>
      <c r="I1952" s="744" t="e">
        <f>H1952/G1952*100</f>
        <v>#DIV/0!</v>
      </c>
      <c r="J1952" s="703"/>
      <c r="K1952" s="698"/>
      <c r="L1952" s="704"/>
      <c r="M1952" s="698"/>
      <c r="N1952" s="698"/>
      <c r="O1952" s="766"/>
      <c r="P1952" s="698"/>
      <c r="Q1952" s="698"/>
      <c r="R1952" s="770"/>
    </row>
    <row r="1953" spans="1:20" s="818" customFormat="1" ht="25.5" customHeight="1" hidden="1">
      <c r="A1953" s="811"/>
      <c r="B1953" s="812" t="s">
        <v>893</v>
      </c>
      <c r="C1953" s="891"/>
      <c r="D1953" s="892">
        <f t="shared" si="239"/>
        <v>0</v>
      </c>
      <c r="E1953" s="892">
        <f>SUM(H1953+K1953+N1953+Q1953)</f>
        <v>0</v>
      </c>
      <c r="F1953" s="699" t="e">
        <f>E1953/D1953*100</f>
        <v>#DIV/0!</v>
      </c>
      <c r="G1953" s="891"/>
      <c r="H1953" s="892"/>
      <c r="I1953" s="744" t="e">
        <f>H1953/G1953*100</f>
        <v>#DIV/0!</v>
      </c>
      <c r="J1953" s="893"/>
      <c r="K1953" s="892"/>
      <c r="L1953" s="704"/>
      <c r="M1953" s="892"/>
      <c r="N1953" s="892"/>
      <c r="O1953" s="704"/>
      <c r="P1953" s="892"/>
      <c r="Q1953" s="892"/>
      <c r="R1953" s="831"/>
      <c r="S1953" s="817"/>
      <c r="T1953" s="817"/>
    </row>
    <row r="1954" spans="1:18" ht="41.25" customHeight="1" hidden="1">
      <c r="A1954" s="789">
        <v>6050</v>
      </c>
      <c r="B1954" s="804" t="s">
        <v>494</v>
      </c>
      <c r="C1954" s="1060"/>
      <c r="D1954" s="1061">
        <f t="shared" si="239"/>
        <v>0</v>
      </c>
      <c r="E1954" s="1061">
        <f>SUM(H1954+K1954+N1954+Q1954)</f>
        <v>0</v>
      </c>
      <c r="F1954" s="760"/>
      <c r="G1954" s="791"/>
      <c r="H1954" s="792"/>
      <c r="I1954" s="1062"/>
      <c r="J1954" s="793"/>
      <c r="K1954" s="792"/>
      <c r="L1954" s="794"/>
      <c r="M1954" s="1060"/>
      <c r="N1954" s="792"/>
      <c r="O1954" s="796"/>
      <c r="P1954" s="792"/>
      <c r="Q1954" s="792"/>
      <c r="R1954" s="797"/>
    </row>
    <row r="1955" spans="1:18" ht="25.5" customHeight="1">
      <c r="A1955" s="757">
        <v>92116</v>
      </c>
      <c r="B1955" s="852" t="s">
        <v>894</v>
      </c>
      <c r="C1955" s="725">
        <f>SUM(C1956)</f>
        <v>3904400</v>
      </c>
      <c r="D1955" s="712">
        <f t="shared" si="239"/>
        <v>4043100</v>
      </c>
      <c r="E1955" s="712">
        <f>H1955+K1955+Q1955+N1955</f>
        <v>4028071</v>
      </c>
      <c r="F1955" s="713">
        <f aca="true" t="shared" si="242" ref="F1955:F2018">E1955/D1955*100</f>
        <v>99.62828027998319</v>
      </c>
      <c r="G1955" s="725">
        <f>G1956</f>
        <v>1368000</v>
      </c>
      <c r="H1955" s="712">
        <f>H1956</f>
        <v>1368000</v>
      </c>
      <c r="I1955" s="741">
        <f>H1955/G1955*100</f>
        <v>100</v>
      </c>
      <c r="J1955" s="717"/>
      <c r="K1955" s="712"/>
      <c r="L1955" s="718"/>
      <c r="M1955" s="712">
        <f>SUM(M1956)</f>
        <v>2675100</v>
      </c>
      <c r="N1955" s="712">
        <f>SUM(N1956)</f>
        <v>2660071</v>
      </c>
      <c r="O1955" s="741">
        <f aca="true" t="shared" si="243" ref="O1955:O1995">N1955/M1955*100</f>
        <v>99.43818922657097</v>
      </c>
      <c r="P1955" s="712"/>
      <c r="Q1955" s="712"/>
      <c r="R1955" s="846"/>
    </row>
    <row r="1956" spans="1:20" s="756" customFormat="1" ht="60">
      <c r="A1956" s="784">
        <v>2480</v>
      </c>
      <c r="B1956" s="785" t="s">
        <v>876</v>
      </c>
      <c r="C1956" s="723">
        <f>SUM(C1957:C1967)</f>
        <v>3904400</v>
      </c>
      <c r="D1956" s="732">
        <f>G1956+J1956+P1956+M1956</f>
        <v>4043100</v>
      </c>
      <c r="E1956" s="732">
        <f>SUM(H1956+K1956+N1956+Q1956)</f>
        <v>4028071</v>
      </c>
      <c r="F1956" s="721">
        <f t="shared" si="242"/>
        <v>99.62828027998319</v>
      </c>
      <c r="G1956" s="723">
        <f>SUM(G1957:G1968)</f>
        <v>1368000</v>
      </c>
      <c r="H1956" s="732">
        <f>SUM(H1957:H1968)</f>
        <v>1368000</v>
      </c>
      <c r="I1956" s="786">
        <f>H1956/G1956*100</f>
        <v>100</v>
      </c>
      <c r="J1956" s="735"/>
      <c r="K1956" s="732"/>
      <c r="L1956" s="736"/>
      <c r="M1956" s="732">
        <f>SUM(M1957:M1967)</f>
        <v>2675100</v>
      </c>
      <c r="N1956" s="732">
        <f>SUM(N1957:N1967)</f>
        <v>2660071</v>
      </c>
      <c r="O1956" s="786">
        <f t="shared" si="243"/>
        <v>99.43818922657097</v>
      </c>
      <c r="P1956" s="732"/>
      <c r="Q1956" s="732"/>
      <c r="R1956" s="788"/>
      <c r="S1956" s="682"/>
      <c r="T1956" s="682"/>
    </row>
    <row r="1957" spans="1:20" s="862" customFormat="1" ht="12.75">
      <c r="A1957" s="811"/>
      <c r="B1957" s="812" t="s">
        <v>877</v>
      </c>
      <c r="C1957" s="813">
        <f>2411000+1328000</f>
        <v>3739000</v>
      </c>
      <c r="D1957" s="814">
        <f aca="true" t="shared" si="244" ref="D1957:D2048">G1957+J1957+P1957+M1957</f>
        <v>3759000</v>
      </c>
      <c r="E1957" s="814">
        <f aca="true" t="shared" si="245" ref="E1957:E1967">SUM(H1957+K1957+N1957+Q1957)</f>
        <v>3759000</v>
      </c>
      <c r="F1957" s="699">
        <f t="shared" si="242"/>
        <v>100</v>
      </c>
      <c r="G1957" s="816">
        <f>1328000+20000+20000</f>
        <v>1368000</v>
      </c>
      <c r="H1957" s="814">
        <f>670266+112822+112822+112822+131268+114000+114000</f>
        <v>1368000</v>
      </c>
      <c r="I1957" s="744">
        <f>H1957/G1957*100</f>
        <v>100</v>
      </c>
      <c r="J1957" s="815"/>
      <c r="K1957" s="814"/>
      <c r="L1957" s="704"/>
      <c r="M1957" s="814">
        <f>2411000-20000</f>
        <v>2391000</v>
      </c>
      <c r="N1957" s="814">
        <f>200900+200900+200900+200900+200900+200900+200900+200900+200900+184400+199250+199250</f>
        <v>2391000</v>
      </c>
      <c r="O1957" s="744">
        <f t="shared" si="243"/>
        <v>100</v>
      </c>
      <c r="P1957" s="814"/>
      <c r="Q1957" s="814"/>
      <c r="R1957" s="831"/>
      <c r="S1957" s="861"/>
      <c r="T1957" s="861"/>
    </row>
    <row r="1958" spans="1:20" s="862" customFormat="1" ht="12.75">
      <c r="A1958" s="811"/>
      <c r="B1958" s="812" t="s">
        <v>878</v>
      </c>
      <c r="C1958" s="813"/>
      <c r="D1958" s="814">
        <f>G1958+J1958+P1958+M1958</f>
        <v>40000</v>
      </c>
      <c r="E1958" s="814">
        <f>SUM(H1958+K1958+N1958+Q1958)</f>
        <v>40000</v>
      </c>
      <c r="F1958" s="699">
        <f>E1958/D1958*100</f>
        <v>100</v>
      </c>
      <c r="G1958" s="816"/>
      <c r="H1958" s="814"/>
      <c r="I1958" s="744"/>
      <c r="J1958" s="815"/>
      <c r="K1958" s="814"/>
      <c r="L1958" s="704"/>
      <c r="M1958" s="814">
        <v>40000</v>
      </c>
      <c r="N1958" s="814">
        <v>40000</v>
      </c>
      <c r="O1958" s="744">
        <f>N1958/M1958*100</f>
        <v>100</v>
      </c>
      <c r="P1958" s="814"/>
      <c r="Q1958" s="814"/>
      <c r="R1958" s="831"/>
      <c r="S1958" s="861"/>
      <c r="T1958" s="861"/>
    </row>
    <row r="1959" spans="1:20" s="862" customFormat="1" ht="48">
      <c r="A1959" s="811"/>
      <c r="B1959" s="812" t="s">
        <v>495</v>
      </c>
      <c r="C1959" s="813"/>
      <c r="D1959" s="814">
        <f>G1959+J1959+P1959+M1959</f>
        <v>3700</v>
      </c>
      <c r="E1959" s="814">
        <f>SUM(H1959+K1959+N1959+Q1959)</f>
        <v>3700</v>
      </c>
      <c r="F1959" s="699">
        <f>E1959/D1959*100</f>
        <v>100</v>
      </c>
      <c r="G1959" s="816"/>
      <c r="H1959" s="814"/>
      <c r="I1959" s="744"/>
      <c r="J1959" s="815"/>
      <c r="K1959" s="814"/>
      <c r="L1959" s="704"/>
      <c r="M1959" s="814">
        <v>3700</v>
      </c>
      <c r="N1959" s="814">
        <v>3700</v>
      </c>
      <c r="O1959" s="744">
        <f>N1959/M1959*100</f>
        <v>100</v>
      </c>
      <c r="P1959" s="814"/>
      <c r="Q1959" s="814"/>
      <c r="R1959" s="831"/>
      <c r="S1959" s="861"/>
      <c r="T1959" s="861"/>
    </row>
    <row r="1960" spans="1:20" s="862" customFormat="1" ht="36" hidden="1">
      <c r="A1960" s="811"/>
      <c r="B1960" s="812" t="s">
        <v>879</v>
      </c>
      <c r="C1960" s="813"/>
      <c r="D1960" s="814">
        <f t="shared" si="244"/>
        <v>0</v>
      </c>
      <c r="E1960" s="814">
        <f t="shared" si="245"/>
        <v>0</v>
      </c>
      <c r="F1960" s="699"/>
      <c r="G1960" s="816"/>
      <c r="H1960" s="814"/>
      <c r="I1960" s="744"/>
      <c r="J1960" s="815"/>
      <c r="K1960" s="814"/>
      <c r="L1960" s="704"/>
      <c r="M1960" s="814"/>
      <c r="N1960" s="814"/>
      <c r="O1960" s="744"/>
      <c r="P1960" s="814"/>
      <c r="Q1960" s="814"/>
      <c r="R1960" s="831"/>
      <c r="S1960" s="861"/>
      <c r="T1960" s="861"/>
    </row>
    <row r="1961" spans="1:20" s="862" customFormat="1" ht="24">
      <c r="A1961" s="811"/>
      <c r="B1961" s="812" t="s">
        <v>496</v>
      </c>
      <c r="C1961" s="813"/>
      <c r="D1961" s="814">
        <f t="shared" si="244"/>
        <v>28300</v>
      </c>
      <c r="E1961" s="814">
        <f t="shared" si="245"/>
        <v>27773</v>
      </c>
      <c r="F1961" s="699">
        <f t="shared" si="242"/>
        <v>98.13780918727916</v>
      </c>
      <c r="G1961" s="816"/>
      <c r="H1961" s="814"/>
      <c r="I1961" s="744"/>
      <c r="J1961" s="815"/>
      <c r="K1961" s="814"/>
      <c r="L1961" s="704"/>
      <c r="M1961" s="814">
        <v>28300</v>
      </c>
      <c r="N1961" s="814">
        <v>27773</v>
      </c>
      <c r="O1961" s="744">
        <f t="shared" si="243"/>
        <v>98.13780918727916</v>
      </c>
      <c r="P1961" s="814"/>
      <c r="Q1961" s="814"/>
      <c r="R1961" s="831"/>
      <c r="S1961" s="861"/>
      <c r="T1961" s="861"/>
    </row>
    <row r="1962" spans="1:20" s="862" customFormat="1" ht="12.75">
      <c r="A1962" s="811"/>
      <c r="B1962" s="812" t="s">
        <v>895</v>
      </c>
      <c r="C1962" s="813">
        <v>41000</v>
      </c>
      <c r="D1962" s="814">
        <f t="shared" si="244"/>
        <v>41000</v>
      </c>
      <c r="E1962" s="814">
        <f t="shared" si="245"/>
        <v>40788</v>
      </c>
      <c r="F1962" s="699">
        <f t="shared" si="242"/>
        <v>99.4829268292683</v>
      </c>
      <c r="G1962" s="816"/>
      <c r="H1962" s="814"/>
      <c r="I1962" s="744"/>
      <c r="J1962" s="815"/>
      <c r="K1962" s="814"/>
      <c r="L1962" s="704"/>
      <c r="M1962" s="814">
        <v>41000</v>
      </c>
      <c r="N1962" s="814">
        <f>10250+22250+8500-212</f>
        <v>40788</v>
      </c>
      <c r="O1962" s="744">
        <f t="shared" si="243"/>
        <v>99.4829268292683</v>
      </c>
      <c r="P1962" s="814"/>
      <c r="Q1962" s="814"/>
      <c r="R1962" s="831"/>
      <c r="S1962" s="861"/>
      <c r="T1962" s="861"/>
    </row>
    <row r="1963" spans="1:20" s="862" customFormat="1" ht="24">
      <c r="A1963" s="811"/>
      <c r="B1963" s="812" t="s">
        <v>896</v>
      </c>
      <c r="C1963" s="813">
        <v>63000</v>
      </c>
      <c r="D1963" s="814">
        <f t="shared" si="244"/>
        <v>63000</v>
      </c>
      <c r="E1963" s="814">
        <f>SUM(H1963+K1963+N1963+Q1963)</f>
        <v>62283</v>
      </c>
      <c r="F1963" s="699">
        <f>E1963/D1963*100</f>
        <v>98.86190476190477</v>
      </c>
      <c r="G1963" s="816"/>
      <c r="H1963" s="814"/>
      <c r="I1963" s="744"/>
      <c r="J1963" s="815"/>
      <c r="K1963" s="814"/>
      <c r="L1963" s="704"/>
      <c r="M1963" s="814">
        <v>63000</v>
      </c>
      <c r="N1963" s="814">
        <f>15750+18720+28530-717</f>
        <v>62283</v>
      </c>
      <c r="O1963" s="744">
        <f t="shared" si="243"/>
        <v>98.86190476190477</v>
      </c>
      <c r="P1963" s="814"/>
      <c r="Q1963" s="814"/>
      <c r="R1963" s="831"/>
      <c r="S1963" s="861"/>
      <c r="T1963" s="861"/>
    </row>
    <row r="1964" spans="1:20" s="862" customFormat="1" ht="36">
      <c r="A1964" s="811"/>
      <c r="B1964" s="812" t="s">
        <v>516</v>
      </c>
      <c r="C1964" s="813"/>
      <c r="D1964" s="814">
        <f t="shared" si="244"/>
        <v>30000</v>
      </c>
      <c r="E1964" s="814">
        <f>SUM(H1964+K1964+N1964+Q1964)</f>
        <v>16500</v>
      </c>
      <c r="F1964" s="699">
        <f>E1964/D1964*100</f>
        <v>55.00000000000001</v>
      </c>
      <c r="G1964" s="816"/>
      <c r="H1964" s="814"/>
      <c r="I1964" s="744"/>
      <c r="J1964" s="815"/>
      <c r="K1964" s="814"/>
      <c r="L1964" s="704"/>
      <c r="M1964" s="814">
        <v>30000</v>
      </c>
      <c r="N1964" s="814">
        <f>30000-13500</f>
        <v>16500</v>
      </c>
      <c r="O1964" s="744">
        <f t="shared" si="243"/>
        <v>55.00000000000001</v>
      </c>
      <c r="P1964" s="814"/>
      <c r="Q1964" s="814"/>
      <c r="R1964" s="831"/>
      <c r="S1964" s="861"/>
      <c r="T1964" s="861"/>
    </row>
    <row r="1965" spans="1:20" s="862" customFormat="1" ht="12.75">
      <c r="A1965" s="811"/>
      <c r="B1965" s="812" t="s">
        <v>897</v>
      </c>
      <c r="C1965" s="813">
        <v>15400</v>
      </c>
      <c r="D1965" s="814">
        <f t="shared" si="244"/>
        <v>15400</v>
      </c>
      <c r="E1965" s="814">
        <f t="shared" si="245"/>
        <v>15351</v>
      </c>
      <c r="F1965" s="699">
        <f t="shared" si="242"/>
        <v>99.68181818181819</v>
      </c>
      <c r="G1965" s="816"/>
      <c r="H1965" s="814"/>
      <c r="I1965" s="744"/>
      <c r="J1965" s="815"/>
      <c r="K1965" s="814"/>
      <c r="L1965" s="704"/>
      <c r="M1965" s="814">
        <v>15400</v>
      </c>
      <c r="N1965" s="814">
        <f>3850+11550-49</f>
        <v>15351</v>
      </c>
      <c r="O1965" s="744">
        <f t="shared" si="243"/>
        <v>99.68181818181819</v>
      </c>
      <c r="P1965" s="814"/>
      <c r="Q1965" s="814"/>
      <c r="R1965" s="831"/>
      <c r="S1965" s="861"/>
      <c r="T1965" s="861"/>
    </row>
    <row r="1966" spans="1:20" s="862" customFormat="1" ht="36">
      <c r="A1966" s="811"/>
      <c r="B1966" s="812" t="s">
        <v>517</v>
      </c>
      <c r="C1966" s="813"/>
      <c r="D1966" s="814">
        <f t="shared" si="244"/>
        <v>16700</v>
      </c>
      <c r="E1966" s="814">
        <f t="shared" si="245"/>
        <v>16676</v>
      </c>
      <c r="F1966" s="699">
        <f t="shared" si="242"/>
        <v>99.8562874251497</v>
      </c>
      <c r="G1966" s="816"/>
      <c r="H1966" s="814"/>
      <c r="I1966" s="744"/>
      <c r="J1966" s="815"/>
      <c r="K1966" s="814"/>
      <c r="L1966" s="704"/>
      <c r="M1966" s="814">
        <v>16700</v>
      </c>
      <c r="N1966" s="814">
        <f>16700-24</f>
        <v>16676</v>
      </c>
      <c r="O1966" s="744">
        <f t="shared" si="243"/>
        <v>99.8562874251497</v>
      </c>
      <c r="P1966" s="814"/>
      <c r="Q1966" s="814"/>
      <c r="R1966" s="831"/>
      <c r="S1966" s="861"/>
      <c r="T1966" s="861"/>
    </row>
    <row r="1967" spans="1:20" s="862" customFormat="1" ht="24">
      <c r="A1967" s="811"/>
      <c r="B1967" s="812" t="s">
        <v>518</v>
      </c>
      <c r="C1967" s="813">
        <v>46000</v>
      </c>
      <c r="D1967" s="814">
        <f t="shared" si="244"/>
        <v>46000</v>
      </c>
      <c r="E1967" s="814">
        <f t="shared" si="245"/>
        <v>46000</v>
      </c>
      <c r="F1967" s="699">
        <f t="shared" si="242"/>
        <v>100</v>
      </c>
      <c r="G1967" s="816"/>
      <c r="H1967" s="814"/>
      <c r="I1967" s="744"/>
      <c r="J1967" s="815"/>
      <c r="K1967" s="814"/>
      <c r="L1967" s="704"/>
      <c r="M1967" s="814">
        <v>46000</v>
      </c>
      <c r="N1967" s="814">
        <f>11500+2649+31851</f>
        <v>46000</v>
      </c>
      <c r="O1967" s="744">
        <f t="shared" si="243"/>
        <v>100</v>
      </c>
      <c r="P1967" s="814"/>
      <c r="Q1967" s="814"/>
      <c r="R1967" s="831"/>
      <c r="S1967" s="861"/>
      <c r="T1967" s="861"/>
    </row>
    <row r="1968" spans="1:20" s="862" customFormat="1" ht="48" hidden="1">
      <c r="A1968" s="820"/>
      <c r="B1968" s="821" t="s">
        <v>519</v>
      </c>
      <c r="C1968" s="822"/>
      <c r="D1968" s="823">
        <f t="shared" si="244"/>
        <v>0</v>
      </c>
      <c r="E1968" s="823">
        <f>SUM(H1968+K1968+N1968+Q1968)</f>
        <v>0</v>
      </c>
      <c r="F1968" s="760" t="e">
        <f>E1968/D1968*100</f>
        <v>#DIV/0!</v>
      </c>
      <c r="G1968" s="825"/>
      <c r="H1968" s="823"/>
      <c r="I1968" s="761" t="e">
        <f>H1968/G1968*100</f>
        <v>#DIV/0!</v>
      </c>
      <c r="J1968" s="824"/>
      <c r="K1968" s="823"/>
      <c r="L1968" s="794"/>
      <c r="M1968" s="823"/>
      <c r="N1968" s="823"/>
      <c r="O1968" s="761"/>
      <c r="P1968" s="823"/>
      <c r="Q1968" s="823"/>
      <c r="R1968" s="897"/>
      <c r="S1968" s="861"/>
      <c r="T1968" s="861"/>
    </row>
    <row r="1969" spans="1:20" s="756" customFormat="1" ht="24" customHeight="1">
      <c r="A1969" s="757">
        <v>92118</v>
      </c>
      <c r="B1969" s="852" t="s">
        <v>898</v>
      </c>
      <c r="C1969" s="725">
        <f>SUM(C1970)+C1986+C1993+C1995+C1994</f>
        <v>2269300</v>
      </c>
      <c r="D1969" s="712">
        <f t="shared" si="244"/>
        <v>2283300</v>
      </c>
      <c r="E1969" s="712">
        <f>H1969+K1969+Q1969+N1969</f>
        <v>2283107</v>
      </c>
      <c r="F1969" s="713">
        <f t="shared" si="242"/>
        <v>99.9915473218587</v>
      </c>
      <c r="G1969" s="845"/>
      <c r="H1969" s="712"/>
      <c r="I1969" s="741"/>
      <c r="J1969" s="717"/>
      <c r="K1969" s="712"/>
      <c r="L1969" s="718"/>
      <c r="M1969" s="712">
        <f>SUM(M1970)+M1986+M1993+M1995+M1994</f>
        <v>2283300</v>
      </c>
      <c r="N1969" s="712">
        <f>SUM(N1970)+N1986+N1993+N1995+N1994</f>
        <v>2283107</v>
      </c>
      <c r="O1969" s="741">
        <f t="shared" si="243"/>
        <v>99.9915473218587</v>
      </c>
      <c r="P1969" s="712">
        <f>P1970</f>
        <v>0</v>
      </c>
      <c r="Q1969" s="712">
        <f>Q1970</f>
        <v>0</v>
      </c>
      <c r="R1969" s="984"/>
      <c r="S1969" s="682"/>
      <c r="T1969" s="682"/>
    </row>
    <row r="1970" spans="1:20" s="756" customFormat="1" ht="39" customHeight="1">
      <c r="A1970" s="784">
        <v>2480</v>
      </c>
      <c r="B1970" s="785" t="s">
        <v>876</v>
      </c>
      <c r="C1970" s="723">
        <f>SUM(C1971:C1984)</f>
        <v>1912300</v>
      </c>
      <c r="D1970" s="732">
        <f t="shared" si="244"/>
        <v>1926300</v>
      </c>
      <c r="E1970" s="732">
        <f>SUM(H1970+K1970+N1970+Q1970)</f>
        <v>1926297</v>
      </c>
      <c r="F1970" s="721">
        <f t="shared" si="242"/>
        <v>99.99984426101854</v>
      </c>
      <c r="G1970" s="720"/>
      <c r="H1970" s="698"/>
      <c r="I1970" s="786"/>
      <c r="J1970" s="703"/>
      <c r="K1970" s="698"/>
      <c r="L1970" s="704"/>
      <c r="M1970" s="723">
        <f>SUM(M1971:M1985)</f>
        <v>1926300</v>
      </c>
      <c r="N1970" s="732">
        <f>SUM(N1971:N1985)</f>
        <v>1926297</v>
      </c>
      <c r="O1970" s="744">
        <f t="shared" si="243"/>
        <v>99.99984426101854</v>
      </c>
      <c r="P1970" s="698">
        <f>P1985</f>
        <v>0</v>
      </c>
      <c r="Q1970" s="698">
        <f>Q1985</f>
        <v>0</v>
      </c>
      <c r="R1970" s="990"/>
      <c r="S1970" s="682"/>
      <c r="T1970" s="682"/>
    </row>
    <row r="1971" spans="1:20" s="862" customFormat="1" ht="12.75">
      <c r="A1971" s="811"/>
      <c r="B1971" s="812" t="s">
        <v>877</v>
      </c>
      <c r="C1971" s="813">
        <v>1810000</v>
      </c>
      <c r="D1971" s="814">
        <f t="shared" si="244"/>
        <v>1814850</v>
      </c>
      <c r="E1971" s="814">
        <f aca="true" t="shared" si="246" ref="E1971:E1988">SUM(H1971+K1971+N1971+Q1971)</f>
        <v>1814850</v>
      </c>
      <c r="F1971" s="699">
        <f t="shared" si="242"/>
        <v>100</v>
      </c>
      <c r="G1971" s="813"/>
      <c r="H1971" s="814"/>
      <c r="I1971" s="744"/>
      <c r="J1971" s="815"/>
      <c r="K1971" s="814"/>
      <c r="L1971" s="704"/>
      <c r="M1971" s="813">
        <f>1810000+4850</f>
        <v>1814850</v>
      </c>
      <c r="N1971" s="814">
        <f>150833+150833+150833+150833+150833+150833-1+150833+150833+150833+75416+150833+75416+155687+1+1</f>
        <v>1814850</v>
      </c>
      <c r="O1971" s="744">
        <f t="shared" si="243"/>
        <v>100</v>
      </c>
      <c r="P1971" s="814"/>
      <c r="Q1971" s="814"/>
      <c r="R1971" s="831"/>
      <c r="S1971" s="861"/>
      <c r="T1971" s="861"/>
    </row>
    <row r="1972" spans="1:20" s="862" customFormat="1" ht="24">
      <c r="A1972" s="811"/>
      <c r="B1972" s="812" t="s">
        <v>899</v>
      </c>
      <c r="C1972" s="813">
        <v>15300</v>
      </c>
      <c r="D1972" s="814">
        <f t="shared" si="244"/>
        <v>15300</v>
      </c>
      <c r="E1972" s="814">
        <f t="shared" si="246"/>
        <v>15300</v>
      </c>
      <c r="F1972" s="699">
        <f t="shared" si="242"/>
        <v>100</v>
      </c>
      <c r="G1972" s="813"/>
      <c r="H1972" s="814"/>
      <c r="I1972" s="744"/>
      <c r="J1972" s="815"/>
      <c r="K1972" s="814"/>
      <c r="L1972" s="704"/>
      <c r="M1972" s="813">
        <v>15300</v>
      </c>
      <c r="N1972" s="814">
        <f>1131+9776+4393</f>
        <v>15300</v>
      </c>
      <c r="O1972" s="744">
        <f t="shared" si="243"/>
        <v>100</v>
      </c>
      <c r="P1972" s="814"/>
      <c r="Q1972" s="814"/>
      <c r="R1972" s="831"/>
      <c r="S1972" s="861"/>
      <c r="T1972" s="861"/>
    </row>
    <row r="1973" spans="1:20" s="862" customFormat="1" ht="12.75" hidden="1">
      <c r="A1973" s="811"/>
      <c r="B1973" s="812" t="s">
        <v>520</v>
      </c>
      <c r="C1973" s="813"/>
      <c r="D1973" s="814">
        <f>G1973+J1973+P1973+M1973</f>
        <v>0</v>
      </c>
      <c r="E1973" s="814">
        <f>SUM(H1973+K1973+N1973+Q1973)</f>
        <v>0</v>
      </c>
      <c r="F1973" s="699" t="e">
        <f>E1973/D1973*100</f>
        <v>#DIV/0!</v>
      </c>
      <c r="G1973" s="813"/>
      <c r="H1973" s="814"/>
      <c r="I1973" s="744"/>
      <c r="J1973" s="815"/>
      <c r="K1973" s="814"/>
      <c r="L1973" s="704"/>
      <c r="M1973" s="813"/>
      <c r="N1973" s="814"/>
      <c r="O1973" s="744" t="e">
        <f t="shared" si="243"/>
        <v>#DIV/0!</v>
      </c>
      <c r="P1973" s="814"/>
      <c r="Q1973" s="814"/>
      <c r="R1973" s="831"/>
      <c r="S1973" s="861"/>
      <c r="T1973" s="861"/>
    </row>
    <row r="1974" spans="1:20" s="862" customFormat="1" ht="24">
      <c r="A1974" s="811"/>
      <c r="B1974" s="812" t="s">
        <v>521</v>
      </c>
      <c r="C1974" s="813">
        <v>25000</v>
      </c>
      <c r="D1974" s="814">
        <f>G1974+J1974+P1974+M1974</f>
        <v>25000</v>
      </c>
      <c r="E1974" s="814">
        <f>SUM(H1974+K1974+N1974+Q1974)</f>
        <v>24998</v>
      </c>
      <c r="F1974" s="699">
        <f>E1974/D1974*100</f>
        <v>99.992</v>
      </c>
      <c r="G1974" s="813"/>
      <c r="H1974" s="814"/>
      <c r="I1974" s="744"/>
      <c r="J1974" s="815"/>
      <c r="K1974" s="814"/>
      <c r="L1974" s="704"/>
      <c r="M1974" s="813">
        <v>25000</v>
      </c>
      <c r="N1974" s="814">
        <f>25000-2</f>
        <v>24998</v>
      </c>
      <c r="O1974" s="744">
        <f t="shared" si="243"/>
        <v>99.992</v>
      </c>
      <c r="P1974" s="814"/>
      <c r="Q1974" s="814"/>
      <c r="R1974" s="831"/>
      <c r="S1974" s="861"/>
      <c r="T1974" s="861"/>
    </row>
    <row r="1975" spans="1:20" s="862" customFormat="1" ht="12" customHeight="1">
      <c r="A1975" s="811"/>
      <c r="B1975" s="812" t="s">
        <v>900</v>
      </c>
      <c r="C1975" s="813">
        <v>12000</v>
      </c>
      <c r="D1975" s="814">
        <f t="shared" si="244"/>
        <v>7150</v>
      </c>
      <c r="E1975" s="814">
        <f t="shared" si="246"/>
        <v>7149</v>
      </c>
      <c r="F1975" s="699">
        <f t="shared" si="242"/>
        <v>99.98601398601399</v>
      </c>
      <c r="G1975" s="813"/>
      <c r="H1975" s="814"/>
      <c r="I1975" s="744"/>
      <c r="J1975" s="815"/>
      <c r="K1975" s="814"/>
      <c r="L1975" s="704"/>
      <c r="M1975" s="813">
        <f>12000-4850</f>
        <v>7150</v>
      </c>
      <c r="N1975" s="814">
        <f>7149+1-1</f>
        <v>7149</v>
      </c>
      <c r="O1975" s="744">
        <f t="shared" si="243"/>
        <v>99.98601398601399</v>
      </c>
      <c r="P1975" s="814"/>
      <c r="Q1975" s="814"/>
      <c r="R1975" s="831"/>
      <c r="S1975" s="861"/>
      <c r="T1975" s="861"/>
    </row>
    <row r="1976" spans="1:20" s="862" customFormat="1" ht="24">
      <c r="A1976" s="811"/>
      <c r="B1976" s="812" t="s">
        <v>522</v>
      </c>
      <c r="C1976" s="813">
        <v>25000</v>
      </c>
      <c r="D1976" s="814">
        <f t="shared" si="244"/>
        <v>25000</v>
      </c>
      <c r="E1976" s="814">
        <f t="shared" si="246"/>
        <v>25000</v>
      </c>
      <c r="F1976" s="699">
        <f t="shared" si="242"/>
        <v>100</v>
      </c>
      <c r="G1976" s="813"/>
      <c r="H1976" s="814"/>
      <c r="I1976" s="744"/>
      <c r="J1976" s="815"/>
      <c r="K1976" s="814"/>
      <c r="L1976" s="704"/>
      <c r="M1976" s="813">
        <v>25000</v>
      </c>
      <c r="N1976" s="814">
        <v>25000</v>
      </c>
      <c r="O1976" s="744">
        <f t="shared" si="243"/>
        <v>100</v>
      </c>
      <c r="P1976" s="814"/>
      <c r="Q1976" s="814"/>
      <c r="R1976" s="831"/>
      <c r="S1976" s="861"/>
      <c r="T1976" s="861"/>
    </row>
    <row r="1977" spans="1:20" s="862" customFormat="1" ht="36" hidden="1">
      <c r="A1977" s="811"/>
      <c r="B1977" s="812" t="s">
        <v>879</v>
      </c>
      <c r="C1977" s="813"/>
      <c r="D1977" s="814">
        <f t="shared" si="244"/>
        <v>0</v>
      </c>
      <c r="E1977" s="814">
        <f t="shared" si="246"/>
        <v>0</v>
      </c>
      <c r="F1977" s="699"/>
      <c r="G1977" s="813"/>
      <c r="H1977" s="814"/>
      <c r="I1977" s="702"/>
      <c r="J1977" s="815"/>
      <c r="K1977" s="814"/>
      <c r="L1977" s="704"/>
      <c r="M1977" s="813"/>
      <c r="N1977" s="814"/>
      <c r="O1977" s="744"/>
      <c r="P1977" s="814"/>
      <c r="Q1977" s="814"/>
      <c r="R1977" s="831"/>
      <c r="S1977" s="861"/>
      <c r="T1977" s="861"/>
    </row>
    <row r="1978" spans="1:20" s="862" customFormat="1" ht="96" hidden="1">
      <c r="A1978" s="811" t="s">
        <v>342</v>
      </c>
      <c r="B1978" s="1063" t="s">
        <v>523</v>
      </c>
      <c r="C1978" s="813"/>
      <c r="D1978" s="814">
        <f>G1978+J1978+P1978+M1978</f>
        <v>0</v>
      </c>
      <c r="E1978" s="814">
        <f>SUM(H1978+K1978+N1978+Q1978)</f>
        <v>0</v>
      </c>
      <c r="F1978" s="699" t="e">
        <f>E1978/D1978*100</f>
        <v>#DIV/0!</v>
      </c>
      <c r="G1978" s="813"/>
      <c r="H1978" s="814"/>
      <c r="I1978" s="702"/>
      <c r="J1978" s="815"/>
      <c r="K1978" s="814"/>
      <c r="L1978" s="704"/>
      <c r="M1978" s="813"/>
      <c r="N1978" s="814"/>
      <c r="O1978" s="744" t="e">
        <f t="shared" si="243"/>
        <v>#DIV/0!</v>
      </c>
      <c r="P1978" s="814"/>
      <c r="Q1978" s="814"/>
      <c r="R1978" s="831"/>
      <c r="S1978" s="861"/>
      <c r="T1978" s="861"/>
    </row>
    <row r="1979" spans="1:20" s="862" customFormat="1" ht="24">
      <c r="A1979" s="811" t="s">
        <v>342</v>
      </c>
      <c r="B1979" s="1063" t="s">
        <v>524</v>
      </c>
      <c r="C1979" s="813"/>
      <c r="D1979" s="814">
        <f>G1979+J1979+P1979+M1979</f>
        <v>14000</v>
      </c>
      <c r="E1979" s="814">
        <f>SUM(H1979+K1979+N1979+Q1979)</f>
        <v>14000</v>
      </c>
      <c r="F1979" s="699">
        <f>E1979/D1979*100</f>
        <v>100</v>
      </c>
      <c r="G1979" s="813"/>
      <c r="H1979" s="814"/>
      <c r="I1979" s="702"/>
      <c r="J1979" s="815"/>
      <c r="K1979" s="814"/>
      <c r="L1979" s="704"/>
      <c r="M1979" s="813">
        <v>14000</v>
      </c>
      <c r="N1979" s="814">
        <v>14000</v>
      </c>
      <c r="O1979" s="744">
        <f t="shared" si="243"/>
        <v>100</v>
      </c>
      <c r="P1979" s="814"/>
      <c r="Q1979" s="814"/>
      <c r="R1979" s="831"/>
      <c r="S1979" s="861"/>
      <c r="T1979" s="861"/>
    </row>
    <row r="1980" spans="1:20" s="862" customFormat="1" ht="72" hidden="1">
      <c r="A1980" s="811" t="s">
        <v>342</v>
      </c>
      <c r="B1980" s="1063" t="s">
        <v>525</v>
      </c>
      <c r="C1980" s="813"/>
      <c r="D1980" s="814">
        <f>G1980+J1980+P1980+M1980</f>
        <v>0</v>
      </c>
      <c r="E1980" s="814">
        <f>SUM(H1980+K1980+N1980+Q1980)</f>
        <v>0</v>
      </c>
      <c r="F1980" s="699" t="e">
        <f>E1980/D1980*100</f>
        <v>#DIV/0!</v>
      </c>
      <c r="G1980" s="813"/>
      <c r="H1980" s="814"/>
      <c r="I1980" s="702"/>
      <c r="J1980" s="815"/>
      <c r="K1980" s="814"/>
      <c r="L1980" s="704"/>
      <c r="M1980" s="813"/>
      <c r="N1980" s="814"/>
      <c r="O1980" s="744" t="e">
        <f t="shared" si="243"/>
        <v>#DIV/0!</v>
      </c>
      <c r="P1980" s="814"/>
      <c r="Q1980" s="814"/>
      <c r="R1980" s="831"/>
      <c r="S1980" s="861"/>
      <c r="T1980" s="861"/>
    </row>
    <row r="1981" spans="1:20" s="862" customFormat="1" ht="72" hidden="1">
      <c r="A1981" s="811" t="s">
        <v>342</v>
      </c>
      <c r="B1981" s="1063" t="s">
        <v>526</v>
      </c>
      <c r="C1981" s="813"/>
      <c r="D1981" s="814">
        <f>G1981+J1981+P1981+M1981</f>
        <v>0</v>
      </c>
      <c r="E1981" s="814">
        <f>SUM(H1981+K1981+N1981+Q1981)</f>
        <v>0</v>
      </c>
      <c r="F1981" s="699" t="e">
        <f>E1981/D1981*100</f>
        <v>#DIV/0!</v>
      </c>
      <c r="G1981" s="813"/>
      <c r="H1981" s="814"/>
      <c r="I1981" s="702"/>
      <c r="J1981" s="815"/>
      <c r="K1981" s="814"/>
      <c r="L1981" s="704"/>
      <c r="M1981" s="813"/>
      <c r="N1981" s="814"/>
      <c r="O1981" s="744" t="e">
        <f t="shared" si="243"/>
        <v>#DIV/0!</v>
      </c>
      <c r="P1981" s="814"/>
      <c r="Q1981" s="814"/>
      <c r="R1981" s="831"/>
      <c r="S1981" s="861"/>
      <c r="T1981" s="861"/>
    </row>
    <row r="1982" spans="1:20" s="862" customFormat="1" ht="36" hidden="1">
      <c r="A1982" s="811"/>
      <c r="B1982" s="812" t="s">
        <v>527</v>
      </c>
      <c r="C1982" s="813"/>
      <c r="D1982" s="814">
        <f>G1982+J1982+P1982+M1982</f>
        <v>0</v>
      </c>
      <c r="E1982" s="814">
        <f>SUM(H1982+K1982+N1982+Q1982)</f>
        <v>0</v>
      </c>
      <c r="F1982" s="699" t="e">
        <f>E1982/D1982*100</f>
        <v>#DIV/0!</v>
      </c>
      <c r="G1982" s="813"/>
      <c r="H1982" s="814"/>
      <c r="I1982" s="702"/>
      <c r="J1982" s="815"/>
      <c r="K1982" s="814"/>
      <c r="L1982" s="704"/>
      <c r="M1982" s="813"/>
      <c r="N1982" s="814"/>
      <c r="O1982" s="744" t="e">
        <f t="shared" si="243"/>
        <v>#DIV/0!</v>
      </c>
      <c r="P1982" s="814"/>
      <c r="Q1982" s="814"/>
      <c r="R1982" s="831"/>
      <c r="S1982" s="861"/>
      <c r="T1982" s="861"/>
    </row>
    <row r="1983" spans="1:20" s="862" customFormat="1" ht="12.75">
      <c r="A1983" s="811"/>
      <c r="B1983" s="812" t="s">
        <v>528</v>
      </c>
      <c r="C1983" s="813">
        <v>10000</v>
      </c>
      <c r="D1983" s="814">
        <f t="shared" si="244"/>
        <v>10000</v>
      </c>
      <c r="E1983" s="814">
        <f t="shared" si="246"/>
        <v>10000</v>
      </c>
      <c r="F1983" s="699">
        <f t="shared" si="242"/>
        <v>100</v>
      </c>
      <c r="G1983" s="813"/>
      <c r="H1983" s="814"/>
      <c r="I1983" s="702"/>
      <c r="J1983" s="815"/>
      <c r="K1983" s="814"/>
      <c r="L1983" s="704"/>
      <c r="M1983" s="813">
        <v>10000</v>
      </c>
      <c r="N1983" s="814">
        <v>10000</v>
      </c>
      <c r="O1983" s="744">
        <f t="shared" si="243"/>
        <v>100</v>
      </c>
      <c r="P1983" s="814"/>
      <c r="Q1983" s="814"/>
      <c r="R1983" s="831"/>
      <c r="S1983" s="861"/>
      <c r="T1983" s="861"/>
    </row>
    <row r="1984" spans="1:20" s="862" customFormat="1" ht="36">
      <c r="A1984" s="811"/>
      <c r="B1984" s="812" t="s">
        <v>901</v>
      </c>
      <c r="C1984" s="813">
        <v>15000</v>
      </c>
      <c r="D1984" s="814">
        <f t="shared" si="244"/>
        <v>15000</v>
      </c>
      <c r="E1984" s="814">
        <f t="shared" si="246"/>
        <v>15000</v>
      </c>
      <c r="F1984" s="699">
        <f t="shared" si="242"/>
        <v>100</v>
      </c>
      <c r="G1984" s="813"/>
      <c r="H1984" s="814"/>
      <c r="I1984" s="702"/>
      <c r="J1984" s="815"/>
      <c r="K1984" s="814"/>
      <c r="L1984" s="704"/>
      <c r="M1984" s="813">
        <v>15000</v>
      </c>
      <c r="N1984" s="814">
        <v>15000</v>
      </c>
      <c r="O1984" s="744">
        <f t="shared" si="243"/>
        <v>100</v>
      </c>
      <c r="P1984" s="814"/>
      <c r="Q1984" s="814"/>
      <c r="R1984" s="831"/>
      <c r="S1984" s="861"/>
      <c r="T1984" s="861"/>
    </row>
    <row r="1985" spans="1:20" s="862" customFormat="1" ht="12.75" hidden="1">
      <c r="A1985" s="811"/>
      <c r="B1985" s="812" t="s">
        <v>529</v>
      </c>
      <c r="C1985" s="813"/>
      <c r="D1985" s="814">
        <f t="shared" si="244"/>
        <v>0</v>
      </c>
      <c r="E1985" s="814">
        <f t="shared" si="246"/>
        <v>0</v>
      </c>
      <c r="F1985" s="699" t="e">
        <f t="shared" si="242"/>
        <v>#DIV/0!</v>
      </c>
      <c r="G1985" s="813"/>
      <c r="H1985" s="814"/>
      <c r="I1985" s="702"/>
      <c r="J1985" s="815"/>
      <c r="K1985" s="814"/>
      <c r="L1985" s="704"/>
      <c r="M1985" s="815"/>
      <c r="N1985" s="814"/>
      <c r="O1985" s="744"/>
      <c r="P1985" s="814"/>
      <c r="Q1985" s="814"/>
      <c r="R1985" s="1001" t="e">
        <f>Q1985/P1985*100</f>
        <v>#DIV/0!</v>
      </c>
      <c r="S1985" s="861"/>
      <c r="T1985" s="861"/>
    </row>
    <row r="1986" spans="1:20" s="756" customFormat="1" ht="88.5" customHeight="1">
      <c r="A1986" s="764">
        <v>6220</v>
      </c>
      <c r="B1986" s="768" t="s">
        <v>902</v>
      </c>
      <c r="C1986" s="720">
        <f>SUM(C1987:C1992)</f>
        <v>357000</v>
      </c>
      <c r="D1986" s="698">
        <f t="shared" si="244"/>
        <v>357000</v>
      </c>
      <c r="E1986" s="698">
        <f t="shared" si="246"/>
        <v>356810</v>
      </c>
      <c r="F1986" s="699">
        <f t="shared" si="242"/>
        <v>99.9467787114846</v>
      </c>
      <c r="G1986" s="720"/>
      <c r="H1986" s="698"/>
      <c r="I1986" s="702"/>
      <c r="J1986" s="703"/>
      <c r="K1986" s="698"/>
      <c r="L1986" s="704"/>
      <c r="M1986" s="703">
        <f>SUM(M1987:M1992)</f>
        <v>357000</v>
      </c>
      <c r="N1986" s="698">
        <f>SUM(N1987:N1992)</f>
        <v>356810</v>
      </c>
      <c r="O1986" s="744">
        <f aca="true" t="shared" si="247" ref="O1986:O1992">N1986/M1986*100</f>
        <v>99.9467787114846</v>
      </c>
      <c r="P1986" s="698"/>
      <c r="Q1986" s="698"/>
      <c r="R1986" s="770"/>
      <c r="S1986" s="682"/>
      <c r="T1986" s="682"/>
    </row>
    <row r="1987" spans="1:20" s="862" customFormat="1" ht="12.75">
      <c r="A1987" s="811"/>
      <c r="B1987" s="812" t="s">
        <v>530</v>
      </c>
      <c r="C1987" s="813">
        <v>200000</v>
      </c>
      <c r="D1987" s="814">
        <f t="shared" si="244"/>
        <v>177000</v>
      </c>
      <c r="E1987" s="814">
        <f t="shared" si="246"/>
        <v>177000</v>
      </c>
      <c r="F1987" s="699">
        <f t="shared" si="242"/>
        <v>100</v>
      </c>
      <c r="G1987" s="813"/>
      <c r="H1987" s="814"/>
      <c r="I1987" s="702"/>
      <c r="J1987" s="815"/>
      <c r="K1987" s="814"/>
      <c r="L1987" s="704"/>
      <c r="M1987" s="815">
        <f>200000-23000</f>
        <v>177000</v>
      </c>
      <c r="N1987" s="814">
        <f>79000+4678-77+69925+23474</f>
        <v>177000</v>
      </c>
      <c r="O1987" s="744">
        <f t="shared" si="247"/>
        <v>100</v>
      </c>
      <c r="P1987" s="814"/>
      <c r="Q1987" s="814"/>
      <c r="R1987" s="831"/>
      <c r="S1987" s="861"/>
      <c r="T1987" s="861"/>
    </row>
    <row r="1988" spans="1:20" s="862" customFormat="1" ht="36">
      <c r="A1988" s="811"/>
      <c r="B1988" s="812" t="s">
        <v>531</v>
      </c>
      <c r="C1988" s="813">
        <v>60000</v>
      </c>
      <c r="D1988" s="814">
        <f t="shared" si="244"/>
        <v>60000</v>
      </c>
      <c r="E1988" s="814">
        <f t="shared" si="246"/>
        <v>60000</v>
      </c>
      <c r="F1988" s="699">
        <f t="shared" si="242"/>
        <v>100</v>
      </c>
      <c r="G1988" s="813"/>
      <c r="H1988" s="814"/>
      <c r="I1988" s="702"/>
      <c r="J1988" s="815"/>
      <c r="K1988" s="814"/>
      <c r="L1988" s="704"/>
      <c r="M1988" s="815">
        <v>60000</v>
      </c>
      <c r="N1988" s="814">
        <f>30000+30000</f>
        <v>60000</v>
      </c>
      <c r="O1988" s="744">
        <f t="shared" si="247"/>
        <v>100</v>
      </c>
      <c r="P1988" s="814"/>
      <c r="Q1988" s="814"/>
      <c r="R1988" s="831"/>
      <c r="S1988" s="861"/>
      <c r="T1988" s="861"/>
    </row>
    <row r="1989" spans="1:20" s="862" customFormat="1" ht="36">
      <c r="A1989" s="811"/>
      <c r="B1989" s="812" t="s">
        <v>532</v>
      </c>
      <c r="C1989" s="813">
        <v>55000</v>
      </c>
      <c r="D1989" s="814">
        <f>G1989+J1989+P1989+M1989</f>
        <v>55000</v>
      </c>
      <c r="E1989" s="814">
        <f>SUM(H1989+K1989+N1989+Q1989)</f>
        <v>55000</v>
      </c>
      <c r="F1989" s="699">
        <f>E1989/D1989*100</f>
        <v>100</v>
      </c>
      <c r="G1989" s="813"/>
      <c r="H1989" s="814"/>
      <c r="I1989" s="702"/>
      <c r="J1989" s="815"/>
      <c r="K1989" s="814"/>
      <c r="L1989" s="704"/>
      <c r="M1989" s="815">
        <v>55000</v>
      </c>
      <c r="N1989" s="814">
        <f>23307+31693</f>
        <v>55000</v>
      </c>
      <c r="O1989" s="744">
        <f t="shared" si="247"/>
        <v>100</v>
      </c>
      <c r="P1989" s="814"/>
      <c r="Q1989" s="814"/>
      <c r="R1989" s="831"/>
      <c r="S1989" s="861"/>
      <c r="T1989" s="861"/>
    </row>
    <row r="1990" spans="1:20" s="862" customFormat="1" ht="24">
      <c r="A1990" s="811"/>
      <c r="B1990" s="812" t="s">
        <v>497</v>
      </c>
      <c r="C1990" s="813"/>
      <c r="D1990" s="814">
        <f>G1990+J1990+P1990+M1990</f>
        <v>13000</v>
      </c>
      <c r="E1990" s="814">
        <f>SUM(H1990+K1990+N1990+Q1990)</f>
        <v>12810</v>
      </c>
      <c r="F1990" s="699">
        <f>E1990/D1990*100</f>
        <v>98.53846153846155</v>
      </c>
      <c r="G1990" s="813"/>
      <c r="H1990" s="814"/>
      <c r="I1990" s="702"/>
      <c r="J1990" s="815"/>
      <c r="K1990" s="814"/>
      <c r="L1990" s="704"/>
      <c r="M1990" s="815">
        <v>13000</v>
      </c>
      <c r="N1990" s="814">
        <f>13000-190</f>
        <v>12810</v>
      </c>
      <c r="O1990" s="744">
        <f t="shared" si="247"/>
        <v>98.53846153846155</v>
      </c>
      <c r="P1990" s="814"/>
      <c r="Q1990" s="814"/>
      <c r="R1990" s="831"/>
      <c r="S1990" s="861"/>
      <c r="T1990" s="861"/>
    </row>
    <row r="1991" spans="1:20" s="862" customFormat="1" ht="12.75">
      <c r="A1991" s="811"/>
      <c r="B1991" s="812" t="s">
        <v>533</v>
      </c>
      <c r="C1991" s="813">
        <v>42000</v>
      </c>
      <c r="D1991" s="814">
        <f>G1991+J1991+P1991+M1991</f>
        <v>52000</v>
      </c>
      <c r="E1991" s="814">
        <f>SUM(H1991+K1991+N1991+Q1991)</f>
        <v>52000</v>
      </c>
      <c r="F1991" s="699">
        <f>E1991/D1991*100</f>
        <v>100</v>
      </c>
      <c r="G1991" s="813"/>
      <c r="H1991" s="814"/>
      <c r="I1991" s="702"/>
      <c r="J1991" s="815"/>
      <c r="K1991" s="814"/>
      <c r="L1991" s="704"/>
      <c r="M1991" s="815">
        <f>42000+10000</f>
        <v>52000</v>
      </c>
      <c r="N1991" s="814">
        <v>52000</v>
      </c>
      <c r="O1991" s="744">
        <f t="shared" si="247"/>
        <v>100</v>
      </c>
      <c r="P1991" s="814"/>
      <c r="Q1991" s="814"/>
      <c r="R1991" s="831"/>
      <c r="S1991" s="861"/>
      <c r="T1991" s="861"/>
    </row>
    <row r="1992" spans="1:20" s="862" customFormat="1" ht="72" hidden="1">
      <c r="A1992" s="811" t="s">
        <v>342</v>
      </c>
      <c r="B1992" s="1063" t="s">
        <v>526</v>
      </c>
      <c r="C1992" s="813"/>
      <c r="D1992" s="814">
        <f>G1992+J1992+P1992+M1992</f>
        <v>0</v>
      </c>
      <c r="E1992" s="814">
        <f>SUM(H1992+K1992+N1992+Q1992)</f>
        <v>0</v>
      </c>
      <c r="F1992" s="699" t="e">
        <f>E1992/D1992*100</f>
        <v>#DIV/0!</v>
      </c>
      <c r="G1992" s="813"/>
      <c r="H1992" s="814"/>
      <c r="I1992" s="702"/>
      <c r="J1992" s="815"/>
      <c r="K1992" s="814"/>
      <c r="L1992" s="704"/>
      <c r="M1992" s="815"/>
      <c r="N1992" s="814"/>
      <c r="O1992" s="744" t="e">
        <f t="shared" si="247"/>
        <v>#DIV/0!</v>
      </c>
      <c r="P1992" s="814"/>
      <c r="Q1992" s="814"/>
      <c r="R1992" s="831"/>
      <c r="S1992" s="861"/>
      <c r="T1992" s="861"/>
    </row>
    <row r="1993" spans="1:20" s="756" customFormat="1" ht="48" hidden="1">
      <c r="A1993" s="764">
        <v>6050</v>
      </c>
      <c r="B1993" s="768" t="s">
        <v>498</v>
      </c>
      <c r="C1993" s="720"/>
      <c r="D1993" s="698">
        <f t="shared" si="244"/>
        <v>0</v>
      </c>
      <c r="E1993" s="698">
        <f>H1993+K1993+Q1993+N1993</f>
        <v>0</v>
      </c>
      <c r="F1993" s="699" t="e">
        <f t="shared" si="242"/>
        <v>#DIV/0!</v>
      </c>
      <c r="G1993" s="720"/>
      <c r="H1993" s="698"/>
      <c r="I1993" s="702"/>
      <c r="J1993" s="703"/>
      <c r="K1993" s="698"/>
      <c r="L1993" s="704"/>
      <c r="M1993" s="720"/>
      <c r="N1993" s="698"/>
      <c r="O1993" s="744" t="e">
        <f t="shared" si="243"/>
        <v>#DIV/0!</v>
      </c>
      <c r="P1993" s="698"/>
      <c r="Q1993" s="698"/>
      <c r="R1993" s="770"/>
      <c r="S1993" s="682"/>
      <c r="T1993" s="682"/>
    </row>
    <row r="1994" spans="1:20" s="756" customFormat="1" ht="36" hidden="1">
      <c r="A1994" s="764">
        <v>6058</v>
      </c>
      <c r="B1994" s="768" t="s">
        <v>246</v>
      </c>
      <c r="C1994" s="720"/>
      <c r="D1994" s="698">
        <f t="shared" si="244"/>
        <v>0</v>
      </c>
      <c r="E1994" s="698">
        <f>H1994+K1994+Q1994+N1994</f>
        <v>0</v>
      </c>
      <c r="F1994" s="699" t="e">
        <f t="shared" si="242"/>
        <v>#DIV/0!</v>
      </c>
      <c r="G1994" s="720"/>
      <c r="H1994" s="698"/>
      <c r="I1994" s="702"/>
      <c r="J1994" s="703"/>
      <c r="K1994" s="698"/>
      <c r="L1994" s="704"/>
      <c r="M1994" s="720"/>
      <c r="N1994" s="698"/>
      <c r="O1994" s="702" t="e">
        <f t="shared" si="243"/>
        <v>#DIV/0!</v>
      </c>
      <c r="P1994" s="698"/>
      <c r="Q1994" s="698"/>
      <c r="R1994" s="770"/>
      <c r="S1994" s="682"/>
      <c r="T1994" s="682"/>
    </row>
    <row r="1995" spans="1:20" s="756" customFormat="1" ht="36" hidden="1">
      <c r="A1995" s="764">
        <v>6059</v>
      </c>
      <c r="B1995" s="768" t="s">
        <v>246</v>
      </c>
      <c r="C1995" s="720"/>
      <c r="D1995" s="698">
        <f t="shared" si="244"/>
        <v>0</v>
      </c>
      <c r="E1995" s="698">
        <f>SUM(H1995+K1995+N1995+Q1995)</f>
        <v>0</v>
      </c>
      <c r="F1995" s="699" t="e">
        <f>E1995/D1995*100</f>
        <v>#DIV/0!</v>
      </c>
      <c r="G1995" s="720"/>
      <c r="H1995" s="698"/>
      <c r="I1995" s="796"/>
      <c r="J1995" s="703"/>
      <c r="K1995" s="698"/>
      <c r="L1995" s="704"/>
      <c r="M1995" s="720"/>
      <c r="N1995" s="698"/>
      <c r="O1995" s="702" t="e">
        <f t="shared" si="243"/>
        <v>#DIV/0!</v>
      </c>
      <c r="P1995" s="698"/>
      <c r="Q1995" s="698"/>
      <c r="R1995" s="770"/>
      <c r="S1995" s="682"/>
      <c r="T1995" s="682"/>
    </row>
    <row r="1996" spans="1:18" ht="24.75" customHeight="1">
      <c r="A1996" s="757">
        <v>92120</v>
      </c>
      <c r="B1996" s="852" t="s">
        <v>903</v>
      </c>
      <c r="C1996" s="725">
        <f>SUM(C2000:C2004)</f>
        <v>310000</v>
      </c>
      <c r="D1996" s="712">
        <f t="shared" si="244"/>
        <v>792603</v>
      </c>
      <c r="E1996" s="712">
        <f>H1996+K1996+Q1996+N1996</f>
        <v>707124</v>
      </c>
      <c r="F1996" s="713">
        <f t="shared" si="242"/>
        <v>89.21540796590475</v>
      </c>
      <c r="G1996" s="725">
        <f>SUM(G1997:G2004)</f>
        <v>792603</v>
      </c>
      <c r="H1996" s="712">
        <f>SUM(H1997:H2004)</f>
        <v>707124</v>
      </c>
      <c r="I1996" s="719">
        <f aca="true" t="shared" si="248" ref="I1996:I2052">H1996/G1996*100</f>
        <v>89.21540796590475</v>
      </c>
      <c r="J1996" s="717"/>
      <c r="K1996" s="712"/>
      <c r="L1996" s="718"/>
      <c r="M1996" s="712"/>
      <c r="N1996" s="712"/>
      <c r="O1996" s="762"/>
      <c r="P1996" s="712"/>
      <c r="Q1996" s="712"/>
      <c r="R1996" s="846"/>
    </row>
    <row r="1997" spans="1:18" ht="122.25" customHeight="1">
      <c r="A1997" s="784">
        <v>2720</v>
      </c>
      <c r="B1997" s="785" t="s">
        <v>794</v>
      </c>
      <c r="C1997" s="723"/>
      <c r="D1997" s="698">
        <f t="shared" si="244"/>
        <v>468603</v>
      </c>
      <c r="E1997" s="698">
        <f aca="true" t="shared" si="249" ref="E1997:E2005">SUM(H1997+K1997+N1997+Q1997)</f>
        <v>468588</v>
      </c>
      <c r="F1997" s="699">
        <f t="shared" si="242"/>
        <v>99.9967989961652</v>
      </c>
      <c r="G1997" s="723">
        <f>879900+18588-429885</f>
        <v>468603</v>
      </c>
      <c r="H1997" s="732">
        <v>468588</v>
      </c>
      <c r="I1997" s="744">
        <f t="shared" si="248"/>
        <v>99.9967989961652</v>
      </c>
      <c r="J1997" s="735"/>
      <c r="K1997" s="732"/>
      <c r="L1997" s="736"/>
      <c r="M1997" s="732"/>
      <c r="N1997" s="732"/>
      <c r="O1997" s="803"/>
      <c r="P1997" s="732"/>
      <c r="Q1997" s="732"/>
      <c r="R1997" s="788"/>
    </row>
    <row r="1998" spans="1:18" ht="24.75" customHeight="1">
      <c r="A1998" s="764">
        <v>4110</v>
      </c>
      <c r="B1998" s="768" t="s">
        <v>207</v>
      </c>
      <c r="C1998" s="720"/>
      <c r="D1998" s="698">
        <f>G1998+J1998+P1998+M1998</f>
        <v>760</v>
      </c>
      <c r="E1998" s="698">
        <f>SUM(H1998+K1998+N1998+Q1998)</f>
        <v>0</v>
      </c>
      <c r="F1998" s="699">
        <f>E1998/D1998*100</f>
        <v>0</v>
      </c>
      <c r="G1998" s="720">
        <v>760</v>
      </c>
      <c r="H1998" s="698"/>
      <c r="I1998" s="702">
        <f t="shared" si="248"/>
        <v>0</v>
      </c>
      <c r="J1998" s="703"/>
      <c r="K1998" s="698"/>
      <c r="L1998" s="704"/>
      <c r="M1998" s="698"/>
      <c r="N1998" s="698"/>
      <c r="O1998" s="766"/>
      <c r="P1998" s="698"/>
      <c r="Q1998" s="698"/>
      <c r="R1998" s="770"/>
    </row>
    <row r="1999" spans="1:18" ht="12.75">
      <c r="A1999" s="764">
        <v>4120</v>
      </c>
      <c r="B1999" s="768" t="s">
        <v>584</v>
      </c>
      <c r="C1999" s="720"/>
      <c r="D1999" s="698">
        <f>G1999+J1999+P1999+M1999</f>
        <v>130</v>
      </c>
      <c r="E1999" s="698">
        <f>SUM(H1999+K1999+N1999+Q1999)</f>
        <v>0</v>
      </c>
      <c r="F1999" s="699">
        <f>E1999/D1999*100</f>
        <v>0</v>
      </c>
      <c r="G1999" s="720">
        <v>130</v>
      </c>
      <c r="H1999" s="698"/>
      <c r="I1999" s="702">
        <f t="shared" si="248"/>
        <v>0</v>
      </c>
      <c r="J1999" s="703"/>
      <c r="K1999" s="698"/>
      <c r="L1999" s="704"/>
      <c r="M1999" s="698"/>
      <c r="N1999" s="698"/>
      <c r="O1999" s="766"/>
      <c r="P1999" s="698"/>
      <c r="Q1999" s="698"/>
      <c r="R1999" s="770"/>
    </row>
    <row r="2000" spans="1:18" ht="24">
      <c r="A2000" s="764">
        <v>4170</v>
      </c>
      <c r="B2000" s="768" t="s">
        <v>242</v>
      </c>
      <c r="C2000" s="720">
        <v>5000</v>
      </c>
      <c r="D2000" s="698">
        <f t="shared" si="244"/>
        <v>5000</v>
      </c>
      <c r="E2000" s="698">
        <f t="shared" si="249"/>
        <v>0</v>
      </c>
      <c r="F2000" s="699">
        <f t="shared" si="242"/>
        <v>0</v>
      </c>
      <c r="G2000" s="720">
        <v>5000</v>
      </c>
      <c r="H2000" s="698"/>
      <c r="I2000" s="702">
        <f t="shared" si="248"/>
        <v>0</v>
      </c>
      <c r="J2000" s="703"/>
      <c r="K2000" s="698"/>
      <c r="L2000" s="704"/>
      <c r="M2000" s="698"/>
      <c r="N2000" s="698"/>
      <c r="O2000" s="766"/>
      <c r="P2000" s="698"/>
      <c r="Q2000" s="698"/>
      <c r="R2000" s="770"/>
    </row>
    <row r="2001" spans="1:20" s="756" customFormat="1" ht="25.5" customHeight="1" hidden="1">
      <c r="A2001" s="764">
        <v>4270</v>
      </c>
      <c r="B2001" s="768" t="s">
        <v>499</v>
      </c>
      <c r="C2001" s="720"/>
      <c r="D2001" s="698">
        <f>G2001+J2001+P2001+M2001</f>
        <v>0</v>
      </c>
      <c r="E2001" s="698">
        <f>SUM(H2001+K2001+N2001+Q2001)</f>
        <v>0</v>
      </c>
      <c r="F2001" s="699"/>
      <c r="G2001" s="720"/>
      <c r="H2001" s="698"/>
      <c r="I2001" s="702"/>
      <c r="J2001" s="703"/>
      <c r="K2001" s="698"/>
      <c r="L2001" s="704"/>
      <c r="M2001" s="698"/>
      <c r="N2001" s="698"/>
      <c r="O2001" s="766"/>
      <c r="P2001" s="698"/>
      <c r="Q2001" s="698"/>
      <c r="R2001" s="770"/>
      <c r="S2001" s="682"/>
      <c r="T2001" s="682"/>
    </row>
    <row r="2002" spans="1:20" s="756" customFormat="1" ht="15.75" customHeight="1">
      <c r="A2002" s="764">
        <v>4300</v>
      </c>
      <c r="B2002" s="768" t="s">
        <v>219</v>
      </c>
      <c r="C2002" s="720">
        <v>5000</v>
      </c>
      <c r="D2002" s="698">
        <f>G2002+J2002+P2002+M2002</f>
        <v>19000</v>
      </c>
      <c r="E2002" s="698">
        <f>SUM(H2002+K2002+N2002+Q2002)</f>
        <v>209</v>
      </c>
      <c r="F2002" s="699">
        <f>E2002/D2002*100</f>
        <v>1.0999999999999999</v>
      </c>
      <c r="G2002" s="720">
        <f>5000+14000</f>
        <v>19000</v>
      </c>
      <c r="H2002" s="698">
        <v>209</v>
      </c>
      <c r="I2002" s="702">
        <f>H2002/G2002*100</f>
        <v>1.0999999999999999</v>
      </c>
      <c r="J2002" s="879"/>
      <c r="K2002" s="698"/>
      <c r="L2002" s="704"/>
      <c r="M2002" s="698"/>
      <c r="N2002" s="698"/>
      <c r="O2002" s="766"/>
      <c r="P2002" s="698"/>
      <c r="Q2002" s="698"/>
      <c r="R2002" s="770"/>
      <c r="S2002" s="682"/>
      <c r="T2002" s="682"/>
    </row>
    <row r="2003" spans="1:20" s="756" customFormat="1" ht="79.5" customHeight="1">
      <c r="A2003" s="764">
        <v>4340</v>
      </c>
      <c r="B2003" s="768" t="s">
        <v>904</v>
      </c>
      <c r="C2003" s="720">
        <v>300000</v>
      </c>
      <c r="D2003" s="698">
        <f t="shared" si="244"/>
        <v>299110</v>
      </c>
      <c r="E2003" s="698">
        <f t="shared" si="249"/>
        <v>238327</v>
      </c>
      <c r="F2003" s="699">
        <f t="shared" si="242"/>
        <v>79.67871351676641</v>
      </c>
      <c r="G2003" s="720">
        <f>300000-890</f>
        <v>299110</v>
      </c>
      <c r="H2003" s="698">
        <v>238327</v>
      </c>
      <c r="I2003" s="702">
        <f t="shared" si="248"/>
        <v>79.67871351676641</v>
      </c>
      <c r="J2003" s="879"/>
      <c r="K2003" s="698"/>
      <c r="L2003" s="704"/>
      <c r="M2003" s="698"/>
      <c r="N2003" s="698"/>
      <c r="O2003" s="766"/>
      <c r="P2003" s="698"/>
      <c r="Q2003" s="698"/>
      <c r="R2003" s="770"/>
      <c r="S2003" s="682"/>
      <c r="T2003" s="682"/>
    </row>
    <row r="2004" spans="1:20" s="756" customFormat="1" ht="48" hidden="1">
      <c r="A2004" s="789">
        <v>6060</v>
      </c>
      <c r="B2004" s="804" t="s">
        <v>593</v>
      </c>
      <c r="C2004" s="791"/>
      <c r="D2004" s="792">
        <f t="shared" si="244"/>
        <v>0</v>
      </c>
      <c r="E2004" s="792">
        <f t="shared" si="249"/>
        <v>0</v>
      </c>
      <c r="F2004" s="760" t="e">
        <f t="shared" si="242"/>
        <v>#DIV/0!</v>
      </c>
      <c r="G2004" s="791"/>
      <c r="H2004" s="792"/>
      <c r="I2004" s="796" t="e">
        <f t="shared" si="248"/>
        <v>#DIV/0!</v>
      </c>
      <c r="J2004" s="903"/>
      <c r="K2004" s="792"/>
      <c r="L2004" s="794"/>
      <c r="M2004" s="792"/>
      <c r="N2004" s="792"/>
      <c r="O2004" s="806"/>
      <c r="P2004" s="792"/>
      <c r="Q2004" s="792"/>
      <c r="R2004" s="797"/>
      <c r="S2004" s="682"/>
      <c r="T2004" s="682"/>
    </row>
    <row r="2005" spans="1:20" s="756" customFormat="1" ht="17.25" customHeight="1">
      <c r="A2005" s="757">
        <v>92195</v>
      </c>
      <c r="B2005" s="852" t="s">
        <v>233</v>
      </c>
      <c r="C2005" s="725">
        <f>SUM(C2006:C2012)</f>
        <v>543100</v>
      </c>
      <c r="D2005" s="712">
        <f t="shared" si="244"/>
        <v>1134638</v>
      </c>
      <c r="E2005" s="712">
        <f t="shared" si="249"/>
        <v>585188</v>
      </c>
      <c r="F2005" s="713">
        <f t="shared" si="242"/>
        <v>51.57486352475416</v>
      </c>
      <c r="G2005" s="725">
        <f>SUM(G2006:G2014)</f>
        <v>1134638</v>
      </c>
      <c r="H2005" s="712">
        <f>SUM(H2006:H2014)</f>
        <v>585188</v>
      </c>
      <c r="I2005" s="719">
        <f t="shared" si="248"/>
        <v>51.57486352475416</v>
      </c>
      <c r="J2005" s="880"/>
      <c r="K2005" s="712"/>
      <c r="L2005" s="718"/>
      <c r="M2005" s="712"/>
      <c r="N2005" s="712"/>
      <c r="O2005" s="801"/>
      <c r="P2005" s="712"/>
      <c r="Q2005" s="712"/>
      <c r="R2005" s="802"/>
      <c r="S2005" s="682"/>
      <c r="T2005" s="682"/>
    </row>
    <row r="2006" spans="1:18" ht="61.5" customHeight="1" hidden="1">
      <c r="A2006" s="764">
        <v>2820</v>
      </c>
      <c r="B2006" s="768" t="s">
        <v>555</v>
      </c>
      <c r="C2006" s="720"/>
      <c r="D2006" s="698">
        <f t="shared" si="244"/>
        <v>0</v>
      </c>
      <c r="E2006" s="698">
        <f>H2006+K2006+Q2006+N2006</f>
        <v>0</v>
      </c>
      <c r="F2006" s="699" t="e">
        <f t="shared" si="242"/>
        <v>#DIV/0!</v>
      </c>
      <c r="G2006" s="720"/>
      <c r="H2006" s="698"/>
      <c r="I2006" s="702" t="e">
        <f t="shared" si="248"/>
        <v>#DIV/0!</v>
      </c>
      <c r="J2006" s="879"/>
      <c r="K2006" s="698"/>
      <c r="L2006" s="704"/>
      <c r="M2006" s="698"/>
      <c r="N2006" s="698"/>
      <c r="O2006" s="766"/>
      <c r="P2006" s="698"/>
      <c r="Q2006" s="698"/>
      <c r="R2006" s="770"/>
    </row>
    <row r="2007" spans="1:18" ht="64.5" customHeight="1">
      <c r="A2007" s="784">
        <v>2480</v>
      </c>
      <c r="B2007" s="785" t="s">
        <v>534</v>
      </c>
      <c r="C2007" s="720">
        <v>500000</v>
      </c>
      <c r="D2007" s="698">
        <f t="shared" si="244"/>
        <v>316000</v>
      </c>
      <c r="E2007" s="698">
        <f aca="true" t="shared" si="250" ref="E2007:E2035">SUM(H2007+K2007+N2007+Q2007)</f>
        <v>0</v>
      </c>
      <c r="F2007" s="699">
        <f t="shared" si="242"/>
        <v>0</v>
      </c>
      <c r="G2007" s="720">
        <f>500000-40000-14000-25000-25000-80000</f>
        <v>316000</v>
      </c>
      <c r="H2007" s="698"/>
      <c r="I2007" s="702">
        <f t="shared" si="248"/>
        <v>0</v>
      </c>
      <c r="J2007" s="879"/>
      <c r="K2007" s="698"/>
      <c r="L2007" s="704"/>
      <c r="M2007" s="698"/>
      <c r="N2007" s="698"/>
      <c r="O2007" s="766"/>
      <c r="P2007" s="698"/>
      <c r="Q2007" s="698"/>
      <c r="R2007" s="770"/>
    </row>
    <row r="2008" spans="1:20" s="756" customFormat="1" ht="48" hidden="1">
      <c r="A2008" s="764">
        <v>3040</v>
      </c>
      <c r="B2008" s="768" t="s">
        <v>905</v>
      </c>
      <c r="C2008" s="720"/>
      <c r="D2008" s="698">
        <f t="shared" si="244"/>
        <v>0</v>
      </c>
      <c r="E2008" s="698">
        <f t="shared" si="250"/>
        <v>0</v>
      </c>
      <c r="F2008" s="699" t="e">
        <f t="shared" si="242"/>
        <v>#DIV/0!</v>
      </c>
      <c r="G2008" s="720"/>
      <c r="H2008" s="698"/>
      <c r="I2008" s="702" t="e">
        <f t="shared" si="248"/>
        <v>#DIV/0!</v>
      </c>
      <c r="J2008" s="879"/>
      <c r="K2008" s="698"/>
      <c r="L2008" s="704"/>
      <c r="M2008" s="698"/>
      <c r="N2008" s="698"/>
      <c r="O2008" s="766"/>
      <c r="P2008" s="698"/>
      <c r="Q2008" s="698"/>
      <c r="R2008" s="770"/>
      <c r="S2008" s="682"/>
      <c r="T2008" s="682"/>
    </row>
    <row r="2009" spans="1:20" s="756" customFormat="1" ht="28.5" customHeight="1">
      <c r="A2009" s="764">
        <v>4210</v>
      </c>
      <c r="B2009" s="768" t="s">
        <v>500</v>
      </c>
      <c r="C2009" s="720">
        <v>20800</v>
      </c>
      <c r="D2009" s="698">
        <f t="shared" si="244"/>
        <v>26550</v>
      </c>
      <c r="E2009" s="698">
        <f t="shared" si="250"/>
        <v>26266</v>
      </c>
      <c r="F2009" s="699">
        <f t="shared" si="242"/>
        <v>98.93032015065913</v>
      </c>
      <c r="G2009" s="720">
        <f>20800+1000+200+2400+1000+1000-500+600-700+200+550</f>
        <v>26550</v>
      </c>
      <c r="H2009" s="698">
        <v>26266</v>
      </c>
      <c r="I2009" s="744">
        <f t="shared" si="248"/>
        <v>98.93032015065913</v>
      </c>
      <c r="J2009" s="879"/>
      <c r="K2009" s="698"/>
      <c r="L2009" s="704"/>
      <c r="M2009" s="698"/>
      <c r="N2009" s="698"/>
      <c r="O2009" s="766"/>
      <c r="P2009" s="698"/>
      <c r="Q2009" s="698"/>
      <c r="R2009" s="770"/>
      <c r="S2009" s="682"/>
      <c r="T2009" s="682"/>
    </row>
    <row r="2010" spans="1:20" s="756" customFormat="1" ht="24" hidden="1">
      <c r="A2010" s="764">
        <v>4300</v>
      </c>
      <c r="B2010" s="768" t="s">
        <v>501</v>
      </c>
      <c r="C2010" s="720"/>
      <c r="D2010" s="698">
        <f t="shared" si="244"/>
        <v>0</v>
      </c>
      <c r="E2010" s="698">
        <f t="shared" si="250"/>
        <v>0</v>
      </c>
      <c r="F2010" s="699" t="e">
        <f t="shared" si="242"/>
        <v>#DIV/0!</v>
      </c>
      <c r="G2010" s="720"/>
      <c r="H2010" s="698"/>
      <c r="I2010" s="744" t="e">
        <f t="shared" si="248"/>
        <v>#DIV/0!</v>
      </c>
      <c r="J2010" s="879"/>
      <c r="K2010" s="698"/>
      <c r="L2010" s="704"/>
      <c r="M2010" s="698"/>
      <c r="N2010" s="698"/>
      <c r="O2010" s="766"/>
      <c r="P2010" s="698"/>
      <c r="Q2010" s="698"/>
      <c r="R2010" s="770"/>
      <c r="S2010" s="682"/>
      <c r="T2010" s="682"/>
    </row>
    <row r="2011" spans="1:20" s="756" customFormat="1" ht="24">
      <c r="A2011" s="764">
        <v>4300</v>
      </c>
      <c r="B2011" s="768" t="s">
        <v>502</v>
      </c>
      <c r="C2011" s="720">
        <v>22100</v>
      </c>
      <c r="D2011" s="698">
        <f t="shared" si="244"/>
        <v>24050</v>
      </c>
      <c r="E2011" s="698">
        <f t="shared" si="250"/>
        <v>24014</v>
      </c>
      <c r="F2011" s="699">
        <f t="shared" si="242"/>
        <v>99.85031185031184</v>
      </c>
      <c r="G2011" s="720">
        <f>22100-1200+1000+900+500+600+700-550</f>
        <v>24050</v>
      </c>
      <c r="H2011" s="698">
        <v>24014</v>
      </c>
      <c r="I2011" s="744">
        <f t="shared" si="248"/>
        <v>99.85031185031184</v>
      </c>
      <c r="J2011" s="879"/>
      <c r="K2011" s="698"/>
      <c r="L2011" s="704"/>
      <c r="M2011" s="698"/>
      <c r="N2011" s="698"/>
      <c r="O2011" s="766"/>
      <c r="P2011" s="698"/>
      <c r="Q2011" s="698"/>
      <c r="R2011" s="770"/>
      <c r="S2011" s="682"/>
      <c r="T2011" s="682"/>
    </row>
    <row r="2012" spans="1:20" s="756" customFormat="1" ht="18" customHeight="1">
      <c r="A2012" s="764">
        <v>4430</v>
      </c>
      <c r="B2012" s="768" t="s">
        <v>503</v>
      </c>
      <c r="C2012" s="720">
        <v>200</v>
      </c>
      <c r="D2012" s="698">
        <f t="shared" si="244"/>
        <v>0</v>
      </c>
      <c r="E2012" s="698">
        <f t="shared" si="250"/>
        <v>0</v>
      </c>
      <c r="F2012" s="699"/>
      <c r="G2012" s="720">
        <f>200-200</f>
        <v>0</v>
      </c>
      <c r="H2012" s="698"/>
      <c r="I2012" s="744"/>
      <c r="J2012" s="879"/>
      <c r="K2012" s="698"/>
      <c r="L2012" s="704"/>
      <c r="M2012" s="698"/>
      <c r="N2012" s="698"/>
      <c r="O2012" s="766"/>
      <c r="P2012" s="698"/>
      <c r="Q2012" s="698"/>
      <c r="R2012" s="770"/>
      <c r="S2012" s="682"/>
      <c r="T2012" s="682"/>
    </row>
    <row r="2013" spans="1:20" s="756" customFormat="1" ht="60" hidden="1">
      <c r="A2013" s="764">
        <v>4740</v>
      </c>
      <c r="B2013" s="768" t="s">
        <v>504</v>
      </c>
      <c r="C2013" s="720"/>
      <c r="D2013" s="698">
        <f>G2013+J2013+P2013+M2013</f>
        <v>0</v>
      </c>
      <c r="E2013" s="698">
        <f>SUM(H2013+K2013+N2013+Q2013)</f>
        <v>0</v>
      </c>
      <c r="F2013" s="699" t="e">
        <f>E2013/D2013*100</f>
        <v>#DIV/0!</v>
      </c>
      <c r="G2013" s="720"/>
      <c r="H2013" s="698"/>
      <c r="I2013" s="744" t="e">
        <f t="shared" si="248"/>
        <v>#DIV/0!</v>
      </c>
      <c r="J2013" s="879"/>
      <c r="K2013" s="698"/>
      <c r="L2013" s="704"/>
      <c r="M2013" s="698"/>
      <c r="N2013" s="698"/>
      <c r="O2013" s="766"/>
      <c r="P2013" s="698"/>
      <c r="Q2013" s="698"/>
      <c r="R2013" s="770"/>
      <c r="S2013" s="682"/>
      <c r="T2013" s="682"/>
    </row>
    <row r="2014" spans="1:20" s="756" customFormat="1" ht="36">
      <c r="A2014" s="774"/>
      <c r="B2014" s="848" t="s">
        <v>795</v>
      </c>
      <c r="C2014" s="776"/>
      <c r="D2014" s="777">
        <f t="shared" si="244"/>
        <v>768038</v>
      </c>
      <c r="E2014" s="777">
        <f t="shared" si="250"/>
        <v>534908</v>
      </c>
      <c r="F2014" s="747">
        <f t="shared" si="242"/>
        <v>69.6460331389853</v>
      </c>
      <c r="G2014" s="776">
        <f>SUM(G2015:G2035)</f>
        <v>768038</v>
      </c>
      <c r="H2014" s="777">
        <f>SUM(H2015:H2035)</f>
        <v>534908</v>
      </c>
      <c r="I2014" s="744">
        <f t="shared" si="248"/>
        <v>69.6460331389853</v>
      </c>
      <c r="J2014" s="963"/>
      <c r="K2014" s="777"/>
      <c r="L2014" s="779"/>
      <c r="M2014" s="777"/>
      <c r="N2014" s="777"/>
      <c r="O2014" s="906"/>
      <c r="P2014" s="777"/>
      <c r="Q2014" s="777"/>
      <c r="R2014" s="783"/>
      <c r="S2014" s="682"/>
      <c r="T2014" s="682"/>
    </row>
    <row r="2015" spans="1:18" ht="29.25" customHeight="1">
      <c r="A2015" s="764">
        <v>4110</v>
      </c>
      <c r="B2015" s="934" t="s">
        <v>207</v>
      </c>
      <c r="C2015" s="720"/>
      <c r="D2015" s="698">
        <f t="shared" si="244"/>
        <v>1420</v>
      </c>
      <c r="E2015" s="698">
        <f t="shared" si="250"/>
        <v>121</v>
      </c>
      <c r="F2015" s="699">
        <f t="shared" si="242"/>
        <v>8.52112676056338</v>
      </c>
      <c r="G2015" s="720">
        <f>600+820</f>
        <v>1420</v>
      </c>
      <c r="H2015" s="698">
        <f>122-1</f>
        <v>121</v>
      </c>
      <c r="I2015" s="744">
        <f t="shared" si="248"/>
        <v>8.52112676056338</v>
      </c>
      <c r="J2015" s="879"/>
      <c r="K2015" s="698"/>
      <c r="L2015" s="704"/>
      <c r="M2015" s="698"/>
      <c r="N2015" s="698"/>
      <c r="O2015" s="766"/>
      <c r="P2015" s="698"/>
      <c r="Q2015" s="698"/>
      <c r="R2015" s="770"/>
    </row>
    <row r="2016" spans="1:18" ht="28.5" customHeight="1">
      <c r="A2016" s="764">
        <v>4118</v>
      </c>
      <c r="B2016" s="934" t="s">
        <v>207</v>
      </c>
      <c r="C2016" s="720"/>
      <c r="D2016" s="698">
        <f>G2016+J2016+P2016+M2016</f>
        <v>1246</v>
      </c>
      <c r="E2016" s="698">
        <f>SUM(H2016+K2016+N2016+Q2016)</f>
        <v>1246</v>
      </c>
      <c r="F2016" s="699">
        <f>E2016/D2016*100</f>
        <v>100</v>
      </c>
      <c r="G2016" s="720">
        <v>1246</v>
      </c>
      <c r="H2016" s="698">
        <v>1246</v>
      </c>
      <c r="I2016" s="744">
        <f t="shared" si="248"/>
        <v>100</v>
      </c>
      <c r="J2016" s="879"/>
      <c r="K2016" s="698"/>
      <c r="L2016" s="704"/>
      <c r="M2016" s="698"/>
      <c r="N2016" s="698"/>
      <c r="O2016" s="766"/>
      <c r="P2016" s="698"/>
      <c r="Q2016" s="698"/>
      <c r="R2016" s="770"/>
    </row>
    <row r="2017" spans="1:18" ht="25.5" customHeight="1">
      <c r="A2017" s="764">
        <v>4119</v>
      </c>
      <c r="B2017" s="934" t="s">
        <v>207</v>
      </c>
      <c r="C2017" s="720"/>
      <c r="D2017" s="698">
        <f t="shared" si="244"/>
        <v>220</v>
      </c>
      <c r="E2017" s="698">
        <f t="shared" si="250"/>
        <v>220</v>
      </c>
      <c r="F2017" s="699">
        <f t="shared" si="242"/>
        <v>100</v>
      </c>
      <c r="G2017" s="720">
        <v>220</v>
      </c>
      <c r="H2017" s="698">
        <v>220</v>
      </c>
      <c r="I2017" s="744">
        <f t="shared" si="248"/>
        <v>100</v>
      </c>
      <c r="J2017" s="879"/>
      <c r="K2017" s="698"/>
      <c r="L2017" s="704"/>
      <c r="M2017" s="698"/>
      <c r="N2017" s="698"/>
      <c r="O2017" s="766"/>
      <c r="P2017" s="698"/>
      <c r="Q2017" s="698"/>
      <c r="R2017" s="770"/>
    </row>
    <row r="2018" spans="1:18" ht="12.75">
      <c r="A2018" s="764">
        <v>4120</v>
      </c>
      <c r="B2018" s="934" t="s">
        <v>584</v>
      </c>
      <c r="C2018" s="720"/>
      <c r="D2018" s="698">
        <f t="shared" si="244"/>
        <v>250</v>
      </c>
      <c r="E2018" s="698">
        <f t="shared" si="250"/>
        <v>0</v>
      </c>
      <c r="F2018" s="699">
        <f t="shared" si="242"/>
        <v>0</v>
      </c>
      <c r="G2018" s="720">
        <f>120+130</f>
        <v>250</v>
      </c>
      <c r="H2018" s="698"/>
      <c r="I2018" s="744">
        <f t="shared" si="248"/>
        <v>0</v>
      </c>
      <c r="J2018" s="879"/>
      <c r="K2018" s="698"/>
      <c r="L2018" s="704"/>
      <c r="M2018" s="698"/>
      <c r="N2018" s="698"/>
      <c r="O2018" s="766"/>
      <c r="P2018" s="698"/>
      <c r="Q2018" s="698"/>
      <c r="R2018" s="770"/>
    </row>
    <row r="2019" spans="1:18" ht="12.75">
      <c r="A2019" s="764">
        <v>4128</v>
      </c>
      <c r="B2019" s="934" t="s">
        <v>584</v>
      </c>
      <c r="C2019" s="720"/>
      <c r="D2019" s="698">
        <f>G2019+J2019+P2019+M2019</f>
        <v>193</v>
      </c>
      <c r="E2019" s="698">
        <f>SUM(H2019+K2019+N2019+Q2019)</f>
        <v>193</v>
      </c>
      <c r="F2019" s="699">
        <f>E2019/D2019*100</f>
        <v>100</v>
      </c>
      <c r="G2019" s="720">
        <v>193</v>
      </c>
      <c r="H2019" s="698">
        <v>193</v>
      </c>
      <c r="I2019" s="744">
        <f t="shared" si="248"/>
        <v>100</v>
      </c>
      <c r="J2019" s="879"/>
      <c r="K2019" s="698"/>
      <c r="L2019" s="704"/>
      <c r="M2019" s="698"/>
      <c r="N2019" s="698"/>
      <c r="O2019" s="766"/>
      <c r="P2019" s="698"/>
      <c r="Q2019" s="698"/>
      <c r="R2019" s="770"/>
    </row>
    <row r="2020" spans="1:18" ht="12.75">
      <c r="A2020" s="764">
        <v>4129</v>
      </c>
      <c r="B2020" s="934" t="s">
        <v>584</v>
      </c>
      <c r="C2020" s="720"/>
      <c r="D2020" s="698">
        <f>G2020+J2020+P2020+M2020</f>
        <v>34</v>
      </c>
      <c r="E2020" s="698">
        <f>SUM(H2020+K2020+N2020+Q2020)</f>
        <v>34</v>
      </c>
      <c r="F2020" s="699">
        <f>E2020/D2020*100</f>
        <v>100</v>
      </c>
      <c r="G2020" s="720">
        <v>34</v>
      </c>
      <c r="H2020" s="698">
        <v>34</v>
      </c>
      <c r="I2020" s="744">
        <f t="shared" si="248"/>
        <v>100</v>
      </c>
      <c r="J2020" s="879"/>
      <c r="K2020" s="698"/>
      <c r="L2020" s="704"/>
      <c r="M2020" s="698"/>
      <c r="N2020" s="698"/>
      <c r="O2020" s="766"/>
      <c r="P2020" s="698"/>
      <c r="Q2020" s="698"/>
      <c r="R2020" s="770"/>
    </row>
    <row r="2021" spans="1:18" ht="24">
      <c r="A2021" s="764">
        <v>4170</v>
      </c>
      <c r="B2021" s="768" t="s">
        <v>868</v>
      </c>
      <c r="C2021" s="720"/>
      <c r="D2021" s="698">
        <f t="shared" si="244"/>
        <v>5800</v>
      </c>
      <c r="E2021" s="698">
        <f t="shared" si="250"/>
        <v>5800</v>
      </c>
      <c r="F2021" s="699">
        <f aca="true" t="shared" si="251" ref="F2021:F2055">E2021/D2021*100</f>
        <v>100</v>
      </c>
      <c r="G2021" s="720">
        <f>2000+3800</f>
        <v>5800</v>
      </c>
      <c r="H2021" s="698">
        <v>5800</v>
      </c>
      <c r="I2021" s="744">
        <f t="shared" si="248"/>
        <v>100</v>
      </c>
      <c r="J2021" s="879"/>
      <c r="K2021" s="698"/>
      <c r="L2021" s="704"/>
      <c r="M2021" s="698"/>
      <c r="N2021" s="698"/>
      <c r="O2021" s="766"/>
      <c r="P2021" s="698"/>
      <c r="Q2021" s="698"/>
      <c r="R2021" s="770"/>
    </row>
    <row r="2022" spans="1:18" ht="24">
      <c r="A2022" s="764">
        <v>4178</v>
      </c>
      <c r="B2022" s="768" t="s">
        <v>868</v>
      </c>
      <c r="C2022" s="720"/>
      <c r="D2022" s="698">
        <f t="shared" si="244"/>
        <v>63978</v>
      </c>
      <c r="E2022" s="698">
        <f t="shared" si="250"/>
        <v>47206</v>
      </c>
      <c r="F2022" s="699">
        <f t="shared" si="251"/>
        <v>73.78473850386071</v>
      </c>
      <c r="G2022" s="720">
        <f>65417-1439</f>
        <v>63978</v>
      </c>
      <c r="H2022" s="698">
        <v>47206</v>
      </c>
      <c r="I2022" s="744">
        <f t="shared" si="248"/>
        <v>73.78473850386071</v>
      </c>
      <c r="J2022" s="879"/>
      <c r="K2022" s="698"/>
      <c r="L2022" s="704"/>
      <c r="M2022" s="698"/>
      <c r="N2022" s="698"/>
      <c r="O2022" s="766"/>
      <c r="P2022" s="698"/>
      <c r="Q2022" s="698"/>
      <c r="R2022" s="770"/>
    </row>
    <row r="2023" spans="1:18" ht="24">
      <c r="A2023" s="764">
        <v>4179</v>
      </c>
      <c r="B2023" s="768" t="s">
        <v>868</v>
      </c>
      <c r="C2023" s="720"/>
      <c r="D2023" s="698">
        <f t="shared" si="244"/>
        <v>11291</v>
      </c>
      <c r="E2023" s="698">
        <f t="shared" si="250"/>
        <v>8330</v>
      </c>
      <c r="F2023" s="699">
        <f t="shared" si="251"/>
        <v>73.77557346559206</v>
      </c>
      <c r="G2023" s="720">
        <f>11545-254</f>
        <v>11291</v>
      </c>
      <c r="H2023" s="698">
        <f>8331-1</f>
        <v>8330</v>
      </c>
      <c r="I2023" s="744">
        <f t="shared" si="248"/>
        <v>73.77557346559206</v>
      </c>
      <c r="J2023" s="879"/>
      <c r="K2023" s="698"/>
      <c r="L2023" s="704"/>
      <c r="M2023" s="698"/>
      <c r="N2023" s="698"/>
      <c r="O2023" s="766"/>
      <c r="P2023" s="698"/>
      <c r="Q2023" s="698"/>
      <c r="R2023" s="770"/>
    </row>
    <row r="2024" spans="1:18" ht="24">
      <c r="A2024" s="764">
        <v>4210</v>
      </c>
      <c r="B2024" s="768" t="s">
        <v>661</v>
      </c>
      <c r="C2024" s="720"/>
      <c r="D2024" s="698">
        <f t="shared" si="244"/>
        <v>2000</v>
      </c>
      <c r="E2024" s="698">
        <f>SUM(H2024+K2024+N2024+Q2024)</f>
        <v>1932</v>
      </c>
      <c r="F2024" s="699">
        <f>E2024/D2024*100</f>
        <v>96.6</v>
      </c>
      <c r="G2024" s="720">
        <v>2000</v>
      </c>
      <c r="H2024" s="698">
        <v>1932</v>
      </c>
      <c r="I2024" s="744">
        <f t="shared" si="248"/>
        <v>96.6</v>
      </c>
      <c r="J2024" s="879"/>
      <c r="K2024" s="698"/>
      <c r="L2024" s="704"/>
      <c r="M2024" s="698"/>
      <c r="N2024" s="698"/>
      <c r="O2024" s="766"/>
      <c r="P2024" s="698"/>
      <c r="Q2024" s="698"/>
      <c r="R2024" s="770"/>
    </row>
    <row r="2025" spans="1:18" ht="24">
      <c r="A2025" s="764">
        <v>4218</v>
      </c>
      <c r="B2025" s="768" t="s">
        <v>661</v>
      </c>
      <c r="C2025" s="720"/>
      <c r="D2025" s="698">
        <f t="shared" si="244"/>
        <v>31308</v>
      </c>
      <c r="E2025" s="698">
        <f t="shared" si="250"/>
        <v>25061</v>
      </c>
      <c r="F2025" s="699">
        <f t="shared" si="251"/>
        <v>80.04663344831991</v>
      </c>
      <c r="G2025" s="720">
        <v>31308</v>
      </c>
      <c r="H2025" s="698">
        <v>25061</v>
      </c>
      <c r="I2025" s="744">
        <f t="shared" si="248"/>
        <v>80.04663344831991</v>
      </c>
      <c r="J2025" s="879"/>
      <c r="K2025" s="698"/>
      <c r="L2025" s="704"/>
      <c r="M2025" s="698"/>
      <c r="N2025" s="698"/>
      <c r="O2025" s="766"/>
      <c r="P2025" s="698"/>
      <c r="Q2025" s="698"/>
      <c r="R2025" s="770"/>
    </row>
    <row r="2026" spans="1:18" ht="24">
      <c r="A2026" s="764">
        <v>4219</v>
      </c>
      <c r="B2026" s="768" t="s">
        <v>661</v>
      </c>
      <c r="C2026" s="720"/>
      <c r="D2026" s="698">
        <f t="shared" si="244"/>
        <v>5525</v>
      </c>
      <c r="E2026" s="698">
        <f t="shared" si="250"/>
        <v>4422</v>
      </c>
      <c r="F2026" s="699">
        <f t="shared" si="251"/>
        <v>80.03619909502262</v>
      </c>
      <c r="G2026" s="720">
        <v>5525</v>
      </c>
      <c r="H2026" s="698">
        <v>4422</v>
      </c>
      <c r="I2026" s="744">
        <f t="shared" si="248"/>
        <v>80.03619909502262</v>
      </c>
      <c r="J2026" s="879"/>
      <c r="K2026" s="698"/>
      <c r="L2026" s="704"/>
      <c r="M2026" s="698"/>
      <c r="N2026" s="698"/>
      <c r="O2026" s="766"/>
      <c r="P2026" s="698"/>
      <c r="Q2026" s="698"/>
      <c r="R2026" s="770"/>
    </row>
    <row r="2027" spans="1:18" ht="15.75" customHeight="1">
      <c r="A2027" s="764">
        <v>4300</v>
      </c>
      <c r="B2027" s="768" t="s">
        <v>219</v>
      </c>
      <c r="C2027" s="720"/>
      <c r="D2027" s="698">
        <f>G2027+J2027+P2027+M2027</f>
        <v>14762</v>
      </c>
      <c r="E2027" s="698">
        <f>SUM(H2027+K2027+N2027+Q2027)</f>
        <v>2242</v>
      </c>
      <c r="F2027" s="699">
        <f t="shared" si="251"/>
        <v>15.18764395068419</v>
      </c>
      <c r="G2027" s="720">
        <f>20000+488-5726</f>
        <v>14762</v>
      </c>
      <c r="H2027" s="698">
        <v>2242</v>
      </c>
      <c r="I2027" s="744">
        <f t="shared" si="248"/>
        <v>15.18764395068419</v>
      </c>
      <c r="J2027" s="879"/>
      <c r="K2027" s="698"/>
      <c r="L2027" s="704"/>
      <c r="M2027" s="698"/>
      <c r="N2027" s="698"/>
      <c r="O2027" s="766"/>
      <c r="P2027" s="698"/>
      <c r="Q2027" s="698"/>
      <c r="R2027" s="770"/>
    </row>
    <row r="2028" spans="1:18" ht="15.75" customHeight="1">
      <c r="A2028" s="764">
        <v>4308</v>
      </c>
      <c r="B2028" s="768" t="s">
        <v>219</v>
      </c>
      <c r="C2028" s="720"/>
      <c r="D2028" s="698">
        <f t="shared" si="244"/>
        <v>514071</v>
      </c>
      <c r="E2028" s="698">
        <f t="shared" si="250"/>
        <v>354050</v>
      </c>
      <c r="F2028" s="699">
        <f t="shared" si="251"/>
        <v>68.87180953603685</v>
      </c>
      <c r="G2028" s="720">
        <v>514071</v>
      </c>
      <c r="H2028" s="698">
        <f>344344+9706</f>
        <v>354050</v>
      </c>
      <c r="I2028" s="744">
        <f t="shared" si="248"/>
        <v>68.87180953603685</v>
      </c>
      <c r="J2028" s="879"/>
      <c r="K2028" s="698"/>
      <c r="L2028" s="704"/>
      <c r="M2028" s="698"/>
      <c r="N2028" s="698"/>
      <c r="O2028" s="766"/>
      <c r="P2028" s="698"/>
      <c r="Q2028" s="698"/>
      <c r="R2028" s="770"/>
    </row>
    <row r="2029" spans="1:18" ht="24">
      <c r="A2029" s="764">
        <v>4309</v>
      </c>
      <c r="B2029" s="768" t="s">
        <v>219</v>
      </c>
      <c r="C2029" s="720"/>
      <c r="D2029" s="698">
        <f t="shared" si="244"/>
        <v>90719</v>
      </c>
      <c r="E2029" s="698">
        <f t="shared" si="250"/>
        <v>62479</v>
      </c>
      <c r="F2029" s="699">
        <f t="shared" si="251"/>
        <v>68.87090907086719</v>
      </c>
      <c r="G2029" s="720">
        <v>90719</v>
      </c>
      <c r="H2029" s="698">
        <f>72186-9707</f>
        <v>62479</v>
      </c>
      <c r="I2029" s="744">
        <f t="shared" si="248"/>
        <v>68.87090907086719</v>
      </c>
      <c r="J2029" s="879"/>
      <c r="K2029" s="698"/>
      <c r="L2029" s="704"/>
      <c r="M2029" s="698"/>
      <c r="N2029" s="698"/>
      <c r="O2029" s="766"/>
      <c r="P2029" s="698"/>
      <c r="Q2029" s="698"/>
      <c r="R2029" s="770"/>
    </row>
    <row r="2030" spans="1:18" ht="27.75" customHeight="1">
      <c r="A2030" s="764">
        <v>4380</v>
      </c>
      <c r="B2030" s="768" t="s">
        <v>711</v>
      </c>
      <c r="C2030" s="720"/>
      <c r="D2030" s="698">
        <f>G2030+J2030+P2030+M2030</f>
        <v>5000</v>
      </c>
      <c r="E2030" s="698">
        <f>SUM(H2030+K2030+N2030+Q2030)</f>
        <v>3782</v>
      </c>
      <c r="F2030" s="699">
        <f t="shared" si="251"/>
        <v>75.64</v>
      </c>
      <c r="G2030" s="720">
        <v>5000</v>
      </c>
      <c r="H2030" s="698">
        <v>3782</v>
      </c>
      <c r="I2030" s="744">
        <f t="shared" si="248"/>
        <v>75.64</v>
      </c>
      <c r="J2030" s="879"/>
      <c r="K2030" s="698"/>
      <c r="L2030" s="704"/>
      <c r="M2030" s="698"/>
      <c r="N2030" s="698"/>
      <c r="O2030" s="766"/>
      <c r="P2030" s="698"/>
      <c r="Q2030" s="698"/>
      <c r="R2030" s="770"/>
    </row>
    <row r="2031" spans="1:20" s="756" customFormat="1" ht="26.25" customHeight="1">
      <c r="A2031" s="764">
        <v>4388</v>
      </c>
      <c r="B2031" s="768" t="s">
        <v>711</v>
      </c>
      <c r="C2031" s="720"/>
      <c r="D2031" s="698">
        <f t="shared" si="244"/>
        <v>6789</v>
      </c>
      <c r="E2031" s="698">
        <f t="shared" si="250"/>
        <v>6627</v>
      </c>
      <c r="F2031" s="699">
        <f t="shared" si="251"/>
        <v>97.61378700839593</v>
      </c>
      <c r="G2031" s="720">
        <v>6789</v>
      </c>
      <c r="H2031" s="698">
        <v>6627</v>
      </c>
      <c r="I2031" s="744">
        <f t="shared" si="248"/>
        <v>97.61378700839593</v>
      </c>
      <c r="J2031" s="879"/>
      <c r="K2031" s="698"/>
      <c r="L2031" s="704"/>
      <c r="M2031" s="698"/>
      <c r="N2031" s="698"/>
      <c r="O2031" s="766"/>
      <c r="P2031" s="698"/>
      <c r="Q2031" s="698"/>
      <c r="R2031" s="770"/>
      <c r="S2031" s="682"/>
      <c r="T2031" s="682"/>
    </row>
    <row r="2032" spans="1:20" s="756" customFormat="1" ht="26.25" customHeight="1">
      <c r="A2032" s="764">
        <v>4389</v>
      </c>
      <c r="B2032" s="768" t="s">
        <v>711</v>
      </c>
      <c r="C2032" s="720"/>
      <c r="D2032" s="698">
        <f>G2032+J2032+P2032+M2032</f>
        <v>1199</v>
      </c>
      <c r="E2032" s="698">
        <f>SUM(H2032+K2032+N2032+Q2032)</f>
        <v>1170</v>
      </c>
      <c r="F2032" s="699">
        <f t="shared" si="251"/>
        <v>97.581317764804</v>
      </c>
      <c r="G2032" s="720">
        <v>1199</v>
      </c>
      <c r="H2032" s="698">
        <f>1170-1+1</f>
        <v>1170</v>
      </c>
      <c r="I2032" s="744">
        <f t="shared" si="248"/>
        <v>97.581317764804</v>
      </c>
      <c r="J2032" s="879"/>
      <c r="K2032" s="698"/>
      <c r="L2032" s="704"/>
      <c r="M2032" s="698"/>
      <c r="N2032" s="698"/>
      <c r="O2032" s="766"/>
      <c r="P2032" s="698"/>
      <c r="Q2032" s="698"/>
      <c r="R2032" s="770"/>
      <c r="S2032" s="682"/>
      <c r="T2032" s="682"/>
    </row>
    <row r="2033" spans="1:20" s="756" customFormat="1" ht="12.75">
      <c r="A2033" s="764">
        <v>4430</v>
      </c>
      <c r="B2033" s="768" t="s">
        <v>221</v>
      </c>
      <c r="C2033" s="720"/>
      <c r="D2033" s="698">
        <f>G2033+J2033+P2033+M2033</f>
        <v>988</v>
      </c>
      <c r="E2033" s="698">
        <f>SUM(H2033+K2033+N2033+Q2033)</f>
        <v>988</v>
      </c>
      <c r="F2033" s="699">
        <f t="shared" si="251"/>
        <v>100</v>
      </c>
      <c r="G2033" s="720">
        <f>500-5238+5726</f>
        <v>988</v>
      </c>
      <c r="H2033" s="698">
        <v>988</v>
      </c>
      <c r="I2033" s="744">
        <f t="shared" si="248"/>
        <v>100</v>
      </c>
      <c r="J2033" s="879"/>
      <c r="K2033" s="698"/>
      <c r="L2033" s="704"/>
      <c r="M2033" s="698"/>
      <c r="N2033" s="698"/>
      <c r="O2033" s="766"/>
      <c r="P2033" s="698"/>
      <c r="Q2033" s="698"/>
      <c r="R2033" s="770"/>
      <c r="S2033" s="682"/>
      <c r="T2033" s="682"/>
    </row>
    <row r="2034" spans="1:20" s="756" customFormat="1" ht="12.75">
      <c r="A2034" s="764">
        <v>4438</v>
      </c>
      <c r="B2034" s="768" t="s">
        <v>221</v>
      </c>
      <c r="C2034" s="720"/>
      <c r="D2034" s="698">
        <f>G2034+J2034+P2034+M2034</f>
        <v>9558</v>
      </c>
      <c r="E2034" s="698">
        <f>SUM(H2034+K2034+N2034+Q2034)</f>
        <v>7654</v>
      </c>
      <c r="F2034" s="699">
        <f t="shared" si="251"/>
        <v>80.07951454279137</v>
      </c>
      <c r="G2034" s="720">
        <v>9558</v>
      </c>
      <c r="H2034" s="698">
        <v>7654</v>
      </c>
      <c r="I2034" s="744">
        <f t="shared" si="248"/>
        <v>80.07951454279137</v>
      </c>
      <c r="J2034" s="879"/>
      <c r="K2034" s="698"/>
      <c r="L2034" s="704"/>
      <c r="M2034" s="698"/>
      <c r="N2034" s="698"/>
      <c r="O2034" s="766"/>
      <c r="P2034" s="698"/>
      <c r="Q2034" s="698"/>
      <c r="R2034" s="770"/>
      <c r="S2034" s="682"/>
      <c r="T2034" s="682"/>
    </row>
    <row r="2035" spans="1:20" s="756" customFormat="1" ht="13.5" thickBot="1">
      <c r="A2035" s="764">
        <v>4439</v>
      </c>
      <c r="B2035" s="768" t="s">
        <v>221</v>
      </c>
      <c r="C2035" s="720"/>
      <c r="D2035" s="698">
        <f t="shared" si="244"/>
        <v>1687</v>
      </c>
      <c r="E2035" s="698">
        <f t="shared" si="250"/>
        <v>1351</v>
      </c>
      <c r="F2035" s="699">
        <f t="shared" si="251"/>
        <v>80.08298755186722</v>
      </c>
      <c r="G2035" s="720">
        <v>1687</v>
      </c>
      <c r="H2035" s="698">
        <v>1351</v>
      </c>
      <c r="I2035" s="744">
        <f t="shared" si="248"/>
        <v>80.08298755186722</v>
      </c>
      <c r="J2035" s="879"/>
      <c r="K2035" s="698"/>
      <c r="L2035" s="704"/>
      <c r="M2035" s="698"/>
      <c r="N2035" s="698"/>
      <c r="O2035" s="766"/>
      <c r="P2035" s="698"/>
      <c r="Q2035" s="698"/>
      <c r="R2035" s="770"/>
      <c r="S2035" s="682"/>
      <c r="T2035" s="682"/>
    </row>
    <row r="2036" spans="1:20" s="997" customFormat="1" ht="39" customHeight="1" thickBot="1" thickTop="1">
      <c r="A2036" s="994">
        <v>926</v>
      </c>
      <c r="B2036" s="995" t="s">
        <v>906</v>
      </c>
      <c r="C2036" s="751">
        <f>SUM(C2037+C2056+C2053)</f>
        <v>13830750</v>
      </c>
      <c r="D2036" s="674">
        <f t="shared" si="244"/>
        <v>19975830</v>
      </c>
      <c r="E2036" s="674">
        <f>H2036+K2036+Q2036+N2036</f>
        <v>17035591</v>
      </c>
      <c r="F2036" s="675">
        <f t="shared" si="251"/>
        <v>85.28101710917643</v>
      </c>
      <c r="G2036" s="751">
        <f>SUM(G2037+G2056+G2053)</f>
        <v>19975830</v>
      </c>
      <c r="H2036" s="674">
        <f>SUM(H2037+H2056+H2053)</f>
        <v>17035591</v>
      </c>
      <c r="I2036" s="677">
        <f t="shared" si="248"/>
        <v>85.28101710917643</v>
      </c>
      <c r="J2036" s="1064"/>
      <c r="K2036" s="674"/>
      <c r="L2036" s="753"/>
      <c r="M2036" s="674"/>
      <c r="N2036" s="674"/>
      <c r="O2036" s="754"/>
      <c r="P2036" s="674"/>
      <c r="Q2036" s="674"/>
      <c r="R2036" s="851"/>
      <c r="S2036" s="1065"/>
      <c r="T2036" s="1065"/>
    </row>
    <row r="2037" spans="1:18" ht="21.75" customHeight="1" thickTop="1">
      <c r="A2037" s="757">
        <v>92601</v>
      </c>
      <c r="B2037" s="852" t="s">
        <v>907</v>
      </c>
      <c r="C2037" s="725">
        <f>SUM(C2038:C2042)+C2049</f>
        <v>10236000</v>
      </c>
      <c r="D2037" s="686">
        <f t="shared" si="244"/>
        <v>15445667</v>
      </c>
      <c r="E2037" s="686">
        <f>H2037+K2037+Q2037+N2037</f>
        <v>12542013</v>
      </c>
      <c r="F2037" s="760">
        <f t="shared" si="251"/>
        <v>81.20085069812784</v>
      </c>
      <c r="G2037" s="725">
        <f>SUM(G2038:G2042)+G2049</f>
        <v>15445667</v>
      </c>
      <c r="H2037" s="712">
        <f>SUM(H2038:H2042)+H2049</f>
        <v>12542013</v>
      </c>
      <c r="I2037" s="719">
        <f t="shared" si="248"/>
        <v>81.20085069812784</v>
      </c>
      <c r="J2037" s="717"/>
      <c r="K2037" s="712"/>
      <c r="L2037" s="718"/>
      <c r="M2037" s="712"/>
      <c r="N2037" s="712"/>
      <c r="O2037" s="762"/>
      <c r="P2037" s="712"/>
      <c r="Q2037" s="712"/>
      <c r="R2037" s="846"/>
    </row>
    <row r="2038" spans="1:18" ht="61.5" customHeight="1" hidden="1">
      <c r="A2038" s="784">
        <v>2820</v>
      </c>
      <c r="B2038" s="785" t="s">
        <v>637</v>
      </c>
      <c r="C2038" s="720"/>
      <c r="D2038" s="698">
        <f t="shared" si="244"/>
        <v>0</v>
      </c>
      <c r="E2038" s="698">
        <f>H2038+K2038+Q2038+N2038</f>
        <v>0</v>
      </c>
      <c r="F2038" s="699" t="e">
        <f t="shared" si="251"/>
        <v>#DIV/0!</v>
      </c>
      <c r="G2038" s="720"/>
      <c r="H2038" s="732"/>
      <c r="I2038" s="702" t="e">
        <f t="shared" si="248"/>
        <v>#DIV/0!</v>
      </c>
      <c r="J2038" s="735"/>
      <c r="K2038" s="732"/>
      <c r="L2038" s="736"/>
      <c r="M2038" s="732"/>
      <c r="N2038" s="732"/>
      <c r="O2038" s="803"/>
      <c r="P2038" s="732"/>
      <c r="Q2038" s="732"/>
      <c r="R2038" s="788"/>
    </row>
    <row r="2039" spans="1:18" ht="28.5" customHeight="1">
      <c r="A2039" s="764">
        <v>4300</v>
      </c>
      <c r="B2039" s="768" t="s">
        <v>535</v>
      </c>
      <c r="C2039" s="720">
        <v>136000</v>
      </c>
      <c r="D2039" s="698">
        <f t="shared" si="244"/>
        <v>136000</v>
      </c>
      <c r="E2039" s="698">
        <f>H2039+K2039+Q2039+N2039</f>
        <v>135993</v>
      </c>
      <c r="F2039" s="699">
        <f t="shared" si="251"/>
        <v>99.99485294117648</v>
      </c>
      <c r="G2039" s="720">
        <v>136000</v>
      </c>
      <c r="H2039" s="698">
        <v>135993</v>
      </c>
      <c r="I2039" s="744">
        <f t="shared" si="248"/>
        <v>99.99485294117648</v>
      </c>
      <c r="J2039" s="703"/>
      <c r="K2039" s="698"/>
      <c r="L2039" s="704"/>
      <c r="M2039" s="698"/>
      <c r="N2039" s="698"/>
      <c r="O2039" s="766"/>
      <c r="P2039" s="698"/>
      <c r="Q2039" s="698"/>
      <c r="R2039" s="770"/>
    </row>
    <row r="2040" spans="1:18" ht="24" hidden="1">
      <c r="A2040" s="764">
        <v>4270</v>
      </c>
      <c r="B2040" s="768" t="s">
        <v>217</v>
      </c>
      <c r="C2040" s="720"/>
      <c r="D2040" s="698">
        <f t="shared" si="244"/>
        <v>0</v>
      </c>
      <c r="E2040" s="698">
        <f aca="true" t="shared" si="252" ref="E2040:E2048">SUM(H2040+K2040+N2040+Q2040)</f>
        <v>0</v>
      </c>
      <c r="F2040" s="699" t="e">
        <f t="shared" si="251"/>
        <v>#DIV/0!</v>
      </c>
      <c r="G2040" s="720"/>
      <c r="H2040" s="698"/>
      <c r="I2040" s="702" t="e">
        <f t="shared" si="248"/>
        <v>#DIV/0!</v>
      </c>
      <c r="J2040" s="703"/>
      <c r="K2040" s="698"/>
      <c r="L2040" s="704"/>
      <c r="M2040" s="698"/>
      <c r="N2040" s="698"/>
      <c r="O2040" s="766"/>
      <c r="P2040" s="698"/>
      <c r="Q2040" s="698"/>
      <c r="R2040" s="770"/>
    </row>
    <row r="2041" spans="1:18" ht="49.5" customHeight="1">
      <c r="A2041" s="764">
        <v>6010</v>
      </c>
      <c r="B2041" s="768" t="s">
        <v>788</v>
      </c>
      <c r="C2041" s="720">
        <v>6200000</v>
      </c>
      <c r="D2041" s="698">
        <f t="shared" si="244"/>
        <v>7113000</v>
      </c>
      <c r="E2041" s="698">
        <f t="shared" si="252"/>
        <v>4513000</v>
      </c>
      <c r="F2041" s="699">
        <f t="shared" si="251"/>
        <v>63.44720933502038</v>
      </c>
      <c r="G2041" s="720">
        <f>3000000+3200000-3200000+4100000+13000</f>
        <v>7113000</v>
      </c>
      <c r="H2041" s="698">
        <f>3500000+1000000+13000</f>
        <v>4513000</v>
      </c>
      <c r="I2041" s="702">
        <f t="shared" si="248"/>
        <v>63.44720933502038</v>
      </c>
      <c r="J2041" s="703"/>
      <c r="K2041" s="698"/>
      <c r="L2041" s="704"/>
      <c r="M2041" s="698"/>
      <c r="N2041" s="698"/>
      <c r="O2041" s="766"/>
      <c r="P2041" s="698"/>
      <c r="Q2041" s="698"/>
      <c r="R2041" s="770"/>
    </row>
    <row r="2042" spans="1:18" ht="27.75" customHeight="1">
      <c r="A2042" s="764">
        <v>6050</v>
      </c>
      <c r="B2042" s="768" t="s">
        <v>246</v>
      </c>
      <c r="C2042" s="720">
        <f>SUM(C2043:C2048)</f>
        <v>3900000</v>
      </c>
      <c r="D2042" s="698">
        <f t="shared" si="244"/>
        <v>8196667</v>
      </c>
      <c r="E2042" s="698">
        <f t="shared" si="252"/>
        <v>7893020</v>
      </c>
      <c r="F2042" s="699">
        <f t="shared" si="251"/>
        <v>96.29548205386409</v>
      </c>
      <c r="G2042" s="720">
        <f>SUM(G2043:G2048)</f>
        <v>8196667</v>
      </c>
      <c r="H2042" s="698">
        <f>SUM(H2043:H2048)</f>
        <v>7893020</v>
      </c>
      <c r="I2042" s="702">
        <f t="shared" si="248"/>
        <v>96.29548205386409</v>
      </c>
      <c r="J2042" s="703"/>
      <c r="K2042" s="698"/>
      <c r="L2042" s="704"/>
      <c r="M2042" s="698"/>
      <c r="N2042" s="698"/>
      <c r="O2042" s="766"/>
      <c r="P2042" s="698"/>
      <c r="Q2042" s="698"/>
      <c r="R2042" s="770"/>
    </row>
    <row r="2043" spans="1:20" s="818" customFormat="1" ht="13.5" customHeight="1">
      <c r="A2043" s="811"/>
      <c r="B2043" s="812" t="s">
        <v>908</v>
      </c>
      <c r="C2043" s="891">
        <v>300000</v>
      </c>
      <c r="D2043" s="892">
        <f t="shared" si="244"/>
        <v>300000</v>
      </c>
      <c r="E2043" s="892">
        <f t="shared" si="252"/>
        <v>299969</v>
      </c>
      <c r="F2043" s="699">
        <f t="shared" si="251"/>
        <v>99.98966666666666</v>
      </c>
      <c r="G2043" s="891">
        <v>300000</v>
      </c>
      <c r="H2043" s="892">
        <f>28694+180051+57994+7214-1+17135+6817+2065</f>
        <v>299969</v>
      </c>
      <c r="I2043" s="744">
        <f t="shared" si="248"/>
        <v>99.98966666666666</v>
      </c>
      <c r="J2043" s="893"/>
      <c r="K2043" s="892"/>
      <c r="L2043" s="704"/>
      <c r="M2043" s="892"/>
      <c r="N2043" s="892"/>
      <c r="O2043" s="704"/>
      <c r="P2043" s="892"/>
      <c r="Q2043" s="892"/>
      <c r="R2043" s="831"/>
      <c r="S2043" s="817"/>
      <c r="T2043" s="817"/>
    </row>
    <row r="2044" spans="1:20" s="818" customFormat="1" ht="24">
      <c r="A2044" s="811"/>
      <c r="B2044" s="812" t="s">
        <v>536</v>
      </c>
      <c r="C2044" s="891"/>
      <c r="D2044" s="892">
        <f>G2044+J2044+P2044+M2044</f>
        <v>4556667</v>
      </c>
      <c r="E2044" s="892">
        <f>SUM(H2044+K2044+N2044+Q2044)</f>
        <v>4416766</v>
      </c>
      <c r="F2044" s="699">
        <f>E2044/D2044*100</f>
        <v>96.92975150477312</v>
      </c>
      <c r="G2044" s="891">
        <f>734500+796467+3025700</f>
        <v>4556667</v>
      </c>
      <c r="H2044" s="892">
        <f>632851+1+3039874+429721+1171-625876+939022+1+1</f>
        <v>4416766</v>
      </c>
      <c r="I2044" s="744">
        <f t="shared" si="248"/>
        <v>96.92975150477312</v>
      </c>
      <c r="J2044" s="893"/>
      <c r="K2044" s="892"/>
      <c r="L2044" s="704"/>
      <c r="M2044" s="892"/>
      <c r="N2044" s="892"/>
      <c r="O2044" s="704"/>
      <c r="P2044" s="892"/>
      <c r="Q2044" s="892"/>
      <c r="R2044" s="831"/>
      <c r="S2044" s="817"/>
      <c r="T2044" s="817"/>
    </row>
    <row r="2045" spans="1:20" s="818" customFormat="1" ht="24">
      <c r="A2045" s="811"/>
      <c r="B2045" s="812" t="s">
        <v>537</v>
      </c>
      <c r="C2045" s="891">
        <v>1800000</v>
      </c>
      <c r="D2045" s="892">
        <f>G2045+J2045+P2045+M2045</f>
        <v>1385000</v>
      </c>
      <c r="E2045" s="892">
        <f>SUM(H2045+K2045+N2045+Q2045)</f>
        <v>1383850</v>
      </c>
      <c r="F2045" s="699">
        <f t="shared" si="251"/>
        <v>99.91696750902527</v>
      </c>
      <c r="G2045" s="891">
        <f>1800000-400000-15000</f>
        <v>1385000</v>
      </c>
      <c r="H2045" s="892">
        <f>6614+74749+1+516027+362769+423690</f>
        <v>1383850</v>
      </c>
      <c r="I2045" s="744">
        <f t="shared" si="248"/>
        <v>99.91696750902527</v>
      </c>
      <c r="J2045" s="893"/>
      <c r="K2045" s="892"/>
      <c r="L2045" s="704"/>
      <c r="M2045" s="892"/>
      <c r="N2045" s="892"/>
      <c r="O2045" s="704"/>
      <c r="P2045" s="892"/>
      <c r="Q2045" s="892"/>
      <c r="R2045" s="831"/>
      <c r="S2045" s="817"/>
      <c r="T2045" s="817"/>
    </row>
    <row r="2046" spans="1:20" s="818" customFormat="1" ht="24">
      <c r="A2046" s="811"/>
      <c r="B2046" s="812" t="s">
        <v>538</v>
      </c>
      <c r="C2046" s="891"/>
      <c r="D2046" s="892">
        <f>G2046+J2046+P2046+M2046</f>
        <v>157500</v>
      </c>
      <c r="E2046" s="892">
        <f>SUM(H2046+K2046+N2046+Q2046)</f>
        <v>157500</v>
      </c>
      <c r="F2046" s="699">
        <f t="shared" si="251"/>
        <v>100</v>
      </c>
      <c r="G2046" s="891">
        <f>160000-2500</f>
        <v>157500</v>
      </c>
      <c r="H2046" s="892">
        <v>157500</v>
      </c>
      <c r="I2046" s="744">
        <f t="shared" si="248"/>
        <v>100</v>
      </c>
      <c r="J2046" s="893"/>
      <c r="K2046" s="892"/>
      <c r="L2046" s="704"/>
      <c r="M2046" s="892"/>
      <c r="N2046" s="892"/>
      <c r="O2046" s="704"/>
      <c r="P2046" s="892"/>
      <c r="Q2046" s="892"/>
      <c r="R2046" s="831"/>
      <c r="S2046" s="817"/>
      <c r="T2046" s="817"/>
    </row>
    <row r="2047" spans="1:20" s="818" customFormat="1" ht="24">
      <c r="A2047" s="811"/>
      <c r="B2047" s="812" t="s">
        <v>539</v>
      </c>
      <c r="C2047" s="891"/>
      <c r="D2047" s="892">
        <f>G2047+J2047+P2047+M2047</f>
        <v>343000</v>
      </c>
      <c r="E2047" s="892">
        <f>SUM(H2047+K2047+N2047+Q2047)</f>
        <v>342876</v>
      </c>
      <c r="F2047" s="699">
        <f t="shared" si="251"/>
        <v>99.96384839650145</v>
      </c>
      <c r="G2047" s="891">
        <f>350000-7000</f>
        <v>343000</v>
      </c>
      <c r="H2047" s="892">
        <v>342876</v>
      </c>
      <c r="I2047" s="744">
        <f t="shared" si="248"/>
        <v>99.96384839650145</v>
      </c>
      <c r="J2047" s="893"/>
      <c r="K2047" s="892"/>
      <c r="L2047" s="704"/>
      <c r="M2047" s="892"/>
      <c r="N2047" s="892"/>
      <c r="O2047" s="704"/>
      <c r="P2047" s="892"/>
      <c r="Q2047" s="892"/>
      <c r="R2047" s="831"/>
      <c r="S2047" s="817"/>
      <c r="T2047" s="817"/>
    </row>
    <row r="2048" spans="1:20" s="818" customFormat="1" ht="24">
      <c r="A2048" s="811"/>
      <c r="B2048" s="812" t="s">
        <v>540</v>
      </c>
      <c r="C2048" s="891">
        <v>1800000</v>
      </c>
      <c r="D2048" s="892">
        <f t="shared" si="244"/>
        <v>1454500</v>
      </c>
      <c r="E2048" s="892">
        <f t="shared" si="252"/>
        <v>1292059</v>
      </c>
      <c r="F2048" s="699">
        <f t="shared" si="251"/>
        <v>88.83183224475765</v>
      </c>
      <c r="G2048" s="891">
        <f>1800000-400000+24500+30000</f>
        <v>1454500</v>
      </c>
      <c r="H2048" s="892">
        <f>42778+14+50858+173778+1+4+371403+5032+71+220614+1677+6000+346837+21700+51292</f>
        <v>1292059</v>
      </c>
      <c r="I2048" s="744">
        <f t="shared" si="248"/>
        <v>88.83183224475765</v>
      </c>
      <c r="J2048" s="893"/>
      <c r="K2048" s="892"/>
      <c r="L2048" s="704"/>
      <c r="M2048" s="892"/>
      <c r="N2048" s="892"/>
      <c r="O2048" s="704"/>
      <c r="P2048" s="892"/>
      <c r="Q2048" s="892"/>
      <c r="R2048" s="831"/>
      <c r="S2048" s="817"/>
      <c r="T2048" s="817"/>
    </row>
    <row r="2049" spans="1:20" s="756" customFormat="1" ht="48" hidden="1">
      <c r="A2049" s="774"/>
      <c r="B2049" s="848" t="s">
        <v>909</v>
      </c>
      <c r="C2049" s="776">
        <f>SUM(C2050:C2052)</f>
        <v>0</v>
      </c>
      <c r="D2049" s="777">
        <f aca="true" t="shared" si="253" ref="D2049:E2053">G2049+J2049+P2049+M2049</f>
        <v>0</v>
      </c>
      <c r="E2049" s="777">
        <f t="shared" si="253"/>
        <v>0</v>
      </c>
      <c r="F2049" s="699" t="e">
        <f t="shared" si="251"/>
        <v>#DIV/0!</v>
      </c>
      <c r="G2049" s="776">
        <f>SUM(G2050:G2052)</f>
        <v>0</v>
      </c>
      <c r="H2049" s="777">
        <f>SUM(H2050:H2052)</f>
        <v>0</v>
      </c>
      <c r="I2049" s="744" t="e">
        <f t="shared" si="248"/>
        <v>#DIV/0!</v>
      </c>
      <c r="J2049" s="778"/>
      <c r="K2049" s="777"/>
      <c r="L2049" s="779"/>
      <c r="M2049" s="777"/>
      <c r="N2049" s="777"/>
      <c r="O2049" s="906"/>
      <c r="P2049" s="777"/>
      <c r="Q2049" s="777"/>
      <c r="R2049" s="783"/>
      <c r="S2049" s="682"/>
      <c r="T2049" s="682"/>
    </row>
    <row r="2050" spans="1:20" s="756" customFormat="1" ht="36" hidden="1">
      <c r="A2050" s="764">
        <v>6050</v>
      </c>
      <c r="B2050" s="768" t="s">
        <v>246</v>
      </c>
      <c r="C2050" s="720"/>
      <c r="D2050" s="698">
        <f t="shared" si="253"/>
        <v>0</v>
      </c>
      <c r="E2050" s="698">
        <f t="shared" si="253"/>
        <v>0</v>
      </c>
      <c r="F2050" s="699" t="e">
        <f t="shared" si="251"/>
        <v>#DIV/0!</v>
      </c>
      <c r="G2050" s="720"/>
      <c r="H2050" s="698"/>
      <c r="I2050" s="744" t="e">
        <f t="shared" si="248"/>
        <v>#DIV/0!</v>
      </c>
      <c r="J2050" s="778"/>
      <c r="K2050" s="777"/>
      <c r="L2050" s="779"/>
      <c r="M2050" s="777"/>
      <c r="N2050" s="777"/>
      <c r="O2050" s="906"/>
      <c r="P2050" s="777"/>
      <c r="Q2050" s="777"/>
      <c r="R2050" s="783"/>
      <c r="S2050" s="682"/>
      <c r="T2050" s="682"/>
    </row>
    <row r="2051" spans="1:18" ht="36" hidden="1">
      <c r="A2051" s="764">
        <v>6058</v>
      </c>
      <c r="B2051" s="768" t="s">
        <v>246</v>
      </c>
      <c r="C2051" s="720"/>
      <c r="D2051" s="698">
        <f t="shared" si="253"/>
        <v>0</v>
      </c>
      <c r="E2051" s="698">
        <f t="shared" si="253"/>
        <v>0</v>
      </c>
      <c r="F2051" s="699" t="e">
        <f t="shared" si="251"/>
        <v>#DIV/0!</v>
      </c>
      <c r="G2051" s="720"/>
      <c r="H2051" s="698"/>
      <c r="I2051" s="744" t="e">
        <f t="shared" si="248"/>
        <v>#DIV/0!</v>
      </c>
      <c r="J2051" s="703"/>
      <c r="K2051" s="698"/>
      <c r="L2051" s="704"/>
      <c r="M2051" s="698"/>
      <c r="N2051" s="698"/>
      <c r="O2051" s="766"/>
      <c r="P2051" s="698"/>
      <c r="Q2051" s="698"/>
      <c r="R2051" s="770"/>
    </row>
    <row r="2052" spans="1:18" ht="36" hidden="1">
      <c r="A2052" s="764">
        <v>6059</v>
      </c>
      <c r="B2052" s="768" t="s">
        <v>246</v>
      </c>
      <c r="C2052" s="720"/>
      <c r="D2052" s="698">
        <f t="shared" si="253"/>
        <v>0</v>
      </c>
      <c r="E2052" s="698">
        <f t="shared" si="253"/>
        <v>0</v>
      </c>
      <c r="F2052" s="699" t="e">
        <f t="shared" si="251"/>
        <v>#DIV/0!</v>
      </c>
      <c r="G2052" s="720"/>
      <c r="H2052" s="698"/>
      <c r="I2052" s="744" t="e">
        <f t="shared" si="248"/>
        <v>#DIV/0!</v>
      </c>
      <c r="J2052" s="703"/>
      <c r="K2052" s="698"/>
      <c r="L2052" s="704"/>
      <c r="M2052" s="698"/>
      <c r="N2052" s="698"/>
      <c r="O2052" s="766"/>
      <c r="P2052" s="698"/>
      <c r="Q2052" s="698"/>
      <c r="R2052" s="770"/>
    </row>
    <row r="2053" spans="1:20" s="756" customFormat="1" ht="29.25" customHeight="1">
      <c r="A2053" s="757">
        <v>92605</v>
      </c>
      <c r="B2053" s="852" t="s">
        <v>910</v>
      </c>
      <c r="C2053" s="725">
        <f>SUM(C2054:C2054)</f>
        <v>3400000</v>
      </c>
      <c r="D2053" s="712">
        <f t="shared" si="253"/>
        <v>3788000</v>
      </c>
      <c r="E2053" s="712">
        <f t="shared" si="253"/>
        <v>3787938</v>
      </c>
      <c r="F2053" s="713">
        <f t="shared" si="251"/>
        <v>99.99836325237592</v>
      </c>
      <c r="G2053" s="725">
        <f>SUM(G2054:G2055)</f>
        <v>3788000</v>
      </c>
      <c r="H2053" s="712">
        <f>SUM(H2054:H2055)</f>
        <v>3787938</v>
      </c>
      <c r="I2053" s="741">
        <f>H2053/G2053*100</f>
        <v>99.99836325237592</v>
      </c>
      <c r="J2053" s="717"/>
      <c r="K2053" s="712"/>
      <c r="L2053" s="718"/>
      <c r="M2053" s="712"/>
      <c r="N2053" s="712"/>
      <c r="O2053" s="762"/>
      <c r="P2053" s="712"/>
      <c r="Q2053" s="712"/>
      <c r="R2053" s="846"/>
      <c r="S2053" s="682"/>
      <c r="T2053" s="682"/>
    </row>
    <row r="2054" spans="1:18" ht="70.5" customHeight="1">
      <c r="A2054" s="764">
        <v>2820</v>
      </c>
      <c r="B2054" s="768" t="s">
        <v>555</v>
      </c>
      <c r="C2054" s="720">
        <v>3400000</v>
      </c>
      <c r="D2054" s="698">
        <f>G2054+J2054+P2054+M2054</f>
        <v>3788000</v>
      </c>
      <c r="E2054" s="698">
        <f aca="true" t="shared" si="254" ref="E2054:E2068">SUM(H2054+K2054+N2054+Q2054)</f>
        <v>3787938</v>
      </c>
      <c r="F2054" s="699">
        <f t="shared" si="251"/>
        <v>99.99836325237592</v>
      </c>
      <c r="G2054" s="720">
        <f>3400000+115000+8000+245000+20000</f>
        <v>3788000</v>
      </c>
      <c r="H2054" s="698">
        <v>3787938</v>
      </c>
      <c r="I2054" s="786">
        <f>H2054/G2054*100</f>
        <v>99.99836325237592</v>
      </c>
      <c r="J2054" s="703"/>
      <c r="K2054" s="698"/>
      <c r="L2054" s="704"/>
      <c r="M2054" s="698"/>
      <c r="N2054" s="698"/>
      <c r="O2054" s="766"/>
      <c r="P2054" s="698"/>
      <c r="Q2054" s="698"/>
      <c r="R2054" s="770"/>
    </row>
    <row r="2055" spans="1:18" ht="27.75" customHeight="1" hidden="1">
      <c r="A2055" s="764">
        <v>4300</v>
      </c>
      <c r="B2055" s="768" t="s">
        <v>219</v>
      </c>
      <c r="C2055" s="720"/>
      <c r="D2055" s="698">
        <f>G2055+J2055+P2055+M2055</f>
        <v>0</v>
      </c>
      <c r="E2055" s="698">
        <f t="shared" si="254"/>
        <v>0</v>
      </c>
      <c r="F2055" s="699" t="e">
        <f t="shared" si="251"/>
        <v>#DIV/0!</v>
      </c>
      <c r="G2055" s="720"/>
      <c r="H2055" s="698"/>
      <c r="I2055" s="744" t="e">
        <f>H2055/G2055*100</f>
        <v>#DIV/0!</v>
      </c>
      <c r="J2055" s="703"/>
      <c r="K2055" s="698"/>
      <c r="L2055" s="704"/>
      <c r="M2055" s="698"/>
      <c r="N2055" s="698"/>
      <c r="O2055" s="766"/>
      <c r="P2055" s="698"/>
      <c r="Q2055" s="698"/>
      <c r="R2055" s="770"/>
    </row>
    <row r="2056" spans="1:18" ht="19.5" customHeight="1">
      <c r="A2056" s="757">
        <v>92695</v>
      </c>
      <c r="B2056" s="852" t="s">
        <v>911</v>
      </c>
      <c r="C2056" s="725">
        <f>SUM(C2058:C2068)</f>
        <v>194750</v>
      </c>
      <c r="D2056" s="712">
        <f>G2056+J2056+P2056+M2056</f>
        <v>742163</v>
      </c>
      <c r="E2056" s="712">
        <f>H2056+K2056+Q2056+N2056</f>
        <v>705640</v>
      </c>
      <c r="F2056" s="713">
        <f>E2056/D2056*100</f>
        <v>95.07884386583541</v>
      </c>
      <c r="G2056" s="725">
        <f>SUM(G2057:G2068)</f>
        <v>742163</v>
      </c>
      <c r="H2056" s="712">
        <f>SUM(H2057:H2068)</f>
        <v>705640</v>
      </c>
      <c r="I2056" s="741">
        <f>H2056/G2056*100</f>
        <v>95.07884386583541</v>
      </c>
      <c r="J2056" s="717"/>
      <c r="K2056" s="712"/>
      <c r="L2056" s="718"/>
      <c r="M2056" s="712"/>
      <c r="N2056" s="712"/>
      <c r="O2056" s="762"/>
      <c r="P2056" s="712"/>
      <c r="Q2056" s="712"/>
      <c r="R2056" s="846"/>
    </row>
    <row r="2057" spans="1:18" ht="94.5" customHeight="1">
      <c r="A2057" s="764">
        <v>2820</v>
      </c>
      <c r="B2057" s="768" t="s">
        <v>505</v>
      </c>
      <c r="C2057" s="720"/>
      <c r="D2057" s="698">
        <f>G2057+J2057+P2057+M2057</f>
        <v>485000</v>
      </c>
      <c r="E2057" s="698">
        <f>SUM(H2057+K2057+N2057+Q2057)</f>
        <v>485000</v>
      </c>
      <c r="F2057" s="699">
        <f aca="true" t="shared" si="255" ref="F2057:F2074">E2057/D2057*100</f>
        <v>100</v>
      </c>
      <c r="G2057" s="720">
        <f>550000-65000</f>
        <v>485000</v>
      </c>
      <c r="H2057" s="698">
        <v>485000</v>
      </c>
      <c r="I2057" s="744">
        <f aca="true" t="shared" si="256" ref="I2057:I2068">H2057/G2057*100</f>
        <v>100</v>
      </c>
      <c r="J2057" s="703"/>
      <c r="K2057" s="698"/>
      <c r="L2057" s="704"/>
      <c r="M2057" s="698"/>
      <c r="N2057" s="698"/>
      <c r="O2057" s="766"/>
      <c r="P2057" s="698"/>
      <c r="Q2057" s="698"/>
      <c r="R2057" s="770"/>
    </row>
    <row r="2058" spans="1:18" ht="118.5" customHeight="1">
      <c r="A2058" s="764">
        <v>6230</v>
      </c>
      <c r="B2058" s="768" t="s">
        <v>506</v>
      </c>
      <c r="C2058" s="720"/>
      <c r="D2058" s="698">
        <f aca="true" t="shared" si="257" ref="D2058:D2068">G2058+J2058+P2058+M2058</f>
        <v>65000</v>
      </c>
      <c r="E2058" s="698">
        <f t="shared" si="254"/>
        <v>65000</v>
      </c>
      <c r="F2058" s="699">
        <f t="shared" si="255"/>
        <v>100</v>
      </c>
      <c r="G2058" s="720">
        <v>65000</v>
      </c>
      <c r="H2058" s="698">
        <v>65000</v>
      </c>
      <c r="I2058" s="744">
        <f t="shared" si="256"/>
        <v>100</v>
      </c>
      <c r="J2058" s="703"/>
      <c r="K2058" s="698"/>
      <c r="L2058" s="704"/>
      <c r="M2058" s="698"/>
      <c r="N2058" s="698"/>
      <c r="O2058" s="766"/>
      <c r="P2058" s="698"/>
      <c r="Q2058" s="698"/>
      <c r="R2058" s="770"/>
    </row>
    <row r="2059" spans="1:18" ht="39.75" customHeight="1">
      <c r="A2059" s="764">
        <v>3040</v>
      </c>
      <c r="B2059" s="768" t="s">
        <v>749</v>
      </c>
      <c r="C2059" s="720">
        <v>37000</v>
      </c>
      <c r="D2059" s="698">
        <f t="shared" si="257"/>
        <v>37000</v>
      </c>
      <c r="E2059" s="698">
        <f t="shared" si="254"/>
        <v>37000</v>
      </c>
      <c r="F2059" s="699">
        <f t="shared" si="255"/>
        <v>100</v>
      </c>
      <c r="G2059" s="720">
        <v>37000</v>
      </c>
      <c r="H2059" s="698">
        <v>37000</v>
      </c>
      <c r="I2059" s="744">
        <f t="shared" si="256"/>
        <v>100</v>
      </c>
      <c r="J2059" s="703"/>
      <c r="K2059" s="698"/>
      <c r="L2059" s="704"/>
      <c r="M2059" s="698"/>
      <c r="N2059" s="698"/>
      <c r="O2059" s="766"/>
      <c r="P2059" s="698"/>
      <c r="Q2059" s="698"/>
      <c r="R2059" s="770"/>
    </row>
    <row r="2060" spans="1:18" ht="12.75">
      <c r="A2060" s="764">
        <v>3250</v>
      </c>
      <c r="B2060" s="768" t="s">
        <v>746</v>
      </c>
      <c r="C2060" s="720">
        <v>70000</v>
      </c>
      <c r="D2060" s="698">
        <f>G2060+J2060+P2060+M2060</f>
        <v>70000</v>
      </c>
      <c r="E2060" s="698">
        <f>SUM(H2060+K2060+N2060+Q2060)</f>
        <v>69160</v>
      </c>
      <c r="F2060" s="699">
        <f>E2060/D2060*100</f>
        <v>98.8</v>
      </c>
      <c r="G2060" s="720">
        <v>70000</v>
      </c>
      <c r="H2060" s="698">
        <v>69160</v>
      </c>
      <c r="I2060" s="744">
        <f t="shared" si="256"/>
        <v>98.8</v>
      </c>
      <c r="J2060" s="703"/>
      <c r="K2060" s="698"/>
      <c r="L2060" s="704"/>
      <c r="M2060" s="698"/>
      <c r="N2060" s="698"/>
      <c r="O2060" s="766"/>
      <c r="P2060" s="698"/>
      <c r="Q2060" s="698"/>
      <c r="R2060" s="770"/>
    </row>
    <row r="2061" spans="1:18" ht="25.5" customHeight="1">
      <c r="A2061" s="764">
        <v>4110</v>
      </c>
      <c r="B2061" s="934" t="s">
        <v>207</v>
      </c>
      <c r="C2061" s="720">
        <v>11000</v>
      </c>
      <c r="D2061" s="698">
        <f>G2061+J2061+P2061+M2061</f>
        <v>11000</v>
      </c>
      <c r="E2061" s="698">
        <f>SUM(H2061+K2061+N2061+Q2061)</f>
        <v>0</v>
      </c>
      <c r="F2061" s="699">
        <f>E2061/D2061*100</f>
        <v>0</v>
      </c>
      <c r="G2061" s="720">
        <v>11000</v>
      </c>
      <c r="H2061" s="698"/>
      <c r="I2061" s="744">
        <f t="shared" si="256"/>
        <v>0</v>
      </c>
      <c r="J2061" s="703"/>
      <c r="K2061" s="698"/>
      <c r="L2061" s="704"/>
      <c r="M2061" s="698"/>
      <c r="N2061" s="698"/>
      <c r="O2061" s="766"/>
      <c r="P2061" s="698"/>
      <c r="Q2061" s="698"/>
      <c r="R2061" s="770"/>
    </row>
    <row r="2062" spans="1:18" ht="12.75">
      <c r="A2062" s="764">
        <v>4120</v>
      </c>
      <c r="B2062" s="934" t="s">
        <v>584</v>
      </c>
      <c r="C2062" s="720">
        <v>1500</v>
      </c>
      <c r="D2062" s="698">
        <f>G2062+J2062+P2062+M2062</f>
        <v>1500</v>
      </c>
      <c r="E2062" s="698">
        <f>SUM(H2062+K2062+N2062+Q2062)</f>
        <v>0</v>
      </c>
      <c r="F2062" s="699">
        <f>E2062/D2062*100</f>
        <v>0</v>
      </c>
      <c r="G2062" s="720">
        <v>1500</v>
      </c>
      <c r="H2062" s="698"/>
      <c r="I2062" s="744">
        <f t="shared" si="256"/>
        <v>0</v>
      </c>
      <c r="J2062" s="703"/>
      <c r="K2062" s="698"/>
      <c r="L2062" s="704"/>
      <c r="M2062" s="698"/>
      <c r="N2062" s="698"/>
      <c r="O2062" s="766"/>
      <c r="P2062" s="698"/>
      <c r="Q2062" s="698"/>
      <c r="R2062" s="770"/>
    </row>
    <row r="2063" spans="1:18" ht="27" customHeight="1">
      <c r="A2063" s="764">
        <v>4210</v>
      </c>
      <c r="B2063" s="768" t="s">
        <v>661</v>
      </c>
      <c r="C2063" s="720">
        <v>23000</v>
      </c>
      <c r="D2063" s="698">
        <f>G2063+J2063+P2063+M2063</f>
        <v>23000</v>
      </c>
      <c r="E2063" s="698">
        <f>SUM(H2063+K2063+N2063+Q2063)</f>
        <v>14827</v>
      </c>
      <c r="F2063" s="699">
        <f t="shared" si="255"/>
        <v>64.46521739130435</v>
      </c>
      <c r="G2063" s="720">
        <v>23000</v>
      </c>
      <c r="H2063" s="698">
        <v>14827</v>
      </c>
      <c r="I2063" s="744">
        <f t="shared" si="256"/>
        <v>64.46521739130435</v>
      </c>
      <c r="J2063" s="703"/>
      <c r="K2063" s="698"/>
      <c r="L2063" s="704"/>
      <c r="M2063" s="698"/>
      <c r="N2063" s="698"/>
      <c r="O2063" s="766"/>
      <c r="P2063" s="698"/>
      <c r="Q2063" s="698"/>
      <c r="R2063" s="770"/>
    </row>
    <row r="2064" spans="1:18" ht="28.5" customHeight="1">
      <c r="A2064" s="764">
        <v>4210</v>
      </c>
      <c r="B2064" s="768" t="s">
        <v>507</v>
      </c>
      <c r="C2064" s="720">
        <v>18550</v>
      </c>
      <c r="D2064" s="698">
        <f t="shared" si="257"/>
        <v>16483</v>
      </c>
      <c r="E2064" s="698">
        <f t="shared" si="254"/>
        <v>13002</v>
      </c>
      <c r="F2064" s="699">
        <f t="shared" si="255"/>
        <v>78.88127161317722</v>
      </c>
      <c r="G2064" s="720">
        <f>18550+200-300-100-787-1000-600+200+320</f>
        <v>16483</v>
      </c>
      <c r="H2064" s="698">
        <v>13002</v>
      </c>
      <c r="I2064" s="744">
        <f t="shared" si="256"/>
        <v>78.88127161317722</v>
      </c>
      <c r="J2064" s="703"/>
      <c r="K2064" s="698"/>
      <c r="L2064" s="704"/>
      <c r="M2064" s="698"/>
      <c r="N2064" s="698"/>
      <c r="O2064" s="766"/>
      <c r="P2064" s="698"/>
      <c r="Q2064" s="698"/>
      <c r="R2064" s="770"/>
    </row>
    <row r="2065" spans="1:18" ht="28.5" customHeight="1">
      <c r="A2065" s="764">
        <v>4300</v>
      </c>
      <c r="B2065" s="768" t="s">
        <v>912</v>
      </c>
      <c r="C2065" s="720">
        <v>21500</v>
      </c>
      <c r="D2065" s="698">
        <f>G2065+J2065+P2065+M2065</f>
        <v>21116</v>
      </c>
      <c r="E2065" s="698">
        <f>SUM(H2065+K2065+N2065+Q2065)</f>
        <v>18441</v>
      </c>
      <c r="F2065" s="699">
        <f>E2065/D2065*100</f>
        <v>87.3318810380754</v>
      </c>
      <c r="G2065" s="720">
        <f>21500-300+300-1000+1000-100-284</f>
        <v>21116</v>
      </c>
      <c r="H2065" s="698">
        <v>18441</v>
      </c>
      <c r="I2065" s="744">
        <f t="shared" si="256"/>
        <v>87.3318810380754</v>
      </c>
      <c r="J2065" s="703"/>
      <c r="K2065" s="698"/>
      <c r="L2065" s="704"/>
      <c r="M2065" s="698"/>
      <c r="N2065" s="698"/>
      <c r="O2065" s="766"/>
      <c r="P2065" s="698"/>
      <c r="Q2065" s="698"/>
      <c r="R2065" s="770"/>
    </row>
    <row r="2066" spans="1:18" ht="16.5" customHeight="1">
      <c r="A2066" s="764">
        <v>4300</v>
      </c>
      <c r="B2066" s="768" t="s">
        <v>219</v>
      </c>
      <c r="C2066" s="720">
        <v>12000</v>
      </c>
      <c r="D2066" s="698">
        <f t="shared" si="257"/>
        <v>12000</v>
      </c>
      <c r="E2066" s="698">
        <f t="shared" si="254"/>
        <v>3146</v>
      </c>
      <c r="F2066" s="699">
        <f t="shared" si="255"/>
        <v>26.216666666666665</v>
      </c>
      <c r="G2066" s="720">
        <v>12000</v>
      </c>
      <c r="H2066" s="698">
        <v>3146</v>
      </c>
      <c r="I2066" s="744">
        <f t="shared" si="256"/>
        <v>26.216666666666665</v>
      </c>
      <c r="J2066" s="703"/>
      <c r="K2066" s="698"/>
      <c r="L2066" s="704"/>
      <c r="M2066" s="698"/>
      <c r="N2066" s="698"/>
      <c r="O2066" s="766"/>
      <c r="P2066" s="698"/>
      <c r="Q2066" s="698"/>
      <c r="R2066" s="770"/>
    </row>
    <row r="2067" spans="1:18" ht="60" hidden="1">
      <c r="A2067" s="764">
        <v>4740</v>
      </c>
      <c r="B2067" s="828" t="s">
        <v>913</v>
      </c>
      <c r="C2067" s="720"/>
      <c r="D2067" s="698">
        <f>G2067+J2067+P2067+M2067</f>
        <v>0</v>
      </c>
      <c r="E2067" s="698">
        <f>SUM(H2067+K2067+N2067+Q2067)</f>
        <v>0</v>
      </c>
      <c r="F2067" s="699" t="e">
        <f>E2067/D2067*100</f>
        <v>#DIV/0!</v>
      </c>
      <c r="G2067" s="720"/>
      <c r="H2067" s="698"/>
      <c r="I2067" s="744" t="e">
        <f t="shared" si="256"/>
        <v>#DIV/0!</v>
      </c>
      <c r="J2067" s="703"/>
      <c r="K2067" s="698"/>
      <c r="L2067" s="704"/>
      <c r="M2067" s="698"/>
      <c r="N2067" s="698"/>
      <c r="O2067" s="766"/>
      <c r="P2067" s="698"/>
      <c r="Q2067" s="698"/>
      <c r="R2067" s="770"/>
    </row>
    <row r="2068" spans="1:18" ht="15" customHeight="1" thickBot="1">
      <c r="A2068" s="764">
        <v>4430</v>
      </c>
      <c r="B2068" s="768" t="s">
        <v>508</v>
      </c>
      <c r="C2068" s="720">
        <v>200</v>
      </c>
      <c r="D2068" s="698">
        <f t="shared" si="257"/>
        <v>64</v>
      </c>
      <c r="E2068" s="698">
        <f t="shared" si="254"/>
        <v>64</v>
      </c>
      <c r="F2068" s="699">
        <f t="shared" si="255"/>
        <v>100</v>
      </c>
      <c r="G2068" s="720">
        <f>200+100-200-36</f>
        <v>64</v>
      </c>
      <c r="H2068" s="698">
        <v>64</v>
      </c>
      <c r="I2068" s="744">
        <f t="shared" si="256"/>
        <v>100</v>
      </c>
      <c r="J2068" s="703"/>
      <c r="K2068" s="698"/>
      <c r="L2068" s="704"/>
      <c r="M2068" s="698"/>
      <c r="N2068" s="698"/>
      <c r="O2068" s="766"/>
      <c r="P2068" s="698"/>
      <c r="Q2068" s="698"/>
      <c r="R2068" s="990"/>
    </row>
    <row r="2069" spans="1:20" s="953" customFormat="1" ht="16.5" customHeight="1" thickTop="1">
      <c r="A2069" s="1066"/>
      <c r="B2069" s="1067" t="s">
        <v>914</v>
      </c>
      <c r="C2069" s="868">
        <f>C8+C43+C35+C230+C1803+C191+C610+C1046+C1869+C1064+C1128+C2036+C163+C273+C477+C510+C592+C597+C1584+C572+C1481+C504</f>
        <v>397537213</v>
      </c>
      <c r="D2069" s="686">
        <f>G2069+J2069+P2069+M2069</f>
        <v>415808423.18</v>
      </c>
      <c r="E2069" s="686">
        <f>E8+E43+E35+E230+E1803+E191+E610+E1046+E1869+E1064+E1128+E2036+E163+E273+E477+E510+E592+E597+E1584+E572+E1481+E504</f>
        <v>385494481</v>
      </c>
      <c r="F2069" s="1068">
        <f t="shared" si="255"/>
        <v>92.70963730167693</v>
      </c>
      <c r="G2069" s="868">
        <f>G8+G43+G35+G230+G1803+G191+G610+G1046+G1869+G1064+G1128+G2036+G163+G273+G477+G510+G592+G597+G1584+G1481+G572+G504</f>
        <v>256446040</v>
      </c>
      <c r="H2069" s="686">
        <f>H8+H43+H35+H230+H1803+H191+H610+H1046+H1869+H1064+H1128+H2036+H163+H273+H477+H510+H592+H597+H1584+H572+H1481+H504</f>
        <v>232958784</v>
      </c>
      <c r="I2069" s="912">
        <f>H2069/G2069*100</f>
        <v>90.84124831874962</v>
      </c>
      <c r="J2069" s="869">
        <f>J8+J43+J35+J230+J1803+J191+J610+J1046+J1869+J1064+J1128+J2036+J163+J273+J477+J510+J592+J597+J1584+J1481+J572+J504</f>
        <v>19870474.18</v>
      </c>
      <c r="K2069" s="686">
        <f>K8+K43+K35+K230+K1803+K191+K610+K1046+K1869+K1064+K1128+K2036+K163+K273+K477+K510+K592+K597+K1584+K1481+K572+K504</f>
        <v>19801674</v>
      </c>
      <c r="L2069" s="1069">
        <f>K2069/J2069*100</f>
        <v>99.65375672781252</v>
      </c>
      <c r="M2069" s="868">
        <f>M8+M43+M35+M230+M1803+M191+M610+M1046+M1869+M1064+M1128+M2036+M163+M273+M477+M510+M592+M597+M1584+M1481+M572+M504</f>
        <v>129900265</v>
      </c>
      <c r="N2069" s="686">
        <f>N8+N43+N35+N230+N1803+N191+N610+N1046+N1869+N1064+N1128+N2036+N163+N273+N477+N510+N592+N597+N1584+N572+N1481+N504</f>
        <v>123144143</v>
      </c>
      <c r="O2069" s="1069">
        <f>N2069/M2069*100</f>
        <v>94.79899290428699</v>
      </c>
      <c r="P2069" s="691">
        <f>P8+P43+P35+P230+P1803+P191+P610+P1046+P1869+P1064+P1128+P2036+P163+P273+P477+P510+P592+P597+P1584+P1481+P572+P504</f>
        <v>9591644</v>
      </c>
      <c r="Q2069" s="686">
        <f>Q8+Q43+Q35+Q230+Q1803+Q191+Q610+Q1046+Q1869+Q1064+Q1128+Q2036+Q163+Q273+Q477+Q510+Q592+Q597+Q1584+Q1481+Q572+Q504</f>
        <v>9589880</v>
      </c>
      <c r="R2069" s="978">
        <f>Q2069/P2069*100</f>
        <v>99.98160899216026</v>
      </c>
      <c r="S2069" s="952"/>
      <c r="T2069" s="952"/>
    </row>
    <row r="2070" spans="1:20" s="1074" customFormat="1" ht="15" customHeight="1">
      <c r="A2070" s="1070"/>
      <c r="B2070" s="1071" t="s">
        <v>915</v>
      </c>
      <c r="C2070" s="857">
        <v>365822836</v>
      </c>
      <c r="D2070" s="858">
        <f>G2070+M2070</f>
        <v>386346305</v>
      </c>
      <c r="E2070" s="858">
        <f>H2070+N2070</f>
        <v>356102927</v>
      </c>
      <c r="F2070" s="747">
        <f t="shared" si="255"/>
        <v>92.17195101684744</v>
      </c>
      <c r="G2070" s="857">
        <f>G2069</f>
        <v>256446040</v>
      </c>
      <c r="H2070" s="858">
        <f>H2069</f>
        <v>232958784</v>
      </c>
      <c r="I2070" s="744">
        <f>H2070/G2070*100</f>
        <v>90.84124831874962</v>
      </c>
      <c r="J2070" s="1035"/>
      <c r="K2070" s="858"/>
      <c r="L2070" s="1072"/>
      <c r="M2070" s="857">
        <f>M2069</f>
        <v>129900265</v>
      </c>
      <c r="N2070" s="858">
        <f>N2069</f>
        <v>123144143</v>
      </c>
      <c r="O2070" s="702">
        <f>N2070/M2070*100</f>
        <v>94.79899290428699</v>
      </c>
      <c r="P2070" s="859"/>
      <c r="Q2070" s="858"/>
      <c r="R2070" s="971"/>
      <c r="S2070" s="1073"/>
      <c r="T2070" s="1073"/>
    </row>
    <row r="2071" spans="1:20" s="818" customFormat="1" ht="12">
      <c r="A2071" s="1075"/>
      <c r="B2071" s="1076" t="s">
        <v>916</v>
      </c>
      <c r="C2071" s="891"/>
      <c r="D2071" s="892"/>
      <c r="E2071" s="892"/>
      <c r="F2071" s="699"/>
      <c r="G2071" s="1077"/>
      <c r="H2071" s="892"/>
      <c r="I2071" s="744"/>
      <c r="J2071" s="1077"/>
      <c r="K2071" s="892"/>
      <c r="L2071" s="1078"/>
      <c r="M2071" s="1077"/>
      <c r="N2071" s="892"/>
      <c r="O2071" s="746"/>
      <c r="P2071" s="893"/>
      <c r="Q2071" s="892"/>
      <c r="R2071" s="744"/>
      <c r="S2071" s="817"/>
      <c r="T2071" s="817"/>
    </row>
    <row r="2072" spans="1:20" s="818" customFormat="1" ht="42" customHeight="1">
      <c r="A2072" s="1075"/>
      <c r="B2072" s="1079" t="s">
        <v>917</v>
      </c>
      <c r="C2072" s="891">
        <f>100000+2512680</f>
        <v>2612680</v>
      </c>
      <c r="D2072" s="892">
        <f>G2072+J2072+M2072+P2072</f>
        <v>2530767</v>
      </c>
      <c r="E2072" s="892">
        <f>H2072+K2072+N2072+Q2072</f>
        <v>2488422</v>
      </c>
      <c r="F2072" s="747">
        <f t="shared" si="255"/>
        <v>98.32679183820558</v>
      </c>
      <c r="G2072" s="1077">
        <f>G190</f>
        <v>0</v>
      </c>
      <c r="H2072" s="892">
        <f>H190</f>
        <v>0</v>
      </c>
      <c r="I2072" s="744"/>
      <c r="J2072" s="1077"/>
      <c r="K2072" s="892"/>
      <c r="L2072" s="1078"/>
      <c r="M2072" s="891">
        <f>M286+M1130+M1271+M1958+M1488+M1555+M1556+M1507</f>
        <v>2530767</v>
      </c>
      <c r="N2072" s="892">
        <f>N286+N1130+N1271+N1958+N1488+N1555+N1556+N1507</f>
        <v>2488422</v>
      </c>
      <c r="O2072" s="702">
        <f>N2072/M2072*100</f>
        <v>98.32679183820558</v>
      </c>
      <c r="P2072" s="893"/>
      <c r="Q2072" s="892"/>
      <c r="R2072" s="744"/>
      <c r="S2072" s="817"/>
      <c r="T2072" s="817"/>
    </row>
    <row r="2073" spans="1:20" s="1017" customFormat="1" ht="12.75">
      <c r="A2073" s="1070"/>
      <c r="B2073" s="1080" t="s">
        <v>918</v>
      </c>
      <c r="C2073" s="857">
        <v>31692277</v>
      </c>
      <c r="D2073" s="858">
        <f>G2073+J2073+M2073+P2073</f>
        <v>29314448.18</v>
      </c>
      <c r="E2073" s="858">
        <f>H2073+K2073+N2073+Q2073</f>
        <v>29248905</v>
      </c>
      <c r="F2073" s="747">
        <f t="shared" si="255"/>
        <v>99.7764133931584</v>
      </c>
      <c r="G2073" s="1035"/>
      <c r="H2073" s="858"/>
      <c r="I2073" s="1081"/>
      <c r="J2073" s="1035">
        <f>J2069-J2074</f>
        <v>19846374.18</v>
      </c>
      <c r="K2073" s="858">
        <f>K2069-K2074</f>
        <v>19782579</v>
      </c>
      <c r="L2073" s="1072">
        <f>K2073/J2073*100</f>
        <v>99.67855498731709</v>
      </c>
      <c r="M2073" s="1035"/>
      <c r="N2073" s="858"/>
      <c r="O2073" s="1013"/>
      <c r="P2073" s="859">
        <f>P2069-P2074</f>
        <v>9468074</v>
      </c>
      <c r="Q2073" s="858">
        <f>Q2069-Q2074</f>
        <v>9466326</v>
      </c>
      <c r="R2073" s="971">
        <f>Q2073/P2073*100</f>
        <v>99.98153795587149</v>
      </c>
      <c r="S2073" s="1016"/>
      <c r="T2073" s="1016"/>
    </row>
    <row r="2074" spans="1:20" s="1074" customFormat="1" ht="42.75" customHeight="1" thickBot="1">
      <c r="A2074" s="1082"/>
      <c r="B2074" s="1083" t="s">
        <v>541</v>
      </c>
      <c r="C2074" s="1084">
        <v>22100</v>
      </c>
      <c r="D2074" s="1085">
        <f>J2074+P2074</f>
        <v>147670</v>
      </c>
      <c r="E2074" s="1085">
        <f>K2074+Q2074</f>
        <v>142649</v>
      </c>
      <c r="F2074" s="944">
        <f t="shared" si="255"/>
        <v>96.59985101916435</v>
      </c>
      <c r="G2074" s="1084"/>
      <c r="H2074" s="1085"/>
      <c r="I2074" s="1086"/>
      <c r="J2074" s="1084">
        <f>J268+J946+J1917+J1363+J933+J1466+J1472+J932+J937</f>
        <v>24100</v>
      </c>
      <c r="K2074" s="1087">
        <f>K268+K946+K1917+K1363+K933+K1466+K1472+K932+K937</f>
        <v>19095</v>
      </c>
      <c r="L2074" s="1088">
        <f>K2074/J2074*100</f>
        <v>79.23236514522821</v>
      </c>
      <c r="M2074" s="1084"/>
      <c r="N2074" s="1089"/>
      <c r="O2074" s="1090"/>
      <c r="P2074" s="1084">
        <f>P394+P390+P73+P1399+P1985+P1472+P564+P1909</f>
        <v>123570</v>
      </c>
      <c r="Q2074" s="1085">
        <f>Q394+Q390+Q73+Q1399+Q1985+Q1472+Q564+Q1909</f>
        <v>123554</v>
      </c>
      <c r="R2074" s="1091">
        <f>Q2074/P2074*100</f>
        <v>99.98705187343207</v>
      </c>
      <c r="S2074" s="1073"/>
      <c r="T2074" s="1073"/>
    </row>
    <row r="2075" spans="1:20" s="1074" customFormat="1" ht="15" customHeight="1" thickTop="1">
      <c r="A2075" s="1092"/>
      <c r="B2075" s="1071"/>
      <c r="C2075" s="1034"/>
      <c r="D2075" s="1093"/>
      <c r="E2075" s="1034"/>
      <c r="F2075" s="967"/>
      <c r="G2075" s="1034"/>
      <c r="H2075" s="1034"/>
      <c r="I2075" s="1078"/>
      <c r="J2075" s="1093"/>
      <c r="K2075" s="1034"/>
      <c r="L2075" s="1078"/>
      <c r="M2075" s="1034"/>
      <c r="N2075" s="1094"/>
      <c r="O2075" s="1072"/>
      <c r="P2075" s="1034"/>
      <c r="Q2075" s="1034"/>
      <c r="R2075" s="1072"/>
      <c r="S2075" s="1073"/>
      <c r="T2075" s="1073"/>
    </row>
    <row r="2076" spans="1:14" ht="12.75">
      <c r="A2076" s="326" t="s">
        <v>37</v>
      </c>
      <c r="M2076" s="609"/>
      <c r="N2076" s="609"/>
    </row>
    <row r="2077" ht="12.75">
      <c r="A2077" s="326" t="s">
        <v>379</v>
      </c>
    </row>
    <row r="2078" ht="12.75">
      <c r="A2078" s="326" t="s">
        <v>380</v>
      </c>
    </row>
  </sheetData>
  <printOptions horizontalCentered="1"/>
  <pageMargins left="0.2" right="0.2" top="0.51" bottom="0.19" header="0.28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26">
      <selection activeCell="B40" sqref="B40"/>
    </sheetView>
  </sheetViews>
  <sheetFormatPr defaultColWidth="9.00390625" defaultRowHeight="12.75"/>
  <cols>
    <col min="1" max="1" width="38.25390625" style="325" customWidth="1"/>
    <col min="2" max="3" width="19.75390625" style="294" customWidth="1"/>
    <col min="4" max="16384" width="9.125" style="295" customWidth="1"/>
  </cols>
  <sheetData>
    <row r="1" ht="15.75">
      <c r="A1" s="293" t="s">
        <v>145</v>
      </c>
    </row>
    <row r="2" ht="15">
      <c r="A2" s="296" t="s">
        <v>510</v>
      </c>
    </row>
    <row r="3" ht="13.5" thickBot="1">
      <c r="A3" s="295"/>
    </row>
    <row r="4" spans="1:3" s="300" customFormat="1" ht="27.75" customHeight="1">
      <c r="A4" s="297" t="s">
        <v>180</v>
      </c>
      <c r="B4" s="298" t="s">
        <v>185</v>
      </c>
      <c r="C4" s="299" t="s">
        <v>183</v>
      </c>
    </row>
    <row r="5" spans="1:3" s="304" customFormat="1" ht="10.5" customHeight="1" thickBot="1">
      <c r="A5" s="301">
        <v>1</v>
      </c>
      <c r="B5" s="302">
        <v>2</v>
      </c>
      <c r="C5" s="303">
        <v>3</v>
      </c>
    </row>
    <row r="6" spans="1:3" s="293" customFormat="1" ht="21" customHeight="1">
      <c r="A6" s="305" t="s">
        <v>146</v>
      </c>
      <c r="B6" s="306">
        <v>352375065.18</v>
      </c>
      <c r="C6" s="307">
        <v>338022848.35</v>
      </c>
    </row>
    <row r="7" spans="1:3" s="293" customFormat="1" ht="21" customHeight="1">
      <c r="A7" s="308" t="s">
        <v>147</v>
      </c>
      <c r="B7" s="309">
        <f>SUM(B8:B9)</f>
        <v>415808423.18</v>
      </c>
      <c r="C7" s="310">
        <f>SUM(C8:C9)</f>
        <v>385494480.59000003</v>
      </c>
    </row>
    <row r="8" spans="1:3" ht="15" customHeight="1">
      <c r="A8" s="311" t="s">
        <v>148</v>
      </c>
      <c r="B8" s="312">
        <v>312489918.18</v>
      </c>
      <c r="C8" s="313">
        <v>303042409.74</v>
      </c>
    </row>
    <row r="9" spans="1:3" ht="15" customHeight="1">
      <c r="A9" s="311" t="s">
        <v>149</v>
      </c>
      <c r="B9" s="312">
        <v>103318505</v>
      </c>
      <c r="C9" s="313">
        <v>82452070.85</v>
      </c>
    </row>
    <row r="10" spans="1:3" s="293" customFormat="1" ht="21" customHeight="1">
      <c r="A10" s="308" t="s">
        <v>150</v>
      </c>
      <c r="B10" s="309">
        <f>B6-B7</f>
        <v>-63433358</v>
      </c>
      <c r="C10" s="310">
        <f>C6-C7</f>
        <v>-47471632.24000001</v>
      </c>
    </row>
    <row r="11" spans="1:3" s="293" customFormat="1" ht="21" customHeight="1">
      <c r="A11" s="308" t="s">
        <v>151</v>
      </c>
      <c r="B11" s="309">
        <f>B12-B25</f>
        <v>63433358</v>
      </c>
      <c r="C11" s="310">
        <f>C12-C25</f>
        <v>67548263.57999998</v>
      </c>
    </row>
    <row r="12" spans="1:3" s="317" customFormat="1" ht="15" customHeight="1">
      <c r="A12" s="314" t="s">
        <v>152</v>
      </c>
      <c r="B12" s="315">
        <f>B13+B15+B16+B18+B20+B22+B23</f>
        <v>72406458</v>
      </c>
      <c r="C12" s="316">
        <f>C13+C23</f>
        <v>76401954.75999999</v>
      </c>
    </row>
    <row r="13" spans="1:3" ht="15" customHeight="1">
      <c r="A13" s="311" t="s">
        <v>153</v>
      </c>
      <c r="B13" s="312">
        <v>35000000</v>
      </c>
      <c r="C13" s="321">
        <v>35000000</v>
      </c>
    </row>
    <row r="14" spans="1:3" ht="51">
      <c r="A14" s="318" t="s">
        <v>154</v>
      </c>
      <c r="B14" s="320">
        <v>0</v>
      </c>
      <c r="C14" s="321">
        <v>0</v>
      </c>
    </row>
    <row r="15" spans="1:3" ht="15" customHeight="1">
      <c r="A15" s="319" t="s">
        <v>155</v>
      </c>
      <c r="B15" s="320">
        <v>0</v>
      </c>
      <c r="C15" s="321">
        <v>0</v>
      </c>
    </row>
    <row r="16" spans="1:3" ht="15" customHeight="1">
      <c r="A16" s="319" t="s">
        <v>156</v>
      </c>
      <c r="B16" s="320">
        <v>0</v>
      </c>
      <c r="C16" s="321">
        <v>0</v>
      </c>
    </row>
    <row r="17" spans="1:3" ht="15" customHeight="1">
      <c r="A17" s="311" t="s">
        <v>157</v>
      </c>
      <c r="B17" s="320">
        <v>0</v>
      </c>
      <c r="C17" s="321">
        <v>0</v>
      </c>
    </row>
    <row r="18" spans="1:3" ht="15" customHeight="1">
      <c r="A18" s="311" t="s">
        <v>158</v>
      </c>
      <c r="B18" s="320">
        <v>0</v>
      </c>
      <c r="C18" s="321">
        <v>0</v>
      </c>
    </row>
    <row r="19" spans="1:3" ht="51">
      <c r="A19" s="318" t="s">
        <v>159</v>
      </c>
      <c r="B19" s="320">
        <v>0</v>
      </c>
      <c r="C19" s="321">
        <v>0</v>
      </c>
    </row>
    <row r="20" spans="1:3" ht="25.5">
      <c r="A20" s="311" t="s">
        <v>160</v>
      </c>
      <c r="B20" s="320">
        <v>0</v>
      </c>
      <c r="C20" s="321">
        <v>0</v>
      </c>
    </row>
    <row r="21" spans="1:3" ht="51">
      <c r="A21" s="318" t="s">
        <v>161</v>
      </c>
      <c r="B21" s="320">
        <v>0</v>
      </c>
      <c r="C21" s="321">
        <v>0</v>
      </c>
    </row>
    <row r="22" spans="1:3" ht="15" customHeight="1">
      <c r="A22" s="311" t="s">
        <v>162</v>
      </c>
      <c r="B22" s="320">
        <v>0</v>
      </c>
      <c r="C22" s="321">
        <v>0</v>
      </c>
    </row>
    <row r="23" spans="1:3" ht="15" customHeight="1">
      <c r="A23" s="311" t="s">
        <v>163</v>
      </c>
      <c r="B23" s="312">
        <v>37406458</v>
      </c>
      <c r="C23" s="313">
        <v>41401954.76</v>
      </c>
    </row>
    <row r="24" spans="1:3" ht="15" customHeight="1">
      <c r="A24" s="311" t="s">
        <v>164</v>
      </c>
      <c r="B24" s="312">
        <v>37406458</v>
      </c>
      <c r="C24" s="313">
        <v>21325323.42</v>
      </c>
    </row>
    <row r="25" spans="1:3" s="317" customFormat="1" ht="15" customHeight="1">
      <c r="A25" s="314" t="s">
        <v>165</v>
      </c>
      <c r="B25" s="315">
        <f>B26</f>
        <v>8973100</v>
      </c>
      <c r="C25" s="316">
        <f>C26+C33</f>
        <v>8853691.18</v>
      </c>
    </row>
    <row r="26" spans="1:3" ht="15" customHeight="1">
      <c r="A26" s="311" t="s">
        <v>166</v>
      </c>
      <c r="B26" s="312">
        <v>8973100</v>
      </c>
      <c r="C26" s="313">
        <v>8853691.18</v>
      </c>
    </row>
    <row r="27" spans="1:3" ht="51">
      <c r="A27" s="318" t="s">
        <v>167</v>
      </c>
      <c r="B27" s="320">
        <v>0</v>
      </c>
      <c r="C27" s="321">
        <v>0</v>
      </c>
    </row>
    <row r="28" spans="1:3" ht="15" customHeight="1">
      <c r="A28" s="311" t="s">
        <v>168</v>
      </c>
      <c r="B28" s="320">
        <v>0</v>
      </c>
      <c r="C28" s="321">
        <v>0</v>
      </c>
    </row>
    <row r="29" spans="1:3" ht="15" customHeight="1">
      <c r="A29" s="311" t="s">
        <v>169</v>
      </c>
      <c r="B29" s="320">
        <v>0</v>
      </c>
      <c r="C29" s="321">
        <v>0</v>
      </c>
    </row>
    <row r="30" spans="1:3" ht="51">
      <c r="A30" s="318" t="s">
        <v>170</v>
      </c>
      <c r="B30" s="320">
        <v>0</v>
      </c>
      <c r="C30" s="321">
        <v>0</v>
      </c>
    </row>
    <row r="31" spans="1:3" ht="15" customHeight="1">
      <c r="A31" s="311" t="s">
        <v>171</v>
      </c>
      <c r="B31" s="320">
        <v>0</v>
      </c>
      <c r="C31" s="321">
        <v>0</v>
      </c>
    </row>
    <row r="32" spans="1:3" ht="51">
      <c r="A32" s="318" t="s">
        <v>172</v>
      </c>
      <c r="B32" s="320">
        <v>0</v>
      </c>
      <c r="C32" s="321">
        <v>0</v>
      </c>
    </row>
    <row r="33" spans="1:3" ht="15" customHeight="1" thickBot="1">
      <c r="A33" s="322" t="s">
        <v>173</v>
      </c>
      <c r="B33" s="323">
        <v>0</v>
      </c>
      <c r="C33" s="324"/>
    </row>
    <row r="34" ht="12.75">
      <c r="A34" s="326" t="s">
        <v>284</v>
      </c>
    </row>
    <row r="35" ht="12.75">
      <c r="A35" s="326" t="s">
        <v>285</v>
      </c>
    </row>
    <row r="36" ht="12.75">
      <c r="A36" s="326" t="s">
        <v>511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2009-08-12T11:49:00Z</cp:lastPrinted>
  <dcterms:created xsi:type="dcterms:W3CDTF">2008-05-09T10:25:18Z</dcterms:created>
  <dcterms:modified xsi:type="dcterms:W3CDTF">2010-04-19T11:44:40Z</dcterms:modified>
  <cp:category/>
  <cp:version/>
  <cp:contentType/>
  <cp:contentStatus/>
</cp:coreProperties>
</file>