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25" windowWidth="10875" windowHeight="5895" activeTab="2"/>
  </bookViews>
  <sheets>
    <sheet name="Dochody" sheetId="1" r:id="rId1"/>
    <sheet name="Wydatki" sheetId="2" r:id="rId2"/>
    <sheet name="Nadwyżka_Deficyt" sheetId="3" r:id="rId3"/>
  </sheets>
  <definedNames>
    <definedName name="_xlnm.Print_Titles" localSheetId="1">'Wydatki'!$5:$7</definedName>
  </definedNames>
  <calcPr fullCalcOnLoad="1"/>
</workbook>
</file>

<file path=xl/sharedStrings.xml><?xml version="1.0" encoding="utf-8"?>
<sst xmlns="http://schemas.openxmlformats.org/spreadsheetml/2006/main" count="2910" uniqueCount="1074">
  <si>
    <t>Wpływy i wydatki związane z gromodzeniem środków z opłat i kar za korzystanie ze środowiska</t>
  </si>
  <si>
    <r>
      <t xml:space="preserve">Zakup usług remontowych </t>
    </r>
    <r>
      <rPr>
        <i/>
        <sz val="9"/>
        <rFont val="Calibri"/>
        <family val="2"/>
      </rPr>
      <t>(w tym: RO - 374.500 zł</t>
    </r>
    <r>
      <rPr>
        <sz val="9"/>
        <rFont val="Calibri"/>
        <family val="2"/>
      </rPr>
      <t>)</t>
    </r>
  </si>
  <si>
    <t xml:space="preserve">Dotacja celowa na pomoc finansową udzielaną między jednostkami samorządu terytorialnego na dofinansowanie własnych zadań inwestycyjnych i zakupów inwestycyjnych </t>
  </si>
  <si>
    <r>
      <t xml:space="preserve">Wydatki inwestycyjne jednostek budżetowych </t>
    </r>
    <r>
      <rPr>
        <i/>
        <sz val="9"/>
        <rFont val="Calibri"/>
        <family val="2"/>
      </rPr>
      <t>- Modernizacja BTD</t>
    </r>
  </si>
  <si>
    <r>
      <t xml:space="preserve">Wydatki na zakupy inwestycyjne jednostek budżetowych </t>
    </r>
    <r>
      <rPr>
        <i/>
        <sz val="9"/>
        <rFont val="Calibri"/>
        <family val="2"/>
      </rPr>
      <t>- Modernizacja BTD (wyposażenie)</t>
    </r>
  </si>
  <si>
    <t>zakup sprzętu i oprogramowania komputerowego                   (w tym 68,0 tys. zł - porozumienia)</t>
  </si>
  <si>
    <t>Festiwal Muzyki Polskiej "Swego nie znacie" - wkład własny</t>
  </si>
  <si>
    <r>
      <t>Zakup materiałów i wyposażenia</t>
    </r>
    <r>
      <rPr>
        <i/>
        <sz val="9"/>
        <rFont val="Calibri"/>
        <family val="2"/>
      </rPr>
      <t xml:space="preserve"> - porozum.</t>
    </r>
  </si>
  <si>
    <r>
      <t>Wydatki inwestycyjne jednostek budżetowych -</t>
    </r>
    <r>
      <rPr>
        <i/>
        <sz val="9"/>
        <rFont val="Calibri"/>
        <family val="2"/>
      </rPr>
      <t xml:space="preserve"> sala koncertowa</t>
    </r>
  </si>
  <si>
    <r>
      <t xml:space="preserve">Dotacje celowe z budżetu na finansowanie  lub dofinansowanie kosztów realizacji inwestycji i zakupów inwestycyjnych  innych jednostek sektora finansów publicznych - </t>
    </r>
    <r>
      <rPr>
        <i/>
        <sz val="9"/>
        <rFont val="Calibri"/>
        <family val="2"/>
      </rPr>
      <t>zakup instrumentów *</t>
    </r>
  </si>
  <si>
    <t>Centrum Kultury 105</t>
  </si>
  <si>
    <t>Sylwester 2009/2010</t>
  </si>
  <si>
    <t>"Sztuka Niezzleżna w Koszalinie dekady lat 80"</t>
  </si>
  <si>
    <t>Udział Orkiestry Akordeonowej "AKORD" w V-tym Międzymarodowym Festiwalu Młodżeży w Chinach</t>
  </si>
  <si>
    <r>
      <t xml:space="preserve">Wydatki inwestycyjne jednostek budżetowych </t>
    </r>
    <r>
      <rPr>
        <i/>
        <sz val="9"/>
        <rFont val="Calibri"/>
        <family val="2"/>
      </rPr>
      <t>- akustyka</t>
    </r>
  </si>
  <si>
    <r>
      <t>Wydatki inwestycyjne jednostek budżetowych -</t>
    </r>
    <r>
      <rPr>
        <i/>
        <sz val="8"/>
        <rFont val="Calibri"/>
        <family val="2"/>
      </rPr>
      <t>MDK</t>
    </r>
  </si>
  <si>
    <t>druk książki pt. "Województwo środkowopomorskie"</t>
  </si>
  <si>
    <t>remont schodów do budynku Biblioteki</t>
  </si>
  <si>
    <r>
      <t xml:space="preserve">Dotacje celowe z budżetu na finansowanie  lub dofinansowanie kosztów realizacji inwestycji i zakupów inwestycyjnych  innych jednostek sektora finansów publicznych </t>
    </r>
    <r>
      <rPr>
        <i/>
        <sz val="9"/>
        <rFont val="Calibri"/>
        <family val="2"/>
      </rPr>
      <t>(MultiCentrum)</t>
    </r>
  </si>
  <si>
    <r>
      <t xml:space="preserve">Wydatki na zakupy inwestycyjne jednostek budżetowych </t>
    </r>
    <r>
      <rPr>
        <i/>
        <sz val="9"/>
        <rFont val="Calibri"/>
        <family val="2"/>
      </rPr>
      <t>- w ramach Polsko - Niemieckiej Współpracy Młodzieżowej: Koszalin - Strasburg (doposażenie Sali kinowo - konferencyjnej KBP w system tłumaczeń symultanicznych i sprzęt audiowizualny)</t>
    </r>
  </si>
  <si>
    <t>zakup i montaż windy w Muzeum (likwidacja barier architektonicznych PN/KS)</t>
  </si>
  <si>
    <t>projekt nowego ogrodzenia posesji</t>
  </si>
  <si>
    <r>
      <t xml:space="preserve">Wydatki inwestycyjne jednostek budżetowych </t>
    </r>
    <r>
      <rPr>
        <i/>
        <sz val="9"/>
        <rFont val="Calibri"/>
        <family val="2"/>
      </rPr>
      <t>(elewacja - IK)</t>
    </r>
  </si>
  <si>
    <t xml:space="preserve">Dotacja celowa z budżetu na finansowanie lub dofinansowanie prac remontowych i konserwatorskich obiektów zabytkowych, przekazane jednostkom niezaliczanym do sektora finansów publicznych  </t>
  </si>
  <si>
    <r>
      <t>Zakup usług remontowych -</t>
    </r>
    <r>
      <rPr>
        <i/>
        <sz val="9"/>
        <rFont val="Calibri"/>
        <family val="2"/>
      </rPr>
      <t>remont murów miejskich</t>
    </r>
  </si>
  <si>
    <r>
      <t xml:space="preserve">Zakup materiałów i wyposażenia - </t>
    </r>
    <r>
      <rPr>
        <i/>
        <sz val="9"/>
        <rFont val="Calibri"/>
        <family val="2"/>
      </rPr>
      <t xml:space="preserve"> RO</t>
    </r>
  </si>
  <si>
    <r>
      <t>Zakup usług pozostałych -</t>
    </r>
    <r>
      <rPr>
        <i/>
        <sz val="9"/>
        <rFont val="Calibri"/>
        <family val="2"/>
      </rPr>
      <t xml:space="preserve"> KS</t>
    </r>
  </si>
  <si>
    <r>
      <t>Zakup usług pozostałych -</t>
    </r>
    <r>
      <rPr>
        <i/>
        <sz val="9"/>
        <rFont val="Calibri"/>
        <family val="2"/>
      </rPr>
      <t xml:space="preserve"> RO</t>
    </r>
  </si>
  <si>
    <r>
      <t xml:space="preserve">Różne opłaty i składki </t>
    </r>
    <r>
      <rPr>
        <i/>
        <sz val="9"/>
        <rFont val="Calibri"/>
        <family val="2"/>
      </rPr>
      <t>- RO</t>
    </r>
  </si>
  <si>
    <r>
      <t xml:space="preserve">Zakup materiałów papierniczych do sprzętu drukarskiego i urządzeń kserograficznych - </t>
    </r>
    <r>
      <rPr>
        <i/>
        <sz val="9"/>
        <rFont val="Calibri"/>
        <family val="2"/>
      </rPr>
      <t>RO</t>
    </r>
  </si>
  <si>
    <t>"XIV Festiwal Młodzieży Euroregionu Pomerania - Koszalin 2009"</t>
  </si>
  <si>
    <r>
      <t>Zakup usług pozostałych -</t>
    </r>
    <r>
      <rPr>
        <i/>
        <sz val="9"/>
        <rFont val="Calibri"/>
        <family val="2"/>
      </rPr>
      <t xml:space="preserve"> utrzymanie "Sportowej Doliny"</t>
    </r>
  </si>
  <si>
    <t>Podatek od towarów i usług (VAT)</t>
  </si>
  <si>
    <t>Wydatki na zakup i objęcie akcji, wniesienie wkładów do spółek prawa handlowego oraz na uzupełnienie funduszy statusowych banków państwowych i innych instytucji finansowych</t>
  </si>
  <si>
    <t>Boiska sportowe w ramach Programu "Moje Boisko - ORLIK 2012"</t>
  </si>
  <si>
    <r>
      <t>Dotacja celowa z budżetu na finansowanie lub dofinansowanie zadań zleconych do realizacji stowarzyszeniom -</t>
    </r>
    <r>
      <rPr>
        <i/>
        <sz val="9"/>
        <rFont val="Calibri"/>
        <family val="2"/>
      </rPr>
      <t xml:space="preserve"> VI Bałtyckich Igrzysk Młodzieży - Koszalin 2009</t>
    </r>
  </si>
  <si>
    <r>
      <t xml:space="preserve">Dotacje celowe z budżetu na finansowanie  lub dofinansowanie  inwestycji i zakupów inwestycyjnych jednostek nie zaliczanych do sektora finansów publicznych - </t>
    </r>
    <r>
      <rPr>
        <i/>
        <sz val="9"/>
        <rFont val="Calibri"/>
        <family val="2"/>
      </rPr>
      <t>VI Bałtyckich Igrzysk Młodzieży - Koszalin 2009</t>
    </r>
  </si>
  <si>
    <r>
      <t>Zakup materiałów i wyposażenia -</t>
    </r>
    <r>
      <rPr>
        <i/>
        <sz val="9"/>
        <rFont val="Calibri"/>
        <family val="2"/>
      </rPr>
      <t xml:space="preserve"> RO</t>
    </r>
  </si>
  <si>
    <r>
      <t>Różne opłaty i składki -</t>
    </r>
    <r>
      <rPr>
        <i/>
        <sz val="9"/>
        <rFont val="Calibri"/>
        <family val="2"/>
      </rPr>
      <t xml:space="preserve"> RO</t>
    </r>
  </si>
  <si>
    <t xml:space="preserve">                              za okres od początku roku do dnia 31 marca 2010 r.</t>
  </si>
  <si>
    <t>A1. Dochody bieżące</t>
  </si>
  <si>
    <t>A2. Dochody majątkowe</t>
  </si>
  <si>
    <t>Przedszkola</t>
  </si>
  <si>
    <t>80110</t>
  </si>
  <si>
    <t>80114</t>
  </si>
  <si>
    <t>Zespoły obsługi ekonomiczno-administracyjnej szkół</t>
  </si>
  <si>
    <t>80120</t>
  </si>
  <si>
    <t>80130</t>
  </si>
  <si>
    <t>80140</t>
  </si>
  <si>
    <t>Centrum Kształcenia Ustawicznego</t>
  </si>
  <si>
    <t>80195</t>
  </si>
  <si>
    <t>2130</t>
  </si>
  <si>
    <t>Dotacje celowe przekazane z budżetu państwa na realizację bieżących zadan własnych powiatu</t>
  </si>
  <si>
    <t>Dotacje celowe przekazane z budżetu państwa na realizację własnych  zadań bieżących gmin</t>
  </si>
  <si>
    <t>2700</t>
  </si>
  <si>
    <t>851</t>
  </si>
  <si>
    <t>85156</t>
  </si>
  <si>
    <t>Składki na ubezpieczenie zdrowotne oraz świadczenia dla osób nieobjętych obowiązkiem ubezpieczenia zdrowotnego</t>
  </si>
  <si>
    <t>85195</t>
  </si>
  <si>
    <t>852</t>
  </si>
  <si>
    <t>85201</t>
  </si>
  <si>
    <t>Placówki opiekuńczo-wychowawcze</t>
  </si>
  <si>
    <t>85202</t>
  </si>
  <si>
    <t>85203</t>
  </si>
  <si>
    <t>Dotacje celowe otrzymane z budżetu państwa na realizację zadań bieżących z zakresu administracji rządowej oraz innych zadań zleconych gminie ustawami</t>
  </si>
  <si>
    <t>85204</t>
  </si>
  <si>
    <t>2320</t>
  </si>
  <si>
    <t>Dotacje celowe otrzymane z powiatu na zadania bieżące realizowane na podstawie porozumień (umów) między jst</t>
  </si>
  <si>
    <t>85212</t>
  </si>
  <si>
    <t>85213</t>
  </si>
  <si>
    <t>Składki na ubezpieczenia zdrowotne opłacane za osoby pobierające niektóre świadczenia z pomocy społecznej oraz niektóre świadczenia rodzinne</t>
  </si>
  <si>
    <t>85214</t>
  </si>
  <si>
    <t>Zasiłki i pomoc w  naturze oraz składki na ubezpieczenia emerytalne i rentowe</t>
  </si>
  <si>
    <t>Dotacje celowe otrzymane z budżetu państwa na realizację własnych zadań bieżących gmin</t>
  </si>
  <si>
    <t>85215</t>
  </si>
  <si>
    <t>85219</t>
  </si>
  <si>
    <t>85220</t>
  </si>
  <si>
    <t xml:space="preserve">Jednostki specjalistycznego poradnictwa, mieszkania chronione i ośrodki interwencji kryzysowej </t>
  </si>
  <si>
    <t>85226</t>
  </si>
  <si>
    <t>Ośrodki opiekuńczo-wychowawcze</t>
  </si>
  <si>
    <t>85228</t>
  </si>
  <si>
    <t>85295</t>
  </si>
  <si>
    <t>853</t>
  </si>
  <si>
    <t>POZOSTAŁE ZADANIA W ZAKRESIE POLITYKI SPOŁECZNEJ</t>
  </si>
  <si>
    <t>85305</t>
  </si>
  <si>
    <t>85311</t>
  </si>
  <si>
    <t>85321</t>
  </si>
  <si>
    <t>Zespoły do spraw orzekania o niepełnosprawności</t>
  </si>
  <si>
    <t>Dotacje celowe otrzymane z budżetu państwa na zadania  bieżące z zakresu administracji rządowej  oraz inne zadania zlecone ustawami realizowane przez powiat</t>
  </si>
  <si>
    <t>85324</t>
  </si>
  <si>
    <t>Państwowy Fundusz Rehabilitacji Osób Niepełnosprawnych</t>
  </si>
  <si>
    <t>Wpływy z różnych dochodów (PFRON)</t>
  </si>
  <si>
    <t>854</t>
  </si>
  <si>
    <t>EDUKACYJNA   OPIEKA WYCHOWAWCZA</t>
  </si>
  <si>
    <t>85403</t>
  </si>
  <si>
    <t>Specjalne ośrodki szkolno -wychowawcze</t>
  </si>
  <si>
    <t>85406</t>
  </si>
  <si>
    <t>Poradnia psychologiczno - pedagogiczna</t>
  </si>
  <si>
    <t>85407</t>
  </si>
  <si>
    <t>Placówki wychowania pozaszkolnego MDK</t>
  </si>
  <si>
    <t>85410</t>
  </si>
  <si>
    <t>85415</t>
  </si>
  <si>
    <t>Dotacje celowe otrzymane z budzetu państwa na realizazję własnych zadań bieżących gmin</t>
  </si>
  <si>
    <t>85417</t>
  </si>
  <si>
    <t>Szkolne schroniska młodzieżowe</t>
  </si>
  <si>
    <t>900</t>
  </si>
  <si>
    <t>GOSPODARKA KOMUNALNA I  OCHRONA ŚRODOWISKA</t>
  </si>
  <si>
    <t>90003</t>
  </si>
  <si>
    <t>90095</t>
  </si>
  <si>
    <t>6290</t>
  </si>
  <si>
    <t>921</t>
  </si>
  <si>
    <t>92106</t>
  </si>
  <si>
    <t>Teatry dramatyczne i lalkowe</t>
  </si>
  <si>
    <r>
      <t>Środki na dofinansowanie własnych inwestycji gmin, powiatów pozyskane z innych źródeł</t>
    </r>
  </si>
  <si>
    <t>92108</t>
  </si>
  <si>
    <t>Filharmonie, orkiestry, chóre i kapele</t>
  </si>
  <si>
    <t>92116</t>
  </si>
  <si>
    <t>926</t>
  </si>
  <si>
    <t>OGÓŁEM DOCHODY</t>
  </si>
  <si>
    <t>NA ZADANIA WŁASNE</t>
  </si>
  <si>
    <t>w tym:</t>
  </si>
  <si>
    <t xml:space="preserve">           porozumienia z jednostkami 
           samorządu terytorialnego</t>
  </si>
  <si>
    <t>NA ZADANIA ZLECONE</t>
  </si>
  <si>
    <t>GMINA OGÓŁEM</t>
  </si>
  <si>
    <t>POWIAT OGÓŁEM</t>
  </si>
  <si>
    <t xml:space="preserve">            ROCZNE  SPRAWOZDANIE O NADWYŻCE/DEFICYCIE</t>
  </si>
  <si>
    <t>A. DOCHODY</t>
  </si>
  <si>
    <t>B. WYDATKI (B1+B2)</t>
  </si>
  <si>
    <t>B1. Wydatki bieżące</t>
  </si>
  <si>
    <t>B2. Wydatki majątkowe</t>
  </si>
  <si>
    <t>C. NADWYŻKA/DEFICYT (A-B)</t>
  </si>
  <si>
    <t>D. FINANSOWANIE (D1-D2)</t>
  </si>
  <si>
    <t>D1. Przychody ogółem z tego:</t>
  </si>
  <si>
    <t>D11. Kredyty i pożyczki w tym:</t>
  </si>
  <si>
    <t>D111. na realizacje programów i projektów realizowanych z udziałem środków, o których mowa w art..5 ust. 3 ustawy o finansach publicznych</t>
  </si>
  <si>
    <t>D12.  spłaty pożyczek udzielonych</t>
  </si>
  <si>
    <t>D13.  nadwyżka z lat ubiegłych w tym:</t>
  </si>
  <si>
    <t>D131. Środki na pokrycie deficytu</t>
  </si>
  <si>
    <t>D14. Papiery wartościowe w tym:</t>
  </si>
  <si>
    <t>D141. na realizacje programów i projektów realizowanych z udziałem środków, o których mowa w art..5 ust. 3 ustawy o finansach publicznych</t>
  </si>
  <si>
    <t>D15. Obligacje jednostek samorządowych oraz związków komunalnych w tym:</t>
  </si>
  <si>
    <t>D151. na realizacje programów i projektów realizowanych z udziałem środków, o których mowa w art..5 ust. 3 ustawy o finansach publicznych</t>
  </si>
  <si>
    <t>D16. Prywatyzacja majątku j.s.t</t>
  </si>
  <si>
    <t>D17. Inne źródła w tym:</t>
  </si>
  <si>
    <t>D171. Środki na pokrycie deficytu</t>
  </si>
  <si>
    <t>D2. Rozchody ogółem z tego:</t>
  </si>
  <si>
    <t>D21. Spłaty kredytów i pożyczek w tym:</t>
  </si>
  <si>
    <t xml:space="preserve">D211. na realizację programów i projektów realizowanych z udziałem środków, o których mowa w art..5 ust. 3 ustawy o finansach publicznych </t>
  </si>
  <si>
    <t>D22. Pożyczki (udzielone)</t>
  </si>
  <si>
    <t>D23. Wykup papierów wartościowych w tym:</t>
  </si>
  <si>
    <t xml:space="preserve">D231. na realizację programów i projektów realizowanych z udziałem środków, o których mowa w art..5 ust. 3 ustawy o finansach publicznych  </t>
  </si>
  <si>
    <t>D24. Wykup obligacji samorządowych w tym:</t>
  </si>
  <si>
    <t xml:space="preserve">D241. na realizację programów i projektów realizowanych z udziałem środków, o których mowa w art..5 ust. 3 ustawy o finansach publicznych   </t>
  </si>
  <si>
    <t>D25. Inne cele</t>
  </si>
  <si>
    <t>w złotych</t>
  </si>
  <si>
    <t xml:space="preserve">Dział </t>
  </si>
  <si>
    <t>WYDATKI OGÓŁEM</t>
  </si>
  <si>
    <t>GMINA WŁASNE</t>
  </si>
  <si>
    <t>POWIAT WŁASNE</t>
  </si>
  <si>
    <t>Rozdz  §</t>
  </si>
  <si>
    <t>Wyszczególnienie</t>
  </si>
  <si>
    <t>Plan pierwotny</t>
  </si>
  <si>
    <t xml:space="preserve">Plan po zmianach </t>
  </si>
  <si>
    <t>Wykonanie</t>
  </si>
  <si>
    <t>%         wyk.</t>
  </si>
  <si>
    <t>Plan po zmianach</t>
  </si>
  <si>
    <t>%        wyk.</t>
  </si>
  <si>
    <t>%     wyk.</t>
  </si>
  <si>
    <t>010</t>
  </si>
  <si>
    <t>ROLNICTWO I  ŁOWIECTWO</t>
  </si>
  <si>
    <t>01000</t>
  </si>
  <si>
    <t>Integracja z Unią Europejską</t>
  </si>
  <si>
    <t>4410</t>
  </si>
  <si>
    <t>Podróże służbowe krajowe</t>
  </si>
  <si>
    <t>01021</t>
  </si>
  <si>
    <t>Inspekcja weterynaryjna</t>
  </si>
  <si>
    <t>3020</t>
  </si>
  <si>
    <t>Nagrody i inne wydatki nie zaliczane do wynagrodzeń</t>
  </si>
  <si>
    <t>3030</t>
  </si>
  <si>
    <t>Różne wydatki na rzecz osób fizycznych</t>
  </si>
  <si>
    <t>4010</t>
  </si>
  <si>
    <t>Wynagrodzenia osobowe pracowników</t>
  </si>
  <si>
    <t>4020</t>
  </si>
  <si>
    <t xml:space="preserve">Wynagrodzenia osobowe członków korpusu służby cywilnej </t>
  </si>
  <si>
    <t>4040</t>
  </si>
  <si>
    <t>Dodatkowe wynagrodzenia roczne</t>
  </si>
  <si>
    <t>4110</t>
  </si>
  <si>
    <t>Składki na ubezpieczenia społeczne</t>
  </si>
  <si>
    <t>4120</t>
  </si>
  <si>
    <t>Składki na fundusz pracy</t>
  </si>
  <si>
    <t>4210</t>
  </si>
  <si>
    <t>Zakup materiałów i wyposażenia</t>
  </si>
  <si>
    <t>4230</t>
  </si>
  <si>
    <t>Zakup leków i materiałów medycznych</t>
  </si>
  <si>
    <t>4260</t>
  </si>
  <si>
    <t>Zakup energii</t>
  </si>
  <si>
    <t>4270</t>
  </si>
  <si>
    <t>Zakup usług remontowych</t>
  </si>
  <si>
    <t>4300</t>
  </si>
  <si>
    <t>Zakup usług pozostałych</t>
  </si>
  <si>
    <t>4430</t>
  </si>
  <si>
    <t>Różne opłaty i składki</t>
  </si>
  <si>
    <t>4440</t>
  </si>
  <si>
    <t>Odpis na ZFŚS</t>
  </si>
  <si>
    <t>4480</t>
  </si>
  <si>
    <t>Podatek od nieruchomości</t>
  </si>
  <si>
    <t>4550</t>
  </si>
  <si>
    <t>Szkolenia członków korpusu służby cywilnej</t>
  </si>
  <si>
    <t>01030</t>
  </si>
  <si>
    <t>Izby Rolnicze</t>
  </si>
  <si>
    <t>2850</t>
  </si>
  <si>
    <t>Wpłaty gmin na rzecz izb rolniczych w wysokości 2% uzyskanych wpływów z podatku rolnego</t>
  </si>
  <si>
    <t>01095</t>
  </si>
  <si>
    <t>Pozostała działalność</t>
  </si>
  <si>
    <t>4740</t>
  </si>
  <si>
    <t>Zakup materiałów papierniczych do sprzętu drukarskiego i urządzeń kserograficznych</t>
  </si>
  <si>
    <t xml:space="preserve">Zakup usług pozostałych </t>
  </si>
  <si>
    <t xml:space="preserve">HANDEL </t>
  </si>
  <si>
    <t>TRANSPORT I ŁĄCZNOŚĆ</t>
  </si>
  <si>
    <t>Lokalny transport zbiorowy</t>
  </si>
  <si>
    <t>Drogi publiczne w miastach na prawach powiatu</t>
  </si>
  <si>
    <t>Wynagrodzenia bezosobowe</t>
  </si>
  <si>
    <t>Zakup usług obejmujących wykonanie ekspertyz, analiz i opinii</t>
  </si>
  <si>
    <t>Pozostałe odsetki</t>
  </si>
  <si>
    <t>Koszty postępowania sądowego i prokuratorskiego</t>
  </si>
  <si>
    <t>Wydatki inwestycyjne jednostek budżetowych</t>
  </si>
  <si>
    <t>ul. Mieszka I (od ul. BOWiD do wiaduktu)</t>
  </si>
  <si>
    <t xml:space="preserve">ul. Gnieźnieńska - skrzyżowanie z ul. 4-go Marca </t>
  </si>
  <si>
    <t>ul. Kwiatkowskiego</t>
  </si>
  <si>
    <t>skrzyżowanie ul. A. Krajowej - Bohaterów Warszawy - Morskiej</t>
  </si>
  <si>
    <t>remont obiektów mostowych (ul. Monte Cassino)</t>
  </si>
  <si>
    <t>budowa ścieżek rowerowych</t>
  </si>
  <si>
    <t xml:space="preserve">Budowa i przebudowa dróg stanowiących zewnętrzny pierścień układu komunikacyjnego </t>
  </si>
  <si>
    <t>Wydatki inwestycyjne jednostek budżetowych - ul. Połczyńska</t>
  </si>
  <si>
    <t xml:space="preserve">Drogi publiczne gminne </t>
  </si>
  <si>
    <t>Osiedle Lipowe - drogi</t>
  </si>
  <si>
    <t>Osiedle Unii Europejskiej - drogi</t>
  </si>
  <si>
    <t>Osiedle Podgórne - Batalionów Chłopskich - drogi</t>
  </si>
  <si>
    <t>ul. Rzeczna (dojazd do Specj. Oś. Szkolno - Wych.)</t>
  </si>
  <si>
    <t>Osiedle Bukowe - drogi</t>
  </si>
  <si>
    <t>Osiedle Topolowe - drogi</t>
  </si>
  <si>
    <t>ul. Lutyków, ul. Obotrytów, ul. P. Skargi, ul. Łużycka, ul. Poprzeczna</t>
  </si>
  <si>
    <t>przebudowa ulic: Zawiszy Czarnego, Dąbrówki, Ks. Anastazji, K. Wielkiego</t>
  </si>
  <si>
    <t>Ewidencja dróg - ZDM</t>
  </si>
  <si>
    <t>Drogi wewnętrzne</t>
  </si>
  <si>
    <t xml:space="preserve">Wydatki inwestycyjne jednostek budżetowych </t>
  </si>
  <si>
    <t>Infrastruktura telekomunikacyjna</t>
  </si>
  <si>
    <t>ZDM</t>
  </si>
  <si>
    <t>Wydatki osobowe niezaliczane do wynagrodzeń</t>
  </si>
  <si>
    <t>Dodatkowe wynagrodzenie roczne</t>
  </si>
  <si>
    <t>Składki na ubezpieczenie społeczne</t>
  </si>
  <si>
    <t>Składki na  FP</t>
  </si>
  <si>
    <t>Wpłaty na PFRON</t>
  </si>
  <si>
    <t>Autor dokumentu: Agnieszka Sulewska</t>
  </si>
  <si>
    <t>Wprowadził do BIP: Agnieszka Sulewska</t>
  </si>
  <si>
    <t>GMINA  ZLECONE                                                          I  POROZUMIENIA</t>
  </si>
  <si>
    <t>POWIAT ZLECONE                            I  POROZUMIENIA</t>
  </si>
  <si>
    <t>Infrastruktura kolejowa</t>
  </si>
  <si>
    <t>ul. Waryńskiego ze skrzyżowaniem z ul. Zwycięstwa, ul. Piłsudskiego, ul. Kościuszki,</t>
  </si>
  <si>
    <t>Dokumentacje przyszłościowe - ZDM</t>
  </si>
  <si>
    <t>modernizacja rejonu ulic: T. Chałbińskiego - Leśna - Promykowa</t>
  </si>
  <si>
    <t>ul. Reymonta, ul. Staffa, Struga, Tetmajera, Żeromskiego</t>
  </si>
  <si>
    <t>przebudowa rejonu ulic Gnieźnieńskiej, 4 - go Marca, Połczyńskiej</t>
  </si>
  <si>
    <t>Parking przy ulicy: Na Skarpie - Eugeniusza Kwiatkowskiego</t>
  </si>
  <si>
    <t>przebudowa ul. St. Moniuszki</t>
  </si>
  <si>
    <t>ul. Kosynierów</t>
  </si>
  <si>
    <t>Opłaty za administrowanie i czynsze za budynki, lokale i ponieszczenia garażowe</t>
  </si>
  <si>
    <t xml:space="preserve">Wydatki osobowe niazaliczane do wynagrodzeń </t>
  </si>
  <si>
    <t>Pozostałe podatki na rzecz budżetu państwa</t>
  </si>
  <si>
    <t>Kary i odszkodowania wypłacane na rzecz osób fizycznych - Km</t>
  </si>
  <si>
    <t>Koszty postępowania sadowego i prokuratorskiego - Km</t>
  </si>
  <si>
    <t>Zakup usług zdrowotnych - BHP</t>
  </si>
  <si>
    <t>Wydz. SO</t>
  </si>
  <si>
    <t>Zakup usług obejmujących wykonanie ekspertyz, alaliz i opinii - OA</t>
  </si>
  <si>
    <t>Zakup usług obejmujących wykonanie ekspertyz, alaliz i opinii - BHP</t>
  </si>
  <si>
    <t>Kary i odszkodowania na rzecz osób fizycznych</t>
  </si>
  <si>
    <t>Zakup energii - PI</t>
  </si>
  <si>
    <t>Zakup usług pozostałych - RWZ</t>
  </si>
  <si>
    <t>Wybory do Rad Osiedli</t>
  </si>
  <si>
    <t xml:space="preserve">Opłaty z tytułu zakupu usług telekomunikacyjnych telefonii stacjonarnej - OA </t>
  </si>
  <si>
    <t>Zakup materiałów papierniczych do sprzętu drukarskiego i urządzeń kserograficznych - OA</t>
  </si>
  <si>
    <t>Zakup akcesoriów komputerowych, w tym programów i licencji - OA</t>
  </si>
  <si>
    <t>Opłaty na rzecz budżetu państwa - Fk</t>
  </si>
  <si>
    <t>Rezerwa celowa (na przeciwdziałanie i usuwanie skutków klęsk żywiołowych)</t>
  </si>
  <si>
    <t xml:space="preserve">Wydatki inwestycyjne jednostek budżetowych  </t>
  </si>
  <si>
    <t>Dotacje celowe z budżetu ma finansowanie lub dofinansowanie kosztów realizacji inwestycji i zakupów inwestycyjnych iinych jednostek sektora finansów publicznych</t>
  </si>
  <si>
    <t>Środowiskowy Dom Samopomocy przy      ul. Wyspiańskiego 4</t>
  </si>
  <si>
    <t>Świadczenia rodzinne, świadczenia z funduszu alimentacyjnego oraz składki na ubezpieczenia emerytalne i rentowe z ubezpieczenia społecznego</t>
  </si>
  <si>
    <t>"Karuzela - Program profilaktyczny dla rodzin z małoletnimi dziećmi w placówce opiekuńczo - wychowawczej wsparcia dziennego" POROZUNIENIE</t>
  </si>
  <si>
    <t>"Rozwój niespokrewnionych z dzieckiem zawodowych rodzin zastępczych w Ośrodku Adopcyjno - Opiekuńczym w Koszalinie" ROROZUMIENIA</t>
  </si>
  <si>
    <t>"Mam skrzydła - lecę do pracy. Koszaliński program aktywizacji zawodowej osób niepełnosprawnych pozostających bez zatrunienia"</t>
  </si>
  <si>
    <t>Zakup akcesoriów komputerowych, w tym progromów i licencji</t>
  </si>
  <si>
    <r>
      <t>Pozostała działalność</t>
    </r>
  </si>
  <si>
    <t>Koszaliński Program Integracji Społecznej START</t>
  </si>
  <si>
    <t>"Szkoły zawodowe dodają skrzydeł"</t>
  </si>
  <si>
    <t>Dotacje celowe przekazane do samorządu województwa na zadania bieżące realizowane na podstawie porozumień między j.s.t.</t>
  </si>
  <si>
    <t>Dotacje celowe z budżetu dla jednostek niezaliczanych do sektora finansów publicznych realizujących projekty finansowane z udziałem środków z budżetu UE</t>
  </si>
  <si>
    <t>zakup materiałów i wyposażenia</t>
  </si>
  <si>
    <t>Inne formy pomocy dla uczniów</t>
  </si>
  <si>
    <t>Zakup usług i wyposażenia</t>
  </si>
  <si>
    <t>"Umieć czytać historię. Polsko - Niemieckie Spotkania Archiwalne - Koszalin 2008"</t>
  </si>
  <si>
    <t>remont siedziby</t>
  </si>
  <si>
    <t>*</t>
  </si>
  <si>
    <t xml:space="preserve">zakup wyposażenia </t>
  </si>
  <si>
    <t>uroczyste otwarcie wyremontowanej siedziby</t>
  </si>
  <si>
    <t>widowisko OPEROWE</t>
  </si>
  <si>
    <t>na zobowiązania</t>
  </si>
  <si>
    <t>wkład własny do Hanza Jazz Festiwal</t>
  </si>
  <si>
    <t>organizacja KFDF "Młodzi i Film"</t>
  </si>
  <si>
    <t>Współorganizacja koncertu z okazji Dnia Unii Europejskiej, Dnia Zwycięstwa i inauguracji XXX Tygodnia Kultury Studenckiej</t>
  </si>
  <si>
    <t>Organizacja "Majówki 2008"</t>
  </si>
  <si>
    <t>"Dni Koszalina"</t>
  </si>
  <si>
    <t>remont Domku Kata</t>
  </si>
  <si>
    <t>WYKONANIE   PLANU   DOCHODÓW   MIASTA   KOSZALINA   ZA  3  MIESIĄCE  2010  ROKU</t>
  </si>
  <si>
    <t>ZLECONE 
I POROZUMIENIA</t>
  </si>
  <si>
    <t xml:space="preserve">Plan 
po zmianach </t>
  </si>
  <si>
    <t>Plan 
po zmianach</t>
  </si>
  <si>
    <t>60001</t>
  </si>
  <si>
    <t>Krajowe pasażerskie przewozy kolejowe</t>
  </si>
  <si>
    <t>2910</t>
  </si>
  <si>
    <t>Wpływy ze zwrotów dotacji oraz płatności, w tym wykorzystanych niezgodnie z przeznaczeniem (…), pobranych nienależnie lub w nadmiernej wysokości</t>
  </si>
  <si>
    <t>Środki na dofinansowanie własnych inwestycji gmin, powiatów pozyskane z innych źródeł:</t>
  </si>
  <si>
    <t>Budowa i przebudowa dróg stanowiacych zewnetrzny pierścień układu komunikacyjnego Miasta</t>
  </si>
  <si>
    <t>Budowa ścieżek rowerowych</t>
  </si>
  <si>
    <t>6430</t>
  </si>
  <si>
    <t>Dotacje celowe otrzymane z budżetu państwa na realizację inwestycji i zakupów inwestycyjnych własnych powiatu:</t>
  </si>
  <si>
    <t>ul. Niepodległosci</t>
  </si>
  <si>
    <t>ul. Paproci i ul. Wrzosów</t>
  </si>
  <si>
    <t>Remont obiektów mostowych</t>
  </si>
  <si>
    <t>60017</t>
  </si>
  <si>
    <t>Przeciwdziałanie wykluczeniu cyfrowemu mieszkańców Koszalina</t>
  </si>
  <si>
    <t>Inteligentny Koszalin</t>
  </si>
  <si>
    <r>
      <t>Wpływy z różnych opłat</t>
    </r>
    <r>
      <rPr>
        <i/>
        <sz val="8"/>
        <rFont val="Calibri"/>
        <family val="2"/>
      </rPr>
      <t xml:space="preserve"> </t>
    </r>
    <r>
      <rPr>
        <sz val="8"/>
        <rFont val="Calibri"/>
        <family val="2"/>
      </rPr>
      <t>(za zajęcie nieruchomości, za nieterminową zabudowę, za służebność, za bezumowne korzystanie)</t>
    </r>
  </si>
  <si>
    <t>Wpływy z różnych dochodów:</t>
  </si>
  <si>
    <r>
      <t>Dochody jst związane z realizacją zadań z zakresu administracji rządowej oraz innych zadań zleconych ustawami</t>
    </r>
    <r>
      <rPr>
        <i/>
        <sz val="8"/>
        <rFont val="Calibri"/>
        <family val="2"/>
      </rPr>
      <t xml:space="preserve"> (25%  z majątku Skarbu Państwa)</t>
    </r>
  </si>
  <si>
    <r>
      <t>Dotacje celowe otrzymane z budżetu państwa na realizację inwestycji i zakupów inwestycyjnych własnych gmin -</t>
    </r>
    <r>
      <rPr>
        <b/>
        <i/>
        <sz val="8"/>
        <rFont val="Calibri"/>
        <family val="2"/>
      </rPr>
      <t xml:space="preserve"> Budownictwo mieszkaniowe</t>
    </r>
  </si>
  <si>
    <t>71004</t>
  </si>
  <si>
    <r>
      <t xml:space="preserve">Wpływy z usług </t>
    </r>
    <r>
      <rPr>
        <i/>
        <sz val="9"/>
        <rFont val="Calibri"/>
        <family val="2"/>
      </rPr>
      <t>(opłata cmentarna)</t>
    </r>
  </si>
  <si>
    <r>
      <t>Dochody jst związane z realizacją zadań z zakresu administracji rządowej oraz innych zadań zleconych ustawami</t>
    </r>
    <r>
      <rPr>
        <i/>
        <sz val="9"/>
        <rFont val="Calibri"/>
        <family val="2"/>
      </rPr>
      <t xml:space="preserve"> </t>
    </r>
  </si>
  <si>
    <r>
      <t xml:space="preserve">Wpływy z różnych opłat </t>
    </r>
    <r>
      <rPr>
        <i/>
        <sz val="8"/>
        <rFont val="Calibri"/>
        <family val="2"/>
      </rPr>
      <t>(karta parkingowa)</t>
    </r>
  </si>
  <si>
    <r>
      <t xml:space="preserve">Wpływy z różnych dochodów </t>
    </r>
    <r>
      <rPr>
        <i/>
        <sz val="8"/>
        <rFont val="Calibri"/>
        <family val="2"/>
      </rPr>
      <t>(rozmowy tel., media, recykling, szkolenia)</t>
    </r>
  </si>
  <si>
    <t>Kwalifikacja wojskowa</t>
  </si>
  <si>
    <t xml:space="preserve">Środki na dofinansowanie własnych zadań bieżących gmin pozyskane z innych źródeł </t>
  </si>
  <si>
    <t>Prezentacje gospodarcze na obszarze Euroregionu Pomerania</t>
  </si>
  <si>
    <t xml:space="preserve">"Catching the Future…" (Zdobywanie Przyszłości - Wymiana biznesowa i rozwojowa w Regionie Południowego Bałtyku) </t>
  </si>
  <si>
    <r>
      <t xml:space="preserve">Podatek od działalności gospodarczej osób fizycznych opłacany w formie </t>
    </r>
    <r>
      <rPr>
        <b/>
        <sz val="9"/>
        <rFont val="Calibri"/>
        <family val="2"/>
      </rPr>
      <t>karty podatkowej</t>
    </r>
  </si>
  <si>
    <t>0460</t>
  </si>
  <si>
    <t>Wpływy z opłaty eksploatacyjnej</t>
  </si>
  <si>
    <t>Wpływy z opłat za zezwolenia na sprzedaż napojów alkoholowych</t>
  </si>
  <si>
    <t>Grzywny i inne kary pieniężne od osób fizycznych</t>
  </si>
  <si>
    <t>dochody szkół za rozliczenia z ZUS i US</t>
  </si>
  <si>
    <t>rozliczenia lat ubiegłych (UM)</t>
  </si>
  <si>
    <r>
      <t>Wpływy z różnych opłat</t>
    </r>
    <r>
      <rPr>
        <sz val="8"/>
        <rFont val="Calibri"/>
        <family val="2"/>
      </rPr>
      <t xml:space="preserve"> (za legitymacje i inne druki)</t>
    </r>
  </si>
  <si>
    <r>
      <t xml:space="preserve">Wpływy z różnych opłat </t>
    </r>
    <r>
      <rPr>
        <sz val="8"/>
        <rFont val="Calibri"/>
        <family val="2"/>
      </rPr>
      <t>(za legitymacje i inne druki)</t>
    </r>
  </si>
  <si>
    <r>
      <t xml:space="preserve">Dotacje celowe przekazane z budżetu państwa na realizację inwestycji i zakupów inwestycyjnych własnych gmin - </t>
    </r>
    <r>
      <rPr>
        <b/>
        <i/>
        <sz val="8"/>
        <rFont val="Calibri"/>
        <family val="2"/>
      </rPr>
      <t>Sala gimnastyczna wraz z boiskiem - Gimnazjum nr 6</t>
    </r>
  </si>
  <si>
    <r>
      <t>Wpływy z różnych opłat</t>
    </r>
    <r>
      <rPr>
        <sz val="7"/>
        <rFont val="Calibri"/>
        <family val="2"/>
      </rPr>
      <t xml:space="preserve"> </t>
    </r>
    <r>
      <rPr>
        <sz val="8"/>
        <rFont val="Calibri"/>
        <family val="2"/>
      </rPr>
      <t>(za legitymacje i inne druki)</t>
    </r>
  </si>
  <si>
    <r>
      <t>Dotacje celowe otrzymane z budżetu państwa na zadania bieżące realizowane przez gminę na podstawie porozumień z organami administracji rządowej -</t>
    </r>
    <r>
      <rPr>
        <i/>
        <sz val="9"/>
        <rFont val="Calibri"/>
        <family val="2"/>
      </rPr>
      <t xml:space="preserve"> podręczniki dla dzieci romskich</t>
    </r>
  </si>
  <si>
    <r>
      <t xml:space="preserve">Środki na dofinansowanie własnych zadań bieżących gmin pozyskane z innych źródeł - </t>
    </r>
    <r>
      <rPr>
        <b/>
        <i/>
        <sz val="9"/>
        <rFont val="Calibri"/>
        <family val="2"/>
      </rPr>
      <t xml:space="preserve">"Śpiewająca Polska" </t>
    </r>
  </si>
  <si>
    <t>Leonardo da Vinci</t>
  </si>
  <si>
    <t>Przeciwdziałanie wykluczeniu cyfrowemu uczniów</t>
  </si>
  <si>
    <t>Dotacje celowe w ramach programów finansowych z udziałem środków europejskich (…) lub płatnosci w ramach budżetu środków europejskich</t>
  </si>
  <si>
    <t>6208</t>
  </si>
  <si>
    <t>Dotacje celowe w ramach programów finansowanych z udziałem środków europejskich (…) lub płatności w ramach budżetu środków europejskich</t>
  </si>
  <si>
    <t>6209</t>
  </si>
  <si>
    <r>
      <t xml:space="preserve">Środki na dofinansowanie własnych inwestycji gmin, powiatów pozyskane z innych źródeł - </t>
    </r>
    <r>
      <rPr>
        <b/>
        <i/>
        <sz val="8.5"/>
        <rFont val="Calibri"/>
        <family val="2"/>
      </rPr>
      <t>Termomodernizacja budynków oświatowych</t>
    </r>
  </si>
  <si>
    <r>
      <t xml:space="preserve">Środki na dofinansowanie własnych inwestycji gmin, powiatów pozyskane z innych źródeł - </t>
    </r>
    <r>
      <rPr>
        <b/>
        <i/>
        <sz val="8.5"/>
        <rFont val="Calibri"/>
        <family val="2"/>
      </rPr>
      <t>Polsko-Niemiecka Współpraca Młodzieżowa</t>
    </r>
  </si>
  <si>
    <t>85154</t>
  </si>
  <si>
    <t>0900</t>
  </si>
  <si>
    <t>Odsetki od dotacji oraz płatności wykorzystanych niezgodnie z przeznaczeniem (…)lub pobranych nienależnie lub w nadmiernej wysokości</t>
  </si>
  <si>
    <r>
      <t xml:space="preserve">Wpływy z różnych dochodów </t>
    </r>
    <r>
      <rPr>
        <sz val="8"/>
        <rFont val="Calibri"/>
        <family val="2"/>
      </rPr>
      <t>(Izby wytrzeźwień)</t>
    </r>
  </si>
  <si>
    <r>
      <t>Wpływy z usług</t>
    </r>
    <r>
      <rPr>
        <sz val="7"/>
        <rFont val="Calibri"/>
        <family val="2"/>
      </rPr>
      <t xml:space="preserve"> </t>
    </r>
    <r>
      <rPr>
        <sz val="8"/>
        <rFont val="Calibri"/>
        <family val="2"/>
      </rPr>
      <t>(odpłatność za  pobyt w "Złotym Wieku")</t>
    </r>
  </si>
  <si>
    <r>
      <t>Wpływy z różnych dochodów</t>
    </r>
    <r>
      <rPr>
        <sz val="8"/>
        <rFont val="Calibri"/>
        <family val="2"/>
      </rPr>
      <t xml:space="preserve"> (zwrot nienależnie pobranych świadczeń)</t>
    </r>
  </si>
  <si>
    <t>85205</t>
  </si>
  <si>
    <t>Zadania w zakresie przeciwdziałania przemocy w rodzinie</t>
  </si>
  <si>
    <t>0980</t>
  </si>
  <si>
    <t>Wpływy z tytułu zwrotów wypłaconych świadczeń z funduszu alimentacyjnego</t>
  </si>
  <si>
    <r>
      <t>Wpływy z różnych dochodów</t>
    </r>
    <r>
      <rPr>
        <sz val="8"/>
        <rFont val="Calibri"/>
        <family val="2"/>
      </rPr>
      <t xml:space="preserve"> </t>
    </r>
    <r>
      <rPr>
        <sz val="8"/>
        <color indexed="10"/>
        <rFont val="Calibri"/>
        <family val="2"/>
      </rPr>
      <t>(zwrot nienależnie pobranych świadczeń)</t>
    </r>
  </si>
  <si>
    <r>
      <t xml:space="preserve">Wpływy z różnych dochodów  </t>
    </r>
    <r>
      <rPr>
        <sz val="8"/>
        <rFont val="Calibri"/>
        <family val="2"/>
      </rPr>
      <t>(zwrot nienależnie pobranych świadczeń)</t>
    </r>
  </si>
  <si>
    <r>
      <t xml:space="preserve">Wpływy z różnych dochodów </t>
    </r>
    <r>
      <rPr>
        <sz val="8"/>
        <rFont val="Calibri"/>
        <family val="2"/>
      </rPr>
      <t xml:space="preserve"> (zwrot nadpłaconych dodatków)</t>
    </r>
  </si>
  <si>
    <t>85216</t>
  </si>
  <si>
    <t>Zasiłki stałe</t>
  </si>
  <si>
    <t xml:space="preserve">Wpływy z różnych dochodów  </t>
  </si>
  <si>
    <r>
      <t>Wpływy z usług</t>
    </r>
    <r>
      <rPr>
        <sz val="8"/>
        <rFont val="Calibri"/>
        <family val="2"/>
      </rPr>
      <t xml:space="preserve"> (odpłatność za pobyt w mieszkaniach chronionych)</t>
    </r>
  </si>
  <si>
    <r>
      <t xml:space="preserve">Wpływy z usług  </t>
    </r>
    <r>
      <rPr>
        <sz val="8"/>
        <rFont val="Calibri"/>
        <family val="2"/>
      </rPr>
      <t>(odpłatność za usługi opiekuńcze)</t>
    </r>
  </si>
  <si>
    <r>
      <t>Wpływy z usług</t>
    </r>
    <r>
      <rPr>
        <sz val="8"/>
        <rFont val="Calibri"/>
        <family val="2"/>
      </rPr>
      <t xml:space="preserve">  (odpłatność za usługi transportowe)</t>
    </r>
  </si>
  <si>
    <r>
      <t xml:space="preserve">Wpływy z różnych dochodów - </t>
    </r>
    <r>
      <rPr>
        <b/>
        <i/>
        <sz val="8"/>
        <rFont val="Calibri"/>
        <family val="2"/>
      </rPr>
      <t>prace społecznie-użyteczne</t>
    </r>
  </si>
  <si>
    <t xml:space="preserve">Program poprawy osiągnięć edukacyjnych uczniów Gimnazjum nr 2 </t>
  </si>
  <si>
    <t>Europejski fundusz stypendialny…</t>
  </si>
  <si>
    <t>2888</t>
  </si>
  <si>
    <t>Dotacja celowa otrzymana przez jst od innej jst będącej instytucja wdrażającą na zadania bieżące realizowane na podstawie porozumień</t>
  </si>
  <si>
    <t>2889</t>
  </si>
  <si>
    <t>85495</t>
  </si>
  <si>
    <r>
      <t xml:space="preserve">Dotacje przekazane z funduszy celowych na realizacje zadań bieżących jednostek zaliczanych do sektora finansów publicznych </t>
    </r>
    <r>
      <rPr>
        <i/>
        <sz val="8"/>
        <rFont val="Calibri"/>
        <family val="2"/>
      </rPr>
      <t>(dla Pałacu Młodzieży - konkursy)</t>
    </r>
  </si>
  <si>
    <t>90001</t>
  </si>
  <si>
    <r>
      <t xml:space="preserve">Środki na dofinansowanie własnych inwestycji gmin, powiatów pozyskane z innych źródeł - </t>
    </r>
    <r>
      <rPr>
        <b/>
        <i/>
        <sz val="8"/>
        <rFont val="Calibri"/>
        <family val="2"/>
      </rPr>
      <t>Uporządkowanie gospodarki wodno-ściekowej</t>
    </r>
  </si>
  <si>
    <t>90011</t>
  </si>
  <si>
    <t>Fundusz Ochrony Środowiska i Gospodarki Wodnej</t>
  </si>
  <si>
    <t>Wpływy z różnych dochodów (specyfikacja dla MWiK)</t>
  </si>
  <si>
    <r>
      <t>Środki na dofinansowanie własnych inwestycji gmin, powiatów, pozyskane z innych źródeł</t>
    </r>
    <r>
      <rPr>
        <sz val="8"/>
        <rFont val="Calibri"/>
        <family val="2"/>
      </rPr>
      <t xml:space="preserve"> - </t>
    </r>
    <r>
      <rPr>
        <b/>
        <i/>
        <sz val="8"/>
        <rFont val="Calibri"/>
        <family val="2"/>
      </rPr>
      <t>Inwestycyjne Inicjatywy Społeczne</t>
    </r>
  </si>
  <si>
    <t>Wpływy z tytułu pomocy finansowej udzielanej między jst na dofinansowanie własnych zadań bieżących</t>
  </si>
  <si>
    <r>
      <t>Środki na dofinansowanie własnych inwestycji gmin, powiatów pozyskane z innych źródeł -</t>
    </r>
    <r>
      <rPr>
        <b/>
        <i/>
        <sz val="8"/>
        <rFont val="Calibri"/>
        <family val="2"/>
      </rPr>
      <t xml:space="preserve"> Sala koncertowa Filharmonii</t>
    </r>
  </si>
  <si>
    <r>
      <t>Środki na dofinansowanie własnych inwestycji gmin, powiatów pozyskane z innych źródeł -</t>
    </r>
    <r>
      <rPr>
        <b/>
        <i/>
        <sz val="8"/>
        <rFont val="Calibri"/>
        <family val="2"/>
      </rPr>
      <t xml:space="preserve"> Multicentrum</t>
    </r>
  </si>
  <si>
    <t>92195</t>
  </si>
  <si>
    <r>
      <t>Środki na dofinansowanie własnych zadań bieżących gmin pozyskane z innych źródeł -</t>
    </r>
    <r>
      <rPr>
        <b/>
        <i/>
        <sz val="8"/>
        <rFont val="Calibri"/>
        <family val="2"/>
      </rPr>
      <t xml:space="preserve"> Polsko - Niemiecki Festiwal Młodzieży</t>
    </r>
  </si>
  <si>
    <t>Środki na dofinansowanie własnych inwestycji gmin, powiatów pozyskane z innych źródeł</t>
  </si>
  <si>
    <r>
      <t>Wpływy z tytułu pomocy finansowej udzielanej między jst na dofinansowanie własnych zadań inwestycyjnych i zakupów inwestycyjnych</t>
    </r>
    <r>
      <rPr>
        <b/>
        <i/>
        <sz val="9"/>
        <rFont val="Calibri"/>
        <family val="2"/>
      </rPr>
      <t xml:space="preserve"> </t>
    </r>
  </si>
  <si>
    <t>92695</t>
  </si>
  <si>
    <t>Data wprowadzenia do BIP: 28.04.2010 r.</t>
  </si>
  <si>
    <t xml:space="preserve"> WYKONANIE   PLANU   WYDATKÓW   MIASTA   KOSZALINA   ZA  3  MIESIĄCE   2010   ROKU                                                                                                    </t>
  </si>
  <si>
    <t>Wydatki na zakup i objęcie akcji, wniesienie wkładów do spółek prawa handlowego oraz na uzupełnienie funduszy statusowych banków państwowych i innych instytucji finansowych(MZK)</t>
  </si>
  <si>
    <t>przebudowa skrzyżowań / budowa skrzyżowań z ruchem okężnym</t>
  </si>
  <si>
    <t>Remont drogi Jamno - Łabusz</t>
  </si>
  <si>
    <t>ul. Połczyńska - (odcinek od ul. Działkowej do ul. Żytniej)</t>
  </si>
  <si>
    <t>ul. Syrenki i Gdańska</t>
  </si>
  <si>
    <t>ul. Wojska Polskiego, Żwirowa, M. Konopnickiej</t>
  </si>
  <si>
    <t>Przebudowa ul. Niepodległości</t>
  </si>
  <si>
    <t>Przebudowa ul. Paproci i Wrzosów</t>
  </si>
  <si>
    <t>remont odcinka nawierzchni ul. Dzierżęcińskiej</t>
  </si>
  <si>
    <t>Uzbrojenie terenu pod Słupską Specjalną Strefę Ekonomiczną, Kompleks Koszalin - drogi</t>
  </si>
  <si>
    <r>
      <t xml:space="preserve">Wydatki inwestycyjne jednostek budżetowych - </t>
    </r>
    <r>
      <rPr>
        <i/>
        <sz val="9"/>
        <rFont val="Calibri"/>
        <family val="2"/>
      </rPr>
      <t>budowa ul.Władysława IV</t>
    </r>
  </si>
  <si>
    <r>
      <t xml:space="preserve">Wydatki inwestycyjne jednostek budżetowych - </t>
    </r>
    <r>
      <rPr>
        <i/>
        <sz val="9"/>
        <rFont val="Calibri"/>
        <family val="2"/>
      </rPr>
      <t>budowa ulicy Śródmiejskiej</t>
    </r>
  </si>
  <si>
    <r>
      <t xml:space="preserve">Wydatki inwestycyjne jednostek budżetowych </t>
    </r>
    <r>
      <rPr>
        <i/>
        <sz val="9"/>
        <rFont val="Calibri"/>
        <family val="2"/>
      </rPr>
      <t>- skrzyżowanie ul.Jana Pawła II - Staszica</t>
    </r>
  </si>
  <si>
    <t>ul. Szymanowskiego i J.Matejki</t>
  </si>
  <si>
    <t>uzbrojenie Osiedla Wenedów</t>
  </si>
  <si>
    <t>ul. H. Kołłątaja</t>
  </si>
  <si>
    <t>ul. Kalinowa - chodniki</t>
  </si>
  <si>
    <t>Zakup usług remontowych (w tym 622.920 zł - RO)</t>
  </si>
  <si>
    <t>Zakup usług pozostałych (w tym 3,0 tys. zł - RO)</t>
  </si>
  <si>
    <r>
      <t>Wydatki inwestycyjne jednostek budżetowych</t>
    </r>
    <r>
      <rPr>
        <i/>
        <sz val="9"/>
        <rFont val="Calibri"/>
        <family val="2"/>
      </rPr>
      <t xml:space="preserve"> - BZK/Inf "Bezpieczny i inteligentny Koszalin"</t>
    </r>
  </si>
  <si>
    <r>
      <t xml:space="preserve">Wydatki na zakupy inwestycyjne jednostek budżetowych - </t>
    </r>
    <r>
      <rPr>
        <i/>
        <sz val="9"/>
        <rFont val="Calibri"/>
        <family val="2"/>
      </rPr>
      <t>RWZ "Przeciwdziałanie wykluczeniu cyfrowemu mieszkańców Koszalina"</t>
    </r>
  </si>
  <si>
    <t>Wydatki na zakup i objęcie akcji, wniesienie wkładów do spółek prawa handlowego oraz na uzupełnienie funduszy statusowych banków państwowych i innych instytucji finansowych(RWZ)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</si>
  <si>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</si>
  <si>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</si>
  <si>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Opłaty za administrowanie i czynsze za budynki, lokale i pomieszczenie garażowe</t>
  </si>
  <si>
    <r>
      <t xml:space="preserve">Wydatki  inwestycyjne jednostek budżetowych </t>
    </r>
    <r>
      <rPr>
        <i/>
        <sz val="9"/>
        <rFont val="Calibri"/>
        <family val="2"/>
      </rPr>
      <t xml:space="preserve">- rozbudowę systemu antywłamaniowego </t>
    </r>
  </si>
  <si>
    <t>Wydział Rozwoju i Współpracy Zagranicznej</t>
  </si>
  <si>
    <t>Biuro Promocji i Informacji</t>
  </si>
  <si>
    <r>
      <t xml:space="preserve">Zakup pozostałych usług - </t>
    </r>
    <r>
      <rPr>
        <i/>
        <sz val="9"/>
        <rFont val="Calibri"/>
        <family val="2"/>
      </rPr>
      <t xml:space="preserve">opracowania, podziały geodezyjne, ekspertyzy, wyrysy </t>
    </r>
  </si>
  <si>
    <t>Pozostałe podatki na rzecz budżetów j.s.t.</t>
  </si>
  <si>
    <r>
      <t xml:space="preserve">Wydatki na zakupy inw. jednostek budżetowych - </t>
    </r>
    <r>
      <rPr>
        <i/>
        <sz val="9"/>
        <rFont val="Calibri"/>
        <family val="2"/>
      </rPr>
      <t>pierwokupy nieruchomości, rozwiązywanie umów notarialnych, wykupy gruntów</t>
    </r>
  </si>
  <si>
    <r>
      <t xml:space="preserve">Wydatki na zakup i objęcie akcji oraz wniesienie wkładów do spółek prawa handlowego oraz na uzupełnienie funduszy statusowych banków państwowych i innych instytucji finansowych- </t>
    </r>
    <r>
      <rPr>
        <i/>
        <sz val="9"/>
        <rFont val="Calibri"/>
        <family val="2"/>
      </rPr>
      <t>KTBS</t>
    </r>
  </si>
  <si>
    <t>Zakup usług pozostałych -RO</t>
  </si>
  <si>
    <t>Opłaty za administrowanie i czynsze za budynki, lokale i ponieszczenia garażowe - Rp</t>
  </si>
  <si>
    <t>Wydatki na zakupy inwestycyjne jednostek budżetowych - Rp</t>
  </si>
  <si>
    <t>Nagrody o charakterze szczególnym niezaliczone do wynagrodzeń</t>
  </si>
  <si>
    <r>
      <t xml:space="preserve">Zakup usług pozostałych - </t>
    </r>
    <r>
      <rPr>
        <i/>
        <sz val="9"/>
        <rFont val="Calibri"/>
        <family val="2"/>
      </rPr>
      <t>z tytułu  porozumień</t>
    </r>
  </si>
  <si>
    <r>
      <t xml:space="preserve">Zakup usług pozostałych  - </t>
    </r>
    <r>
      <rPr>
        <i/>
        <sz val="9"/>
        <rFont val="Calibri"/>
        <family val="2"/>
      </rPr>
      <t>utrzymanie cmentarza</t>
    </r>
  </si>
  <si>
    <t>Różne opłaty i składki - Km</t>
  </si>
  <si>
    <t>Dotacja celowa na pomoc finansową udzielaną między j.s.t. na dofinansowanie własnych zadań inwestycyjnych i zakupów inwestycyjnych</t>
  </si>
  <si>
    <r>
      <t>Wynagrodzenia agencyjno - prowizyjne</t>
    </r>
    <r>
      <rPr>
        <i/>
        <sz val="9"/>
        <rFont val="Calibri"/>
        <family val="2"/>
      </rPr>
      <t xml:space="preserve"> - IK</t>
    </r>
  </si>
  <si>
    <r>
      <t>Składki na ubezpieczenia społeczne</t>
    </r>
    <r>
      <rPr>
        <i/>
        <sz val="9"/>
        <rFont val="Calibri"/>
        <family val="2"/>
      </rPr>
      <t xml:space="preserve"> - E</t>
    </r>
  </si>
  <si>
    <r>
      <t>Składki na FP</t>
    </r>
    <r>
      <rPr>
        <i/>
        <sz val="9"/>
        <rFont val="Calibri"/>
        <family val="2"/>
      </rPr>
      <t xml:space="preserve"> - OA</t>
    </r>
  </si>
  <si>
    <r>
      <t xml:space="preserve">Składki na FP </t>
    </r>
    <r>
      <rPr>
        <i/>
        <sz val="9"/>
        <rFont val="Calibri"/>
        <family val="2"/>
      </rPr>
      <t>- E</t>
    </r>
  </si>
  <si>
    <r>
      <t>Wynagrodzenia bezosobowe</t>
    </r>
    <r>
      <rPr>
        <i/>
        <sz val="9"/>
        <rFont val="Calibri"/>
        <family val="2"/>
      </rPr>
      <t xml:space="preserve"> - E</t>
    </r>
  </si>
  <si>
    <r>
      <t>Zakup materiałów i wyposażenia</t>
    </r>
    <r>
      <rPr>
        <i/>
        <sz val="9"/>
        <rFont val="Calibri"/>
        <family val="2"/>
      </rPr>
      <t xml:space="preserve"> </t>
    </r>
  </si>
  <si>
    <r>
      <t xml:space="preserve">Zakup usług dostępu do sieci Internet - </t>
    </r>
    <r>
      <rPr>
        <i/>
        <sz val="9"/>
        <rFont val="Calibri"/>
        <family val="2"/>
      </rPr>
      <t>Inf</t>
    </r>
  </si>
  <si>
    <r>
      <t xml:space="preserve">Zakup usług dostępu do sieci Internet - </t>
    </r>
    <r>
      <rPr>
        <i/>
        <sz val="9"/>
        <rFont val="Calibri"/>
        <family val="2"/>
      </rPr>
      <t>BZP</t>
    </r>
  </si>
  <si>
    <r>
      <t>Podróże służbowe zagraniczne -</t>
    </r>
    <r>
      <rPr>
        <i/>
        <sz val="9"/>
        <rFont val="Calibri"/>
        <family val="2"/>
      </rPr>
      <t xml:space="preserve"> RWZ</t>
    </r>
  </si>
  <si>
    <t>Koszty postępowania sądowego</t>
  </si>
  <si>
    <r>
      <t>Koszty postępowania sądowego -</t>
    </r>
    <r>
      <rPr>
        <i/>
        <sz val="9"/>
        <rFont val="Calibri"/>
        <family val="2"/>
      </rPr>
      <t xml:space="preserve"> OP</t>
    </r>
  </si>
  <si>
    <t>Szkolenia pracowników niebędących członkami korpusu służby cywilnej BHP</t>
  </si>
  <si>
    <t>Szkolenia pracowników niebędących członkami korpusu służby cywilnej OA</t>
  </si>
  <si>
    <r>
      <t xml:space="preserve">Zakup akcesoriów komputerowych, w tym programów i licencji                         </t>
    </r>
    <r>
      <rPr>
        <i/>
        <sz val="9"/>
        <rFont val="Calibri"/>
        <family val="2"/>
      </rPr>
      <t>OA i Inf.</t>
    </r>
  </si>
  <si>
    <r>
      <t>Wynagrodzenia bezosobowe -</t>
    </r>
    <r>
      <rPr>
        <i/>
        <sz val="9"/>
        <rFont val="Calibri"/>
        <family val="2"/>
      </rPr>
      <t xml:space="preserve"> porozum.</t>
    </r>
  </si>
  <si>
    <t>Nagrody motywacyjne</t>
  </si>
  <si>
    <r>
      <t xml:space="preserve">Zakup usług pozostałych </t>
    </r>
    <r>
      <rPr>
        <i/>
        <sz val="9"/>
        <rFont val="Calibri"/>
        <family val="2"/>
      </rPr>
      <t>- por.  ekspertyzy lekarskie</t>
    </r>
  </si>
  <si>
    <t>Różne opłaty i składki - PI</t>
  </si>
  <si>
    <t>"Prezentacje gospodarcze na obszarze Euroregionu Pomerania Schwedt/n. Odrą - Koszalin 2009 do 2011"</t>
  </si>
  <si>
    <t>"Catching the Future..." ("Zdobywanie Przyszłości - Wymiana biznesowa i rozwojowa w Regionie Południowego Bałtyku"</t>
  </si>
  <si>
    <r>
      <t xml:space="preserve">Nagrody o charakterze szczególnym niezaliczane do wynagrodzeń - </t>
    </r>
    <r>
      <rPr>
        <i/>
        <sz val="9"/>
        <rFont val="Calibri"/>
        <family val="2"/>
      </rPr>
      <t>USC</t>
    </r>
  </si>
  <si>
    <r>
      <t xml:space="preserve">Składki na ubezpieczenia społeczne - </t>
    </r>
    <r>
      <rPr>
        <i/>
        <sz val="9"/>
        <rFont val="Calibri"/>
        <family val="2"/>
      </rPr>
      <t>RWZ</t>
    </r>
  </si>
  <si>
    <r>
      <t xml:space="preserve">Składki na FP </t>
    </r>
    <r>
      <rPr>
        <i/>
        <sz val="9"/>
        <rFont val="Calibri"/>
        <family val="2"/>
      </rPr>
      <t>- RWZ</t>
    </r>
  </si>
  <si>
    <r>
      <t xml:space="preserve">Wynagrodzenia bezosobowe </t>
    </r>
    <r>
      <rPr>
        <i/>
        <sz val="9"/>
        <rFont val="Calibri"/>
        <family val="2"/>
      </rPr>
      <t>-RWZ</t>
    </r>
  </si>
  <si>
    <r>
      <t>Zakupy materiałów i wyposażenia -</t>
    </r>
    <r>
      <rPr>
        <i/>
        <sz val="9"/>
        <rFont val="Calibri"/>
        <family val="2"/>
      </rPr>
      <t xml:space="preserve"> RWZ</t>
    </r>
  </si>
  <si>
    <r>
      <t xml:space="preserve">Zakup pozostałych usług </t>
    </r>
    <r>
      <rPr>
        <i/>
        <sz val="9"/>
        <rFont val="Calibri"/>
        <family val="2"/>
      </rPr>
      <t>- RWZ</t>
    </r>
  </si>
  <si>
    <r>
      <t>Różne opłaty i składki -  R</t>
    </r>
    <r>
      <rPr>
        <i/>
        <sz val="9"/>
        <rFont val="Calibri"/>
        <family val="2"/>
      </rPr>
      <t>WZ</t>
    </r>
  </si>
  <si>
    <t>Dotacja celowa z budżetu na finansowanie lub dofinansowanie zadań zleconych do realizacji stowarzyszeniom - KS</t>
  </si>
  <si>
    <r>
      <t xml:space="preserve">Składki na ubezpieczenia społeczne - </t>
    </r>
    <r>
      <rPr>
        <i/>
        <sz val="9"/>
        <rFont val="Calibri"/>
        <family val="2"/>
      </rPr>
      <t>OA</t>
    </r>
  </si>
  <si>
    <r>
      <t xml:space="preserve">Składki na FP </t>
    </r>
    <r>
      <rPr>
        <i/>
        <sz val="9"/>
        <rFont val="Calibri"/>
        <family val="2"/>
      </rPr>
      <t>- OA</t>
    </r>
  </si>
  <si>
    <r>
      <t xml:space="preserve">Wynagrodzenia bezosobowe </t>
    </r>
    <r>
      <rPr>
        <i/>
        <sz val="9"/>
        <rFont val="Calibri"/>
        <family val="2"/>
      </rPr>
      <t>-OA</t>
    </r>
  </si>
  <si>
    <r>
      <t>Zakupy materiałów i wyposażenia -</t>
    </r>
    <r>
      <rPr>
        <i/>
        <sz val="9"/>
        <rFont val="Calibri"/>
        <family val="2"/>
      </rPr>
      <t xml:space="preserve"> OA</t>
    </r>
  </si>
  <si>
    <r>
      <t xml:space="preserve">Zakup pozostałych usług </t>
    </r>
    <r>
      <rPr>
        <i/>
        <sz val="9"/>
        <rFont val="Calibri"/>
        <family val="2"/>
      </rPr>
      <t>- OA</t>
    </r>
  </si>
  <si>
    <t>Wybory do Parlamentu Europejskiego</t>
  </si>
  <si>
    <r>
      <t xml:space="preserve">Wydatki na zakupy inwestycyjne jednostek budżetowych - </t>
    </r>
    <r>
      <rPr>
        <i/>
        <sz val="9"/>
        <rFont val="Calibri"/>
        <family val="2"/>
      </rPr>
      <t>zakup projektu multimedialnego</t>
    </r>
  </si>
  <si>
    <r>
      <t xml:space="preserve">Rezerwa celowa </t>
    </r>
    <r>
      <rPr>
        <i/>
        <sz val="8"/>
        <rFont val="Calibri"/>
        <family val="2"/>
      </rPr>
      <t>- na realizacje zadań własnych z zakresu zarządzania kryzysowego</t>
    </r>
  </si>
  <si>
    <t>"Lokalny system powiadamiania o przemocy - Razem skuteczni, razem bezpieczni" ROROZUMIENIA</t>
  </si>
  <si>
    <t>Zakup akcesoriów kompeterowych, w tym programów i licencji</t>
  </si>
  <si>
    <r>
      <t xml:space="preserve">Wynagrodzenia osobowe pracowników - IK </t>
    </r>
    <r>
      <rPr>
        <i/>
        <sz val="9"/>
        <rFont val="Calibri"/>
        <family val="2"/>
      </rPr>
      <t>(inkasenci)</t>
    </r>
  </si>
  <si>
    <r>
      <t>Wynagrodzenia agencyjno - prowizyjne -</t>
    </r>
    <r>
      <rPr>
        <i/>
        <sz val="9"/>
        <rFont val="Calibri"/>
        <family val="2"/>
      </rPr>
      <t xml:space="preserve"> Fk</t>
    </r>
  </si>
  <si>
    <r>
      <t>Wynagrodzenia agencyjno - prowizyjne</t>
    </r>
    <r>
      <rPr>
        <i/>
        <sz val="9"/>
        <rFont val="Calibri"/>
        <family val="2"/>
      </rPr>
      <t xml:space="preserve"> GKO</t>
    </r>
  </si>
  <si>
    <r>
      <t>Składki na ubezpieczenia społeczne -  G</t>
    </r>
    <r>
      <rPr>
        <i/>
        <sz val="9"/>
        <rFont val="Calibri"/>
        <family val="2"/>
      </rPr>
      <t>KO</t>
    </r>
  </si>
  <si>
    <r>
      <t>Składki na ubezpieczenia społeczne -</t>
    </r>
    <r>
      <rPr>
        <i/>
        <sz val="9"/>
        <rFont val="Calibri"/>
        <family val="2"/>
      </rPr>
      <t xml:space="preserve"> Fk</t>
    </r>
  </si>
  <si>
    <r>
      <t>Składki na FP -</t>
    </r>
    <r>
      <rPr>
        <i/>
        <sz val="9"/>
        <rFont val="Calibri"/>
        <family val="2"/>
      </rPr>
      <t xml:space="preserve"> GKO</t>
    </r>
  </si>
  <si>
    <r>
      <t xml:space="preserve">Składki na FP - </t>
    </r>
    <r>
      <rPr>
        <i/>
        <sz val="9"/>
        <rFont val="Calibri"/>
        <family val="2"/>
      </rPr>
      <t xml:space="preserve"> Fk</t>
    </r>
  </si>
  <si>
    <t>Wynagrodzenia bezosobowe - GKO</t>
  </si>
  <si>
    <r>
      <t>Zakup usług pozostałych -</t>
    </r>
    <r>
      <rPr>
        <i/>
        <sz val="9"/>
        <rFont val="Calibri"/>
        <family val="2"/>
      </rPr>
      <t xml:space="preserve"> Fk</t>
    </r>
  </si>
  <si>
    <r>
      <t>Zakup usług pozostałych - G</t>
    </r>
    <r>
      <rPr>
        <i/>
        <sz val="9"/>
        <rFont val="Calibri"/>
        <family val="2"/>
      </rPr>
      <t>KO</t>
    </r>
  </si>
  <si>
    <t xml:space="preserve">Odsetki od samorządowych papierów wartościowych lub zaciągniętych przez j.s.t. kredytów i pożyczek  </t>
  </si>
  <si>
    <t>Część oświatowa subwencji ogólnej dla j.s.t.</t>
  </si>
  <si>
    <t>Zwrot do budżety państwa nienależnie pobranej subwencji ogólnej za lata poprzednie</t>
  </si>
  <si>
    <t>Pozostałe rozliczenia z bankami</t>
  </si>
  <si>
    <t>Kary i odszkodowania na rzecz osób fizycznych - Rp</t>
  </si>
  <si>
    <t>Kary i odszkodowania na rzecz osób prawnych i innych jednostek organizacyjnych - Rp</t>
  </si>
  <si>
    <t>Rezerwa celowa (dla wynagrodzenia i pochodne)</t>
  </si>
  <si>
    <t>Rezerwa celowa (dla nowej Rady Osiedla )</t>
  </si>
  <si>
    <r>
      <t xml:space="preserve">Rezerwy na inwestycje i zakupy inwestycyjne </t>
    </r>
    <r>
      <rPr>
        <i/>
        <sz val="9"/>
        <rFont val="Calibri"/>
        <family val="2"/>
      </rPr>
      <t>(inwestycje zakończone)</t>
    </r>
  </si>
  <si>
    <t>Rezerwa ogólna do 1% wydatków (Spadki Rp - 100,0 tys. zł)</t>
  </si>
  <si>
    <r>
      <t>Wydatki inwestycyjne jednostek budżetowych               (</t>
    </r>
    <r>
      <rPr>
        <i/>
        <sz val="9"/>
        <rFont val="Calibri"/>
        <family val="2"/>
      </rPr>
      <t>w tym: INW - boiska sportowe: 2.000.000 zł - przy SP 13, 850.000 zł - przy SP Nr 7</t>
    </r>
    <r>
      <rPr>
        <sz val="9"/>
        <rFont val="Calibri"/>
        <family val="2"/>
      </rPr>
      <t>)</t>
    </r>
  </si>
  <si>
    <r>
      <t xml:space="preserve">Wydatki inwestycyjne jednostek budżetowych         </t>
    </r>
    <r>
      <rPr>
        <i/>
        <sz val="9"/>
        <rFont val="Calibri"/>
        <family val="2"/>
      </rPr>
      <t>(w tym: INW - 3.000,0 tys. zł - sala sport. przy Gimnazjum N r6)</t>
    </r>
  </si>
  <si>
    <t>Dowożenie uczniów do szkół</t>
  </si>
  <si>
    <r>
      <t xml:space="preserve">Wydatki inwestycyjne jednostek budżetowych </t>
    </r>
    <r>
      <rPr>
        <i/>
        <sz val="9"/>
        <rFont val="Calibri"/>
        <family val="2"/>
      </rPr>
      <t xml:space="preserve">- modernizacja przedszkoli </t>
    </r>
  </si>
  <si>
    <r>
      <t xml:space="preserve">Wydatki na zakupy inwestycyjne jednostek budżetowych </t>
    </r>
    <r>
      <rPr>
        <i/>
        <sz val="9"/>
        <rFont val="Calibri"/>
        <family val="2"/>
      </rPr>
      <t>- komputery</t>
    </r>
  </si>
  <si>
    <r>
      <t>Zakup usług pozostałych -</t>
    </r>
    <r>
      <rPr>
        <i/>
        <sz val="9"/>
        <rFont val="Calibri"/>
        <family val="2"/>
      </rPr>
      <t xml:space="preserve"> doskonalenie</t>
    </r>
  </si>
  <si>
    <r>
      <t xml:space="preserve">Składki na ubezpieczenia społeczne  </t>
    </r>
    <r>
      <rPr>
        <i/>
        <sz val="9"/>
        <rFont val="Calibri"/>
        <family val="2"/>
      </rPr>
      <t>- komisje ds. stypendiów szkolnych</t>
    </r>
  </si>
  <si>
    <r>
      <t xml:space="preserve">Składki na FP </t>
    </r>
    <r>
      <rPr>
        <i/>
        <sz val="9"/>
        <rFont val="Calibri"/>
        <family val="2"/>
      </rPr>
      <t>- komisje ds. stypendiów szkolnych</t>
    </r>
  </si>
  <si>
    <r>
      <t xml:space="preserve">Wynagrodzenia bezosobowe </t>
    </r>
    <r>
      <rPr>
        <i/>
        <sz val="9"/>
        <rFont val="Calibri"/>
        <family val="2"/>
      </rPr>
      <t>- komisje ds. stypendiów szkolnych</t>
    </r>
  </si>
  <si>
    <r>
      <t>Zakup materiałów i wyposażenia</t>
    </r>
    <r>
      <rPr>
        <i/>
        <sz val="9"/>
        <rFont val="Calibri"/>
        <family val="2"/>
      </rPr>
      <t xml:space="preserve"> - porozumienia</t>
    </r>
  </si>
  <si>
    <r>
      <t xml:space="preserve">Zakup usług remontowych - </t>
    </r>
    <r>
      <rPr>
        <i/>
        <sz val="9"/>
        <rFont val="Calibri"/>
        <family val="2"/>
      </rPr>
      <t>Rady Osiedli i likwidacja barier architektonicznych</t>
    </r>
  </si>
  <si>
    <r>
      <t xml:space="preserve">Wydatki inwestycyjne jednostek budżetowych </t>
    </r>
    <r>
      <rPr>
        <i/>
        <sz val="9"/>
        <rFont val="Calibri"/>
        <family val="2"/>
      </rPr>
      <t>- (dach na budynku warsztatów w ZS Nr 10 - 400,0 tys. zł; sala gimnast. ZS Nr 8 - 100,0 tys. zł)</t>
    </r>
  </si>
  <si>
    <r>
      <t>Dotacja podmiotowa z budżetu dla samorządowej instytucji kultury -</t>
    </r>
    <r>
      <rPr>
        <i/>
        <sz val="9"/>
        <rFont val="Calibri"/>
        <family val="2"/>
      </rPr>
      <t xml:space="preserve"> porozum.</t>
    </r>
  </si>
  <si>
    <r>
      <t xml:space="preserve">Dotacja podmiotowa z budżetu dla niepublicznej jednostki systemu oświaty </t>
    </r>
    <r>
      <rPr>
        <i/>
        <sz val="9"/>
        <rFont val="Calibri"/>
        <family val="2"/>
      </rPr>
      <t>- nauka pływania</t>
    </r>
  </si>
  <si>
    <t>Dotacja celowa z budżetu na finansowanie i dofinansowanie zadań zleconych do realizacji stowarzyszeniom KS</t>
  </si>
  <si>
    <r>
      <t xml:space="preserve">Zakup materiałów i wyposażenia </t>
    </r>
    <r>
      <rPr>
        <b/>
        <sz val="9"/>
        <rFont val="Calibri"/>
        <family val="2"/>
      </rPr>
      <t>"Szkolne projekty Socrates Comenius 2005/2006"</t>
    </r>
  </si>
  <si>
    <t>Comenius 2009/2010: "Zdrowy styl życia - Healthy lifestyle" - ZS Sportowych</t>
  </si>
  <si>
    <t>Comenius 2009/2010 "Wizyta przygotowawcza" - ZS Nr 1</t>
  </si>
  <si>
    <t>Comenius 2009/2010: "Knowledge is Power - Wiedza to potęga" - ZS Nr 13</t>
  </si>
  <si>
    <t>Leonardo da Vinci 2009/2010: - "Gastrofach" ZS Nr 12</t>
  </si>
  <si>
    <t xml:space="preserve">Zakup pomocy naukowych, dydaktycznych i książek </t>
  </si>
  <si>
    <t>Comenius 2009/2010 "Skoła Skautów" ("School of Scouts") ZS Nr 7</t>
  </si>
  <si>
    <t>Comenius 2009/2010: "Europa śpiewa" ("Europe Is singing") - SP Integracyjna Nr 21</t>
  </si>
  <si>
    <t>Comenius 2009/2010: "Identyczne Cele, Różne Sposoby, Identyczne Serca, Różne Uczucia" ("Europeans: Identical Aims, Different Ways, Identical Hearts, Different Feelings") - SP Integracyjna Nr 21</t>
  </si>
  <si>
    <t>Comenius 2009/2010:"Przemoc środowiskowa - mediatorzy w szkole bez przemocy" ("Violence as a climate killer - mentors for a violent - free school") - Gimnazjum Nr 2</t>
  </si>
  <si>
    <t>Comenius 2009/2010 "Wizyta przygotowawcza" - SP Nr 4</t>
  </si>
  <si>
    <t>"Przeciwdziałanie wykluczeniu cyfrowemu uczniów koszalińskich szkół"</t>
  </si>
  <si>
    <t>Wydatki na zakup i objęcie akcji, wniesienie wkładów do spółek prawa handlowego oraz na uzupełnienie funduszy statusowych banków państwowych i innych instytucji finansowych(Park Technologiczny) - RWZ</t>
  </si>
  <si>
    <r>
      <t xml:space="preserve">Dotacja przedmiotowa z budżetu dla pozostałych jednostek sektora finansów publicznych - </t>
    </r>
    <r>
      <rPr>
        <i/>
        <sz val="9"/>
        <rFont val="Calibri"/>
        <family val="2"/>
      </rPr>
      <t>realizacja "Programu zwalczania narkomanii".</t>
    </r>
  </si>
  <si>
    <r>
      <t xml:space="preserve">Zakup usług zdrowotnych - </t>
    </r>
    <r>
      <rPr>
        <i/>
        <sz val="9"/>
        <rFont val="Calibri"/>
        <family val="2"/>
      </rPr>
      <t>badania lekarskie</t>
    </r>
  </si>
  <si>
    <r>
      <t>Wydatki inwestycyjne jednostek budżetowych  -</t>
    </r>
    <r>
      <rPr>
        <i/>
        <sz val="9"/>
        <rFont val="Calibri"/>
        <family val="2"/>
      </rPr>
      <t xml:space="preserve"> likwidacja barier architektonicznych</t>
    </r>
  </si>
  <si>
    <r>
      <t xml:space="preserve">Wydatki inwestycyjne jednostek budżetowych  - </t>
    </r>
    <r>
      <rPr>
        <b/>
        <sz val="9"/>
        <rFont val="Calibri"/>
        <family val="2"/>
      </rPr>
      <t>budowa Hospicjum</t>
    </r>
  </si>
  <si>
    <t>Dotacja celowa z budżetu na finansowanie lub dofinansowanie zadań zleconych do realizacji stowarzyszeniom  PN</t>
  </si>
  <si>
    <r>
      <t xml:space="preserve">Wydatki na zakupy inwestycyjne jednostek budżetowych </t>
    </r>
    <r>
      <rPr>
        <i/>
        <sz val="9"/>
        <rFont val="Calibri"/>
        <family val="2"/>
      </rPr>
      <t>- zestawy komputerowe</t>
    </r>
  </si>
  <si>
    <r>
      <t>Świadczenia społeczne</t>
    </r>
    <r>
      <rPr>
        <b/>
        <sz val="9"/>
        <rFont val="Calibri"/>
        <family val="2"/>
      </rPr>
      <t xml:space="preserve"> -Prace społecznie użyteczne</t>
    </r>
  </si>
  <si>
    <r>
      <t>Świadczenia społeczne</t>
    </r>
    <r>
      <rPr>
        <b/>
        <sz val="9"/>
        <rFont val="Calibri"/>
        <family val="2"/>
      </rPr>
      <t xml:space="preserve"> -Dożywianie</t>
    </r>
  </si>
  <si>
    <r>
      <t xml:space="preserve">Dotacja podmiotowa z budżetu dla jednostek niezaliczanych do sektora finansów publicznych </t>
    </r>
    <r>
      <rPr>
        <i/>
        <sz val="9"/>
        <rFont val="Calibri"/>
        <family val="2"/>
      </rPr>
      <t>(porozumienia z j.s.t.)</t>
    </r>
  </si>
  <si>
    <t>Powiatowe urządy pracy</t>
  </si>
  <si>
    <t xml:space="preserve">"Program poprawy osiągnięć edukacyjnych uczniów Gimnazjum Nr 2 im. Janusza Korczaka w Koszalinie" </t>
  </si>
  <si>
    <t>Europejski fundusz stypendialny dla uczniów szkół ponadgimnazjalnych w Koszalinie 2009</t>
  </si>
  <si>
    <t>Dotacja celowa z budżetu na finansowanie  lub dofinansowanie zadań zleconych do realizacji stowarzyszeniom</t>
  </si>
  <si>
    <r>
      <t>Wynagrodzenia osobowe pracowników -</t>
    </r>
    <r>
      <rPr>
        <i/>
        <sz val="9"/>
        <rFont val="Calibri"/>
        <family val="2"/>
      </rPr>
      <t xml:space="preserve"> (na podwyżki wynagrodzeń od września 2009r.)</t>
    </r>
  </si>
  <si>
    <r>
      <t xml:space="preserve">Zakup materiałów i wyposażenia  </t>
    </r>
    <r>
      <rPr>
        <i/>
        <sz val="9"/>
        <rFont val="Calibri"/>
        <family val="2"/>
      </rPr>
      <t>RO</t>
    </r>
  </si>
  <si>
    <r>
      <t>Zakup usług pozostałych</t>
    </r>
    <r>
      <rPr>
        <i/>
        <sz val="9"/>
        <rFont val="Calibri"/>
        <family val="2"/>
      </rPr>
      <t xml:space="preserve"> RO</t>
    </r>
  </si>
  <si>
    <t>Jednostka Realizująca Projekt - "Uporządkowanie gospodarki wodno - ściekowej w m. Koszalin - I etap"</t>
  </si>
  <si>
    <t>Opłaty za administrowanie i czynsze za budynki, lokale i pomieszczenia garażowe</t>
  </si>
  <si>
    <t xml:space="preserve">Gospodarka odpadami </t>
  </si>
  <si>
    <r>
      <t xml:space="preserve">Wydatki inwestycyjne jednostek budżetowych - </t>
    </r>
    <r>
      <rPr>
        <i/>
        <sz val="9"/>
        <rFont val="Calibri"/>
        <family val="2"/>
      </rPr>
      <t>System gospodarki odpadami oraz budowa zakładu termicznego przekształcania odpadów dla miast i gmin Pomorza Środkowego</t>
    </r>
  </si>
  <si>
    <r>
      <t xml:space="preserve">Zakup usług pozostałych </t>
    </r>
    <r>
      <rPr>
        <b/>
        <i/>
        <sz val="9"/>
        <rFont val="Calibri"/>
        <family val="2"/>
      </rPr>
      <t>- roboty publiczne</t>
    </r>
  </si>
  <si>
    <r>
      <t xml:space="preserve">Zakup usług pozostałych - </t>
    </r>
    <r>
      <rPr>
        <i/>
        <sz val="9"/>
        <rFont val="Calibri"/>
        <family val="2"/>
      </rPr>
      <t>bieżące utrzymanie</t>
    </r>
  </si>
  <si>
    <r>
      <t xml:space="preserve">Wydatki inwestycyjne jednostek budżetowych </t>
    </r>
    <r>
      <rPr>
        <i/>
        <sz val="9"/>
        <rFont val="Calibri"/>
        <family val="2"/>
      </rPr>
      <t>- budowa schroniska</t>
    </r>
  </si>
  <si>
    <t>wydanie książki pt.: "Województwo środkowopomorskie"</t>
  </si>
  <si>
    <t>wydanie publikacji pn. "Rejestr Pomników Koszalina"</t>
  </si>
  <si>
    <t>festiwal "Integracja Ty i Ja"</t>
  </si>
  <si>
    <t>wydanie książki "60 lat wojskowego szkolnictwa zawodowego w K-nie"</t>
  </si>
  <si>
    <t>odprawa rentowa</t>
  </si>
  <si>
    <t>wystawa "Prehiostoria Pomorza Środkowego"</t>
  </si>
  <si>
    <t>impreza pn. "Noc muzeów"</t>
  </si>
  <si>
    <t>wykonanie projektu graficznego i druk publikacji "Awangarda w plenerze: Osieki i łazy. Polska awangarda lat 60 - 80 w kolekcji sztuki współczesnej w Muzeum w Koszalinie"</t>
  </si>
  <si>
    <t xml:space="preserve">"Muzealne spotkanie z fotografią" </t>
  </si>
  <si>
    <t xml:space="preserve">archeologiczne wykopaliskowe badania ratownicze 2008 stanowisk zagrożonych woj. Zachodniopomorskiego </t>
  </si>
  <si>
    <t>poprawa bazy umożliwiająca uatrakcyjnienie działań wystawienniczych i oświatowych Muzeum w Koszalinie</t>
  </si>
  <si>
    <t>refundacja kosztów dot. Wykopalisk na Rynku Miejskim</t>
  </si>
  <si>
    <t xml:space="preserve">druk folderów, plakatów </t>
  </si>
  <si>
    <t>porozumienie</t>
  </si>
  <si>
    <t>monitoring Muzeum</t>
  </si>
  <si>
    <t>wymiana instalacji elektrycznej w salach wystawowych</t>
  </si>
  <si>
    <t>remont klatki schodowej</t>
  </si>
  <si>
    <t>Dotacja podmiotowa z budżetu dla samorządowej instytucji kultury (na realizację zadań dofinans. ze środków zewnętrznych)</t>
  </si>
  <si>
    <t>Hala widowiskowo - sportowa</t>
  </si>
  <si>
    <t>Boisko sportowe przy SP Nr 18 ul. St. Staszica</t>
  </si>
  <si>
    <t>Boisko sportowe przy SP Nr 10</t>
  </si>
  <si>
    <t>Boisko sportowe przy SP Nr 17</t>
  </si>
  <si>
    <t>na podstawie porozumień z organami administracji rządowej</t>
  </si>
  <si>
    <t>Wprowadził do BIP:Agnieszka  Sulewska</t>
  </si>
  <si>
    <t>Zakup usług zdrowotnych</t>
  </si>
  <si>
    <t>Zakup pozostałych usług</t>
  </si>
  <si>
    <t>Zakup usług dostępu do sieci Internet</t>
  </si>
  <si>
    <t>Opłaty z tytułu zakupu usług telekomunikacyjnych telefonii stacjonarnej</t>
  </si>
  <si>
    <t>Podróże  służbowe zagraniczne</t>
  </si>
  <si>
    <t xml:space="preserve">Podatek od nieruchomości </t>
  </si>
  <si>
    <t>Szkolenia pracowników niebędących członkami korpusu służby cywilnej</t>
  </si>
  <si>
    <t>Zakup akcesoriów komputerowych, w tym programów i licencji</t>
  </si>
  <si>
    <t xml:space="preserve">Wydatki na zakupy inwestycyjne jednostek budżetowych </t>
  </si>
  <si>
    <t>TURYSTYKA</t>
  </si>
  <si>
    <t>Zdania w zakresie upowszechniania turystyki</t>
  </si>
  <si>
    <t xml:space="preserve">Dotacja celowa z budżetu na finansowanie lub dofinansowanie zadań zleconych do realizacji stowarzyszeniom </t>
  </si>
  <si>
    <t xml:space="preserve">Dotacja celowa z budżetu na finansowanie lub dofinansowanie zadań zleconych do realizacji fundacjom </t>
  </si>
  <si>
    <t>"Szlak gotyku ceglanego EuRoB II"</t>
  </si>
  <si>
    <t>Podróże służbowe zagraniczne</t>
  </si>
  <si>
    <t>"Transgraniczna wymiana daświadczeń w Euroregionie Pomerania"</t>
  </si>
  <si>
    <t>Zakup usług obejmujących tłumaczenia</t>
  </si>
  <si>
    <t>"Reaktywacja połączenia kolejowego Koszalin - Mielno"</t>
  </si>
  <si>
    <t>Dotacja celowa na pomoc finansową udzielaną między j.s.t. na dofinansowanie własnych zadań bieżących</t>
  </si>
  <si>
    <t>GOSPODARKA MIESZKANIOWA</t>
  </si>
  <si>
    <t>Zakłady gospodarki mieszkaniowej - ZBM</t>
  </si>
  <si>
    <t>Dotacja przedmiotowa z budżetu dla zakładu budżetowego</t>
  </si>
  <si>
    <t>Dotacje celowe z budżetu na finansowanie lub dofinansowanie kosztów realizacji inwestycji i zakupów inwestycyjnych zakładów budżetowych</t>
  </si>
  <si>
    <t>Gospodarka gruntami i nieruchomościami</t>
  </si>
  <si>
    <t>Zakup pozostałych usług - OP</t>
  </si>
  <si>
    <t>Zakup pozostałych usług - KS</t>
  </si>
  <si>
    <t>Zakup pomocy naukowych, dydaktycznych i książek</t>
  </si>
  <si>
    <t xml:space="preserve">Zakup usług obejmujących wykonanie ekspertyz, analiz i opinii </t>
  </si>
  <si>
    <t>Pozostałe podatki na rzecz budżetów jednostek samorządu terytorialnego</t>
  </si>
  <si>
    <t>Opłaty na rzecz budżetów j.s.t.</t>
  </si>
  <si>
    <t>Podatek od towarów i usług VAT</t>
  </si>
  <si>
    <t>Kary i odszkodowania wypłacane na rzecz osób fizycznych</t>
  </si>
  <si>
    <t>Kary i odszkodowania wypłacane na rzecz osób prawnych i innych jednostek organizacyjnych</t>
  </si>
  <si>
    <t>Koszty postępowania sadowego i prokuratorskiego</t>
  </si>
  <si>
    <t>Odsetki od nieterminowych wpłat podatku od towarów i usług VAT</t>
  </si>
  <si>
    <t>Towarzystwa budownictwa społecznego</t>
  </si>
  <si>
    <t>Zakup materiałów i wyposażenia  - RO</t>
  </si>
  <si>
    <t>Składki na FP</t>
  </si>
  <si>
    <t>Budowa budynku komunalnego</t>
  </si>
  <si>
    <t>DZIAŁALNOŚĆ USŁUGOWA</t>
  </si>
  <si>
    <t>Plany zagospodarowania przestrzennego</t>
  </si>
  <si>
    <t>Składki na Fundusz Pracy</t>
  </si>
  <si>
    <t>Prace geodezyjne i kartograficzne (nieinwestycyjne)</t>
  </si>
  <si>
    <t>Opracowania geodezyjne i kartograficzne</t>
  </si>
  <si>
    <t>Nadzór budowlany</t>
  </si>
  <si>
    <t>Krajowe podróże służbowe</t>
  </si>
  <si>
    <t>Wydatki na zakupy inwestycyjne jednostek budżetowych</t>
  </si>
  <si>
    <t>Cmentarze</t>
  </si>
  <si>
    <t>ADMINISTRACJA PUBLICZNA</t>
  </si>
  <si>
    <t xml:space="preserve"> </t>
  </si>
  <si>
    <t>Starostwa powiatowe</t>
  </si>
  <si>
    <t>Dotacje celowe przekazane dla powiatu na zadania bieżące realizowane na podstawie porozumień między j.s.t.</t>
  </si>
  <si>
    <t>Zakup materiałów i wyposażenia - Km</t>
  </si>
  <si>
    <t>Zakup usług pozostałych - Km</t>
  </si>
  <si>
    <t>Rada Miejska</t>
  </si>
  <si>
    <t>Biuro Rady Miejskiej</t>
  </si>
  <si>
    <t xml:space="preserve">Nagrody o charakterze szczególnym niezaliczane do wynagrodzeń </t>
  </si>
  <si>
    <t>Młodzieżowa Rada Miasta</t>
  </si>
  <si>
    <t>Urząd Miejski</t>
  </si>
  <si>
    <t>Organizacyjno-Administr.</t>
  </si>
  <si>
    <t>Straż Miejska</t>
  </si>
  <si>
    <t>Rp</t>
  </si>
  <si>
    <t>USC</t>
  </si>
  <si>
    <t>BHP</t>
  </si>
  <si>
    <t>Różne wydatki na rzecz osób fizycznych - OA</t>
  </si>
  <si>
    <t>Nagrody o charakterze szczególnym niezaliczane do wynagrodzeń - USC</t>
  </si>
  <si>
    <t xml:space="preserve">Wynagrodzenia agencyjno - prowizyjne </t>
  </si>
  <si>
    <t xml:space="preserve">Składki na ubezpieczenia społeczne </t>
  </si>
  <si>
    <t>Organizacujno-Administ.</t>
  </si>
  <si>
    <t xml:space="preserve"> Straż Miejska</t>
  </si>
  <si>
    <t xml:space="preserve"> Komunikacja</t>
  </si>
  <si>
    <t xml:space="preserve"> Biuro Informatyki </t>
  </si>
  <si>
    <t xml:space="preserve">BHP </t>
  </si>
  <si>
    <t xml:space="preserve">Zakup usług remontowych </t>
  </si>
  <si>
    <t>Wydz. O- A</t>
  </si>
  <si>
    <t>Zakup usług pozostałych  w tym:</t>
  </si>
  <si>
    <t>Wydz. Komunikacja</t>
  </si>
  <si>
    <t>Wydz. Fk</t>
  </si>
  <si>
    <t>Biuro Zamówień Publicznych</t>
  </si>
  <si>
    <t>Inf.</t>
  </si>
  <si>
    <t>Różne opłaty i składki Fk</t>
  </si>
  <si>
    <t>Różne opłaty i składki OA</t>
  </si>
  <si>
    <t xml:space="preserve">Wydatki inwestycyjne jednostek budżetowych             </t>
  </si>
  <si>
    <t xml:space="preserve">Wydatki na zakupy inwestycyjne jednostek budżetowych             </t>
  </si>
  <si>
    <t xml:space="preserve">Opłaty z tytułu zakupu usług telekomunikacyjnych telefonii stacjonarnej </t>
  </si>
  <si>
    <t>Promocja jednostek samorządu terytorialnego</t>
  </si>
  <si>
    <t>Dotacja celowa z budżetu na finansowanie lub dofinansowanie zadań zleconych do realizacji stowarzyszeniom</t>
  </si>
  <si>
    <t>Wynagrodzenia bezosobowe - R</t>
  </si>
  <si>
    <t>Zakup materiałów i wyposażenia - PI</t>
  </si>
  <si>
    <t>Zakup materiałów i wyposażenia - R</t>
  </si>
  <si>
    <t>Zakup usług pozostałych - PI</t>
  </si>
  <si>
    <t>Zakup usług pozostałych - R</t>
  </si>
  <si>
    <t>Zakup usług pozostałych - KS</t>
  </si>
  <si>
    <t>Zakup usług do sieci Internet - PI</t>
  </si>
  <si>
    <t>Wynagrodzienia bezosobowe</t>
  </si>
  <si>
    <t>"Koszaliński katolog usług polsko - niemieckich"</t>
  </si>
  <si>
    <t>Składki FP</t>
  </si>
  <si>
    <t>Pozostała działalność RO</t>
  </si>
  <si>
    <t>Nagrody i wydatki osobowe nie zaliczane do wynagrodzeń</t>
  </si>
  <si>
    <t>Zakup usług  pozostałych</t>
  </si>
  <si>
    <t>Zakup akcesoriów komputerowych , w tym programów i licencji</t>
  </si>
  <si>
    <t>Zakup usług do sieci Internet - RWZ</t>
  </si>
  <si>
    <t>Zakup usług obejmujących tłumaczenia - RWZ</t>
  </si>
  <si>
    <t>Zakup usług obejmujących wykonanie ekspertyz, analiz i opinii - RWZ</t>
  </si>
  <si>
    <t xml:space="preserve"> - dofinansowanie Regionalnego Centrum Informacji Europejskiej - RCIE</t>
  </si>
  <si>
    <t xml:space="preserve"> - dofinansowanie działalności CIP</t>
  </si>
  <si>
    <t>URZĘDY NACZELNYCH ORGANÓW WŁADZY PAŃSTWOWEJ, KONTROLI I OCHRONY PRAWA ORAZ SĄDOWNICTWA</t>
  </si>
  <si>
    <t>Urzędy naczelnych organów władzy państwowej, kontroli i ochrony prawa</t>
  </si>
  <si>
    <t xml:space="preserve">Składki na FP </t>
  </si>
  <si>
    <t xml:space="preserve">Zakup materiałów i wyposażenia </t>
  </si>
  <si>
    <t>Wybory Prezydenta Rzeczpospolitej Polskiej</t>
  </si>
  <si>
    <t xml:space="preserve">Nagrody i wydatki osobowe nie zaliczane do wynagrodzeń </t>
  </si>
  <si>
    <t>OBRONA NARODOWA</t>
  </si>
  <si>
    <t>Pozostałe wydatki obronne</t>
  </si>
  <si>
    <t>Zakup pomocy nauk., dydaktycznych i książek</t>
  </si>
  <si>
    <t>BEZPIECZEŃSTWO PUBLICZNE I OCHRONA PRZECIWPOŻAROWA</t>
  </si>
  <si>
    <t>Komendy powiatowe Policji</t>
  </si>
  <si>
    <t>Wpłaty jednostek na fundusz celowy</t>
  </si>
  <si>
    <t>Wpłaty jednostek na fundusz celowy na finansowanie lub dofinansowanie zadań inwestycyjnych</t>
  </si>
  <si>
    <t>Komendy powiatowe Państwowej Straży Pożarnej</t>
  </si>
  <si>
    <t>Wydatki osobowe niezaliczane do uposażeń wypłacane żołnierzom i funkcjonariuszom</t>
  </si>
  <si>
    <t xml:space="preserve">Wynagrodzenia osobowe pracowników </t>
  </si>
  <si>
    <t>Uposażenia żołnierzy zawodowych i nadterminowych oraz funkcjonariuszy</t>
  </si>
  <si>
    <t>Pozostałe należności żołnierzy zawodowych i nadterminowych oraz funkcjonariuszy</t>
  </si>
  <si>
    <t>Dodatkowe uposażenie roczne dla żołnierzy zawodowych oraz nagrody roczne dla funkcjonariuszy</t>
  </si>
  <si>
    <t>Uposazenia i świadczenia pieniężne wypłacane przez okres roku żoł. i funkcjon. zwolnionym ze służby</t>
  </si>
  <si>
    <t>Równoważniki pieniężne i ekwiwalenty dla żołnierzy i funkcjonariuszy</t>
  </si>
  <si>
    <t>Zakup sprzętu i ubrojenia</t>
  </si>
  <si>
    <t>Zakup środków żywności</t>
  </si>
  <si>
    <t>Zakup sprzętu i uzbrojenia</t>
  </si>
  <si>
    <t>Odpisy na ZFŚS</t>
  </si>
  <si>
    <t>Opłaty na rzecz budżetu państwa</t>
  </si>
  <si>
    <t>Dotacje celowe z budżetu na finansowanie lub dofinansowanie kosztów realizacji inwestycji i zakupów inwestycyjnych innych jednostek sektora finansów publicznych</t>
  </si>
  <si>
    <t>Ochotnicze straże pożarne</t>
  </si>
  <si>
    <t>Dotacja celowa z budżetu  lub dofinansowanie zadań zleconych do realizacji stowarzyszeniom</t>
  </si>
  <si>
    <t>Obrona cywilna</t>
  </si>
  <si>
    <t>Zarządzanie Kryzysowe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</si>
  <si>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</si>
  <si>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</si>
  <si>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Różne opłaty i składki -Rp</t>
  </si>
  <si>
    <t>Różne opłaty i składki -Fk</t>
  </si>
  <si>
    <t>Fk</t>
  </si>
  <si>
    <t>OP</t>
  </si>
  <si>
    <t>OBSŁUGA DŁUGU PUBLICZNEGO</t>
  </si>
  <si>
    <t>Obsługa papierów wartościowych, kredytów i  pożyczek j.s.t.</t>
  </si>
  <si>
    <t>Odsetki i dyskonto od krajowych skarbowych papierów wartościowych oraz od krajowych pożyczek i kredytów</t>
  </si>
  <si>
    <t>RÓŻNE ROZLICZENIA</t>
  </si>
  <si>
    <t>Część równoważąca subwencji ogólnej dla powiatów</t>
  </si>
  <si>
    <t>Wpłaty jednostek samorządu terytorialnego do budżetu państwa</t>
  </si>
  <si>
    <t>Rezerwy ogólne i celowe</t>
  </si>
  <si>
    <t>Rezerwa celowa (na realizację zadań dofinans. ze środków zewnętrznych)</t>
  </si>
  <si>
    <t>OŚWIATA I WYCHOWANIE</t>
  </si>
  <si>
    <t>Szkoły podstawowe</t>
  </si>
  <si>
    <t>Dotacja podmiotowa z budżetu dla niepublicznej jednostki systemu oświaty</t>
  </si>
  <si>
    <t>Wydatki osobowe niezaliczone do wynagrodzeń</t>
  </si>
  <si>
    <t>Zakupy pomocy naukowych, dydaktycznych i książek</t>
  </si>
  <si>
    <t xml:space="preserve">Zakup usług obejmujących tłumaczenia </t>
  </si>
  <si>
    <t>Szkoły podstawowe specjalne</t>
  </si>
  <si>
    <t>Świadczenia społeczne</t>
  </si>
  <si>
    <t>Składki na ubezpieczenia zdrowotne</t>
  </si>
  <si>
    <t>Oddziały przedszkolne w szkołach podstawowych</t>
  </si>
  <si>
    <t xml:space="preserve">Przedszkola </t>
  </si>
  <si>
    <t>Dotacja podmiotowa z budżetu dla zakładu budżetowego</t>
  </si>
  <si>
    <t>Przedszkola specjalne</t>
  </si>
  <si>
    <t>Gimnazja</t>
  </si>
  <si>
    <t>Gimnazja specjalne</t>
  </si>
  <si>
    <t>Zakup pomocy naukowych, dydakt. i książek</t>
  </si>
  <si>
    <t>Zespół Obsługi Ekonomiczno - Administracyjnej Szkół (Przedszkoli Miejskich)</t>
  </si>
  <si>
    <t>Licea ogólnokształcące</t>
  </si>
  <si>
    <t>Zakup usług remont. KS</t>
  </si>
  <si>
    <t>Licea profilowane</t>
  </si>
  <si>
    <t xml:space="preserve">Szkoły zawodowe </t>
  </si>
  <si>
    <t>Dotacja podmiotowa z budżetu dla publicznej jednostki systemu oświaty prowadzonej przez osobę prawną inną niż j.s.t. lub przez osobę fizyczną</t>
  </si>
  <si>
    <t>Zasądzone renty</t>
  </si>
  <si>
    <t>Wpłata na PFRON</t>
  </si>
  <si>
    <t>Szkoły pomaturalne i policealne</t>
  </si>
  <si>
    <t>Dotacja podmiotowa dla niepublicznej szkoły lub innej placówki oświatowo-wychowawczej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</si>
  <si>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</si>
  <si>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</si>
  <si>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</si>
  <si>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</si>
  <si>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>Dotacja podmiotowa dla zakładu budżetowego</t>
  </si>
  <si>
    <t>Odpis na ZFŚS emerytów</t>
  </si>
  <si>
    <t xml:space="preserve">Dotacje celowe z budżetu na finansowanie  lub dofinansowanie kosztów realizacji inwestycji i zakupów inwestycyjnych  innych jednostek sektora finansów publicznych </t>
  </si>
  <si>
    <t>Dotacja podmiotowa z budżetu dla samorządowej instytucji kultury</t>
  </si>
  <si>
    <t>Dotacja podmiotowa z budżetu dla pozostałych jednostek sektorafinansów publicznych</t>
  </si>
  <si>
    <t xml:space="preserve">Wynagrodzenia bezosobowe </t>
  </si>
  <si>
    <t>"Śpiewająca Polska"</t>
  </si>
  <si>
    <t xml:space="preserve">SZKOLNICTWO WYŻSZE </t>
  </si>
  <si>
    <t>Pomoc materialna dla studentów i doktorantów</t>
  </si>
  <si>
    <t>Stypendia różne</t>
  </si>
  <si>
    <t>Europejski fundusz stypendialny dla studentów w Koszalinie 2006/2007</t>
  </si>
  <si>
    <t>Stypendia i zasiłki dla studentów</t>
  </si>
  <si>
    <t>Nagrody o charakterze szczególnym niezaliczane do wynagrodzeń</t>
  </si>
  <si>
    <t>OCHRONA ZDROWIA</t>
  </si>
  <si>
    <t>Szpitale ogólne</t>
  </si>
  <si>
    <t>Dotacja celowa z budżetu dla pozostałych jednostek zaliczanych do sektora finansow publicznych</t>
  </si>
  <si>
    <t>Programy polityki zdrowotnej</t>
  </si>
  <si>
    <t>Dotacja podmiotowa z budżetu dla pozostałych jednostek sektora  finansów publicznych</t>
  </si>
  <si>
    <t>Zwalczanie narkomanii</t>
  </si>
  <si>
    <t>Dotacja podmiotowa z budżetu dla pozostałych jednostek sektora  finansów publicznych- realizacja "Programu zwalczania narkomanii".</t>
  </si>
  <si>
    <t>Przeciwdziałanie alkoholizmowi</t>
  </si>
  <si>
    <t>Koszty postępowania sądowego i prokuratorskie</t>
  </si>
  <si>
    <t xml:space="preserve">Składki na ubezpieczenia zdrowotne  oraz świadczenia dla osób nie objętych obowiązkiem ubezpieczenia zdrowotnego  </t>
  </si>
  <si>
    <t>Izby Wytrzeźwień</t>
  </si>
  <si>
    <t>Opłata na rzecz budżetu jednostek samorz. terytor.</t>
  </si>
  <si>
    <t>POMOC SPOŁECZNA</t>
  </si>
  <si>
    <t>Placówki opiekuńczo-wychowawcze -Rodzinne Domy Dziecka</t>
  </si>
  <si>
    <t>Dotacja celowa z budżetu lub dofinansowanie zadań zleconych do realizacji stowarzyszeniom</t>
  </si>
  <si>
    <t>Swietlice</t>
  </si>
  <si>
    <t>Rodzinny Dom Dziecka Nr 2</t>
  </si>
  <si>
    <t xml:space="preserve">Zakup usług zdrowotnych </t>
  </si>
  <si>
    <t>Rodzinny Dom Dziecka Nr 3</t>
  </si>
  <si>
    <t>Domy pomocy społecznej</t>
  </si>
  <si>
    <t>Zakup usług przez j.s.t. od innych j.s.t.</t>
  </si>
  <si>
    <t>Ośrodki wsparcia</t>
  </si>
  <si>
    <t>Wydatki na zakupy  inwestycyjne jednostek budżetowych</t>
  </si>
  <si>
    <t>"Złoty Wiek"</t>
  </si>
  <si>
    <t xml:space="preserve">Schronisko dla bezdomnych </t>
  </si>
  <si>
    <t>"Odrodzenie" - ŚDS 1</t>
  </si>
  <si>
    <t>Środowiskowy Dom Samopomocy 2</t>
  </si>
  <si>
    <t>Rodziny zastępcze</t>
  </si>
  <si>
    <t>Dodotkowe wynagrodzenia roczne</t>
  </si>
  <si>
    <t>Składki na ubezpieczenie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</si>
  <si>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</si>
  <si>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</si>
  <si>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Zwrot dotacji wykorzystanych niezgodnie z przeznaczeniem lub pobranych w nadmiernej wysokości</t>
  </si>
  <si>
    <t>Powiatowe centra pomocy rodzinie</t>
  </si>
  <si>
    <t>Ośrodki pomocy społecznej</t>
  </si>
  <si>
    <t xml:space="preserve">Koszty postępowania sądowego i prokuratorskiego </t>
  </si>
  <si>
    <t>Niewłaściwe obciążenia</t>
  </si>
  <si>
    <t>Jednostki specjalistyczne poradnictwa, mieszkania chronione i ośrodki  interwencji kryzysowej</t>
  </si>
  <si>
    <t>Ośrodki adopcyjno-opiekuńcze</t>
  </si>
  <si>
    <t xml:space="preserve">Podróże służbowe krajowe </t>
  </si>
  <si>
    <t>Usługi opiekuńcze i specjalistyczne usługi opiekuńcze</t>
  </si>
  <si>
    <t>Usuwanie skutków klęsk żywiołowych</t>
  </si>
  <si>
    <t>Projekt "Dobra perspektywa"</t>
  </si>
  <si>
    <t xml:space="preserve">POZOSTAŁE ZADANIA W ZAKRESIE POLITYKI SPOŁECZNEJ </t>
  </si>
  <si>
    <t>Żłobki</t>
  </si>
  <si>
    <t>Rehabilitacja zawodowa i społeczna osób niepełnosprawnych</t>
  </si>
  <si>
    <t>Dotacja podmiotowa z budżetu dla jednostek niezaliczanych do sektora finansów publicznych</t>
  </si>
  <si>
    <t>Zespoły ds orzekania o niepełnosprawności</t>
  </si>
  <si>
    <t>Pomoc dla repatriantów</t>
  </si>
  <si>
    <t>EDUKACYJNA OPIEKA WYCHOWAWCZA</t>
  </si>
  <si>
    <t>Świetlice szkolne</t>
  </si>
  <si>
    <t>Specjalne ośrodki szkolno-wychowawcze</t>
  </si>
  <si>
    <t>Zakup pomocy naukowych, dydakt. książek</t>
  </si>
  <si>
    <t>Poradnie psychologiczno - pedagogiczne, w tym poradnie specjalistyczne</t>
  </si>
  <si>
    <t>Zakup pomocy naukowych, dydakt.i książek</t>
  </si>
  <si>
    <t>"Zero tolerancji dla przemocy w szkole"</t>
  </si>
  <si>
    <t>"Program opieki i terapii skierowany na uczniów z niepłynnością mowy"</t>
  </si>
  <si>
    <t>Placówki wychowania pozaszkolnego</t>
  </si>
  <si>
    <t>Internaty i bursy szkolne</t>
  </si>
  <si>
    <t>Pomoc materialna dla uczniów</t>
  </si>
  <si>
    <t xml:space="preserve">Stypendia dla uczniów </t>
  </si>
  <si>
    <t>Program "Równy start"</t>
  </si>
  <si>
    <t>Szkolne Schroniska Młodzieżowe</t>
  </si>
  <si>
    <t>Ośrodki rewalidacyjno - wychowawcze</t>
  </si>
  <si>
    <t>Dotacja podmiotowa dla niepublicznej jednostki systemu oświaty</t>
  </si>
  <si>
    <t>Stołówki szkolne</t>
  </si>
  <si>
    <t>Pozostałe wydatki</t>
  </si>
  <si>
    <t xml:space="preserve">Zakup materiałów i wyposażenia  </t>
  </si>
  <si>
    <t>GOSPODARKA KOMUNALNA  I  OCHRONA ŚRODOWISKA</t>
  </si>
  <si>
    <t>Gospodarka ściekowa i ochrona wód</t>
  </si>
  <si>
    <t>Oczyszczanie miast i wsi</t>
  </si>
  <si>
    <t>Utrzymanie zieleni w miastach i gminach</t>
  </si>
  <si>
    <t>Schroniska dla zwierząt</t>
  </si>
  <si>
    <t>Oświetlenie ulic, placów i dróg</t>
  </si>
  <si>
    <t>Wydatki na zakup i objęcie akcji oraz wniesienie wkładów do spółek prawa handlowego (PGK)</t>
  </si>
  <si>
    <t>"Concerto ATC2"</t>
  </si>
  <si>
    <t>Wynagrodzenie bezosobowe</t>
  </si>
  <si>
    <t>KULTURA I OCHRONA DZIEDZICTWA NARODOWEGO</t>
  </si>
  <si>
    <t>Zadania w zakresie kinematografii</t>
  </si>
  <si>
    <t xml:space="preserve">Dotacja podmiotowa z budżetu dla instytucji kultury  </t>
  </si>
  <si>
    <t>Pozostałe zadania w zakresie kultury</t>
  </si>
  <si>
    <t>Wydatki osobowe nie zaliczone do wynagrodzeń</t>
  </si>
  <si>
    <t xml:space="preserve">Teatry </t>
  </si>
  <si>
    <t>Dotacja podmiotowa z budżetu dla samorządowej instytucji kultury w tym:</t>
  </si>
  <si>
    <t>działalność bieżąca</t>
  </si>
  <si>
    <t>porozumienia</t>
  </si>
  <si>
    <t>na realizację projektów dofinans. ze środków zewnętrznych</t>
  </si>
  <si>
    <t>adaptacja pomieszczeń w budynku przy ul. Morskiej</t>
  </si>
  <si>
    <t>Gala Baletowa</t>
  </si>
  <si>
    <t>organizacja międzynarodowych warsztatów teatralnych</t>
  </si>
  <si>
    <t>Filharmonie, orkiestry, chóry i kapele</t>
  </si>
  <si>
    <t xml:space="preserve">Dotacja podmiotowa z budżetu dla samorządowej instytucji kultury w tym:  </t>
  </si>
  <si>
    <t>Międzynarodowy Festiwal Organowy</t>
  </si>
  <si>
    <t>"Lato Muzyczne z Filharmonią"</t>
  </si>
  <si>
    <t>Domy i ośrodki kultury, świetlice i kluby</t>
  </si>
  <si>
    <t>na imprezy</t>
  </si>
  <si>
    <t>Galeria "Scena"</t>
  </si>
  <si>
    <t>festiwal filmów Wł. Wysockiego</t>
  </si>
  <si>
    <t>Festiwal Pieśni Religijnej</t>
  </si>
  <si>
    <t xml:space="preserve">Modernizacja budynku MOK </t>
  </si>
  <si>
    <t>Biblioteki</t>
  </si>
  <si>
    <t>Almanach</t>
  </si>
  <si>
    <t>wydawnictwa - "Miesiąc w Koszalinie"</t>
  </si>
  <si>
    <t>"Roczniki Koszalińskie"</t>
  </si>
  <si>
    <t>Muzea</t>
  </si>
  <si>
    <t>odprawa emerytalna i nagrody jubileuszowe</t>
  </si>
  <si>
    <t>wystawa pt. "Mur Chiński"</t>
  </si>
  <si>
    <t>wydanie "Koszalińskich Zeszytów Muzealnych" i informator</t>
  </si>
  <si>
    <t>Dotacje celowe z budżetu na finansowanie  lub dofinansowanie kosztów realizacji inwestycji i zakupów inwestycyjnych  innych jednostek sektora finansów publicznych</t>
  </si>
  <si>
    <t>Ochrona zabytków i opieka nad zabytkami</t>
  </si>
  <si>
    <t>Zakup usług remontowo - konserwatorskich dotyczących obiektów zabytkowych będących w użytkowaniu jednostek budżetowych</t>
  </si>
  <si>
    <t>Nagrody o charakterze szczególnym niezaliczane do wynagrodzeń - KS</t>
  </si>
  <si>
    <t>KULTURA FIZYCZNA I SPORT</t>
  </si>
  <si>
    <t>Obiekty sportowe</t>
  </si>
  <si>
    <t xml:space="preserve">Bałtyk </t>
  </si>
  <si>
    <t>"Budowa Centrum rekreacyjno - sportowego w Koszalinie"</t>
  </si>
  <si>
    <t>Zadania w zakresie kultury fizycznej i sportu</t>
  </si>
  <si>
    <t xml:space="preserve">Pozostała działalność </t>
  </si>
  <si>
    <t>Zakup usług pozostałych - RO</t>
  </si>
  <si>
    <t>OGÓŁEM</t>
  </si>
  <si>
    <t>własne</t>
  </si>
  <si>
    <t xml:space="preserve">w tym: </t>
  </si>
  <si>
    <t>na podstawie porozumień          z jednostkami samorządu terytorialnego</t>
  </si>
  <si>
    <t>zlecone</t>
  </si>
  <si>
    <t xml:space="preserve">Dział rozdział § </t>
  </si>
  <si>
    <t xml:space="preserve">GMINA </t>
  </si>
  <si>
    <t>POWIAT</t>
  </si>
  <si>
    <t>WŁASNE</t>
  </si>
  <si>
    <t>Plan         
pierwotny</t>
  </si>
  <si>
    <t>% wyk. planu</t>
  </si>
  <si>
    <t>ROLNICTWO I ŁOWIECTWO</t>
  </si>
  <si>
    <t>2010</t>
  </si>
  <si>
    <t>Dotacje celowe otrzymane z budżetu państwa na realizację zadań bieżących z zakresu administracji rządowej zleconych gminom</t>
  </si>
  <si>
    <t>600</t>
  </si>
  <si>
    <t>TRANSPORT  I  ŁĄCZNOŚĆ</t>
  </si>
  <si>
    <t>60015</t>
  </si>
  <si>
    <t>0580</t>
  </si>
  <si>
    <t>Grzywny, mandaty i inne kary pieniężne od osób prawnych i innych jednostek organizacyjnych</t>
  </si>
  <si>
    <t>0870</t>
  </si>
  <si>
    <t xml:space="preserve">Wpływy z różnych dochodów </t>
  </si>
  <si>
    <t>6298</t>
  </si>
  <si>
    <t>60016</t>
  </si>
  <si>
    <t>Drogi publiczne gminne</t>
  </si>
  <si>
    <t>Grzywny i inne kary pieniężne od osób prawnych i innych jednostek organizacyjnych</t>
  </si>
  <si>
    <t>0970</t>
  </si>
  <si>
    <t>60053</t>
  </si>
  <si>
    <t>Infrastruktura telekominikacyjna</t>
  </si>
  <si>
    <t>60095</t>
  </si>
  <si>
    <t>2708</t>
  </si>
  <si>
    <t>700</t>
  </si>
  <si>
    <t>70005</t>
  </si>
  <si>
    <t>0470</t>
  </si>
  <si>
    <t xml:space="preserve">Wpływy z opłat za zarząd, użytkowanie i użytkowanie wieczyste nieruchomości  </t>
  </si>
  <si>
    <t>0690</t>
  </si>
  <si>
    <t>0750</t>
  </si>
  <si>
    <t>Dochody z najmu i dzierżawy składników majątkowych Skarbu Państwa, jst lub innych jednostek zaliczanych do sektora finansów publicznych</t>
  </si>
  <si>
    <t>0760</t>
  </si>
  <si>
    <t>Wpływy z tytułu przekształcenia prawa użytkowania wieczystego przysługującego osobom fizycznym w prawo własności</t>
  </si>
  <si>
    <t>0770</t>
  </si>
  <si>
    <t>Wpłaty z tytułu odpłatnego nabycia prawa własności  oraz prawa użytkowania wieczystego nieruchomości</t>
  </si>
  <si>
    <t>2110</t>
  </si>
  <si>
    <t>Dotacje celowe otrzymane z budżetu państwa na zadania bieżące z zakresu administracji rządowej oraz inne zadania zlecone ustawami realizowane przez powiat</t>
  </si>
  <si>
    <t>2360</t>
  </si>
  <si>
    <t>70095</t>
  </si>
  <si>
    <t>Wpływy z różnych dochodów</t>
  </si>
  <si>
    <t>710</t>
  </si>
  <si>
    <t>71013</t>
  </si>
  <si>
    <t>Prace geodezyjne i kartograficzne</t>
  </si>
  <si>
    <t>71014</t>
  </si>
  <si>
    <t>71015</t>
  </si>
  <si>
    <t xml:space="preserve">Nadzór  budowlany </t>
  </si>
  <si>
    <t>0920</t>
  </si>
  <si>
    <t xml:space="preserve">Pozostałe odsetki </t>
  </si>
  <si>
    <t>6410</t>
  </si>
  <si>
    <t>Dotacje celowe otrzymane z budżetu państwa na inwestycje i zakupy inwestycyjne z zakresu administracji rządowej oraz inne zadania zlecone ustawami realizowane przez powiat</t>
  </si>
  <si>
    <t>71035</t>
  </si>
  <si>
    <t>2020</t>
  </si>
  <si>
    <t xml:space="preserve">Dotacje celowe otrzymane z budżetu państwa na zadania bieżące realizowane przez gminę na podstawie porozumień z organami administracji rządowej  </t>
  </si>
  <si>
    <t>750</t>
  </si>
  <si>
    <t>ADMINISTRACJA  PUBLICZNA</t>
  </si>
  <si>
    <t>75011</t>
  </si>
  <si>
    <t>Urzędy wojewódzkie</t>
  </si>
  <si>
    <t>75020</t>
  </si>
  <si>
    <t>0420</t>
  </si>
  <si>
    <t>Wpływy z opłaty komunikacyjnej</t>
  </si>
  <si>
    <t>75023</t>
  </si>
  <si>
    <t>Urzędy gmin</t>
  </si>
  <si>
    <t>Dochody z najmu i dzierżawy składników majątkowych Skarbu Państwa, jst lub innych jednostek zaliczanych do sektora fin. publ.</t>
  </si>
  <si>
    <t>Wpływy ze sprzedaży składników majątkowych</t>
  </si>
  <si>
    <t>75045</t>
  </si>
  <si>
    <t>2120</t>
  </si>
  <si>
    <t>Dotacje celowe otrzymane z budżetu państwa na zadania bieżące realizowane przez powiat na podstawie porozumień z organami administracji rządowej</t>
  </si>
  <si>
    <t>75075</t>
  </si>
  <si>
    <t>75095</t>
  </si>
  <si>
    <t>0570</t>
  </si>
  <si>
    <t>751</t>
  </si>
  <si>
    <t>75101</t>
  </si>
  <si>
    <t>754</t>
  </si>
  <si>
    <t>75411</t>
  </si>
  <si>
    <t>Komendy  powiatowe Państwowej Straży Pożarnej</t>
  </si>
  <si>
    <t>Dochody jst związane z realizacją zadań z zakresu administracji rządowej oraz innych zadań zleconych ustawami</t>
  </si>
  <si>
    <t>2710</t>
  </si>
  <si>
    <t>75414</t>
  </si>
  <si>
    <t>Dotacje celowe otrzymane z budżetu państwa na zadania bieżące z zakresu administracji rządowej oraz inne zadania zlecone ustawami realizowane przez gminę</t>
  </si>
  <si>
    <t>756</t>
  </si>
  <si>
    <t xml:space="preserve">DOCHODY OD OSÓB PRAWNYCH, OD OSÓB  FIZYCZNYCH I OD INNYCH JEDNOSTEK NIEPOSIADAJĄCYCH OSOBOWOŚCI PRAWNEJ ORAZ WYDATKI ZWIĄZANE Z ICH POBOREM </t>
  </si>
  <si>
    <t>75601</t>
  </si>
  <si>
    <t>Wpływy z podatku dochodowego od osób fizycznych</t>
  </si>
  <si>
    <t>0350</t>
  </si>
  <si>
    <t>75615</t>
  </si>
  <si>
    <t>Wpływy z podatku rolnego, podatku leśnego, podatku od czynności cywilnoprawnych, podatków i opłat lokalnych od osób prawnych  i innych jednostek organizacyjnych</t>
  </si>
  <si>
    <t>0310</t>
  </si>
  <si>
    <t>0320</t>
  </si>
  <si>
    <t>Podatek rolny</t>
  </si>
  <si>
    <t>0330</t>
  </si>
  <si>
    <t>Podatek leśny</t>
  </si>
  <si>
    <t>0340</t>
  </si>
  <si>
    <t>Podatek od środków transportowych</t>
  </si>
  <si>
    <t>0430</t>
  </si>
  <si>
    <t>Wpływy z opłaty targowej</t>
  </si>
  <si>
    <t>0500</t>
  </si>
  <si>
    <t>Podatek od czynności cywilno-prawnych</t>
  </si>
  <si>
    <t>75616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</si>
  <si>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</si>
  <si>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</si>
  <si>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</si>
  <si>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0560</t>
  </si>
  <si>
    <t>Zaległości z podatków zniesionych</t>
  </si>
  <si>
    <t>2440</t>
  </si>
  <si>
    <t>Dotacje otrzymane z funduszy celowych na realizacje zadań bieżących jednostek sektora finansów publicznych</t>
  </si>
  <si>
    <t>75618</t>
  </si>
  <si>
    <t xml:space="preserve">Wpływy z innych opłat stanowiących dochody  j.s.t.  na podstawie ustaw </t>
  </si>
  <si>
    <t>0410</t>
  </si>
  <si>
    <t>Wpływy z opłaty skarbowej</t>
  </si>
  <si>
    <t>0480</t>
  </si>
  <si>
    <t>0490</t>
  </si>
  <si>
    <t>0910</t>
  </si>
  <si>
    <t>Odsetki od nieterminowych wpłat z tytułu podatków i opłat</t>
  </si>
  <si>
    <t>75621</t>
  </si>
  <si>
    <t>Udziały gmin w podatkach stanowiących dochód budżetu państwa</t>
  </si>
  <si>
    <t>0010</t>
  </si>
  <si>
    <t xml:space="preserve">Podatek dochodowy od osób fizycznych  </t>
  </si>
  <si>
    <t>0020</t>
  </si>
  <si>
    <t xml:space="preserve">Podatek dochodowy od osób prawnych  </t>
  </si>
  <si>
    <t>75622</t>
  </si>
  <si>
    <t>Udziały  powiatów  w podatkach stanowiących dochód budżetu państwa</t>
  </si>
  <si>
    <t xml:space="preserve">Podatek dochodowy od osób fizycznych </t>
  </si>
  <si>
    <t>75624</t>
  </si>
  <si>
    <t>Dywidendy</t>
  </si>
  <si>
    <t>0740</t>
  </si>
  <si>
    <t>Wpływy z dywidend</t>
  </si>
  <si>
    <t>75647</t>
  </si>
  <si>
    <t>Pobór podatków, opłat i nieopodatkowanych należności budżetowych</t>
  </si>
  <si>
    <t xml:space="preserve">Wpływy z różnych opłat </t>
  </si>
  <si>
    <t>758</t>
  </si>
  <si>
    <t>75801</t>
  </si>
  <si>
    <t>Część oświatowa subwencji ogólnej dla jednostek samorządu terytorialnego</t>
  </si>
  <si>
    <t>2920</t>
  </si>
  <si>
    <t>Subwencje ogólne z budżetu państwa</t>
  </si>
  <si>
    <t>6330</t>
  </si>
  <si>
    <t>71095</t>
  </si>
  <si>
    <t>Wpływy z różnych opłat (za karty wędkarskie)</t>
  </si>
  <si>
    <t>Grzywny, mandaty i inne kary pieniężne od ludności - SM</t>
  </si>
  <si>
    <t>Wpływy z innych lokalnych opłat pobieranych przez jednostki samorządu terytorialnego na podstawie odrębnych ustaw , z tego:</t>
  </si>
  <si>
    <t xml:space="preserve">opłaty za licencje na przewóz osób i rzeczy, Taxi, zezwolenia na linie komunikacji miejskiej, zaświadczenia i analizy (Km)   </t>
  </si>
  <si>
    <t>opłata prolongacyjna</t>
  </si>
  <si>
    <t>opłata adiacencka</t>
  </si>
  <si>
    <t>opłata planistyczna</t>
  </si>
  <si>
    <t>2707</t>
  </si>
  <si>
    <t>Środki na dofinansowanie własnych zadań bieżących gmin pozyskane z innych źródeł:</t>
  </si>
  <si>
    <t>Program Comenius</t>
  </si>
  <si>
    <t>85218</t>
  </si>
  <si>
    <t>85395</t>
  </si>
  <si>
    <t>"Start"</t>
  </si>
  <si>
    <t>2008</t>
  </si>
  <si>
    <t>2009</t>
  </si>
  <si>
    <t xml:space="preserve">Wpływy ze sprzedaży składników majątkowych </t>
  </si>
  <si>
    <t>92601</t>
  </si>
  <si>
    <t>Moje Boisko Orlik - 2012</t>
  </si>
  <si>
    <t>6300</t>
  </si>
  <si>
    <t xml:space="preserve">Dotacje celowe przekazane z budżetu państwa na realizację inwestycji i zakupów inwestycyjnych własnych gmin </t>
  </si>
  <si>
    <t>POROZUMIENIA Z ORGANAMI ADMINISTRACJI RZĄDOWEJ</t>
  </si>
  <si>
    <t>Autor dokumentu: Sylwia Szpak</t>
  </si>
  <si>
    <t>Autor dokumentu: Małgorzata Liwak</t>
  </si>
  <si>
    <t>75814</t>
  </si>
  <si>
    <t>Różne rozliczenia finansowe</t>
  </si>
  <si>
    <t>75831</t>
  </si>
  <si>
    <t>Część równoważąca subwencji ogólnej dla  gmin</t>
  </si>
  <si>
    <t>75832</t>
  </si>
  <si>
    <t>Część równoważąca subwencji ogólnej dla  powiatów</t>
  </si>
  <si>
    <t>801</t>
  </si>
  <si>
    <t>80101</t>
  </si>
  <si>
    <t>0830</t>
  </si>
  <si>
    <t>Wpływy z usług</t>
  </si>
  <si>
    <t>2030</t>
  </si>
  <si>
    <t>80102</t>
  </si>
  <si>
    <t>Wpływy z różnych opłat</t>
  </si>
  <si>
    <t>80104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</si>
</sst>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30">
    <font>
      <sz val="10"/>
      <name val="Arial CE"/>
      <family val="0"/>
    </font>
    <font>
      <i/>
      <sz val="7"/>
      <name val="Times New Roman CE"/>
      <family val="1"/>
    </font>
    <font>
      <b/>
      <i/>
      <sz val="9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Calibri"/>
      <family val="2"/>
    </font>
    <font>
      <sz val="7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7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i/>
      <sz val="9"/>
      <name val="Calibri"/>
      <family val="2"/>
    </font>
    <font>
      <i/>
      <sz val="7"/>
      <name val="Calibri"/>
      <family val="2"/>
    </font>
    <font>
      <i/>
      <sz val="10"/>
      <name val="Calibri"/>
      <family val="2"/>
    </font>
    <font>
      <b/>
      <i/>
      <sz val="8"/>
      <name val="Calibri"/>
      <family val="2"/>
    </font>
    <font>
      <sz val="8.5"/>
      <name val="Calibri"/>
      <family val="2"/>
    </font>
    <font>
      <b/>
      <sz val="10"/>
      <name val="Calibri"/>
      <family val="2"/>
    </font>
    <font>
      <b/>
      <i/>
      <sz val="9"/>
      <name val="Calibri"/>
      <family val="2"/>
    </font>
    <font>
      <b/>
      <i/>
      <sz val="10"/>
      <name val="Calibri"/>
      <family val="2"/>
    </font>
    <font>
      <b/>
      <i/>
      <sz val="8.5"/>
      <name val="Calibri"/>
      <family val="2"/>
    </font>
    <font>
      <sz val="8"/>
      <color indexed="10"/>
      <name val="Calibri"/>
      <family val="2"/>
    </font>
    <font>
      <b/>
      <i/>
      <sz val="7"/>
      <name val="Calibri"/>
      <family val="2"/>
    </font>
    <font>
      <b/>
      <sz val="14"/>
      <name val="Calibri"/>
      <family val="2"/>
    </font>
  </fonts>
  <fills count="2">
    <fill>
      <patternFill/>
    </fill>
    <fill>
      <patternFill patternType="gray125"/>
    </fill>
  </fills>
  <borders count="85">
    <border>
      <left/>
      <right/>
      <top/>
      <bottom/>
      <diagonal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8">
    <xf numFmtId="0" fontId="0" fillId="0" borderId="0" xfId="0" applyAlignment="1">
      <alignment/>
    </xf>
    <xf numFmtId="0" fontId="3" fillId="0" borderId="0" xfId="0" applyFont="1" applyAlignment="1">
      <alignment/>
    </xf>
    <xf numFmtId="49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1" fontId="9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Alignment="1">
      <alignment/>
    </xf>
    <xf numFmtId="49" fontId="11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0" xfId="0" applyNumberFormat="1" applyFont="1" applyFill="1" applyBorder="1" applyAlignment="1" applyProtection="1">
      <alignment horizontal="centerContinuous"/>
      <protection locked="0"/>
    </xf>
    <xf numFmtId="0" fontId="9" fillId="0" borderId="1" xfId="0" applyNumberFormat="1" applyFont="1" applyFill="1" applyBorder="1" applyAlignment="1" applyProtection="1">
      <alignment horizontal="centerContinuous"/>
      <protection locked="0"/>
    </xf>
    <xf numFmtId="0" fontId="6" fillId="0" borderId="2" xfId="0" applyNumberFormat="1" applyFont="1" applyFill="1" applyBorder="1" applyAlignment="1" applyProtection="1">
      <alignment horizontal="centerContinuous"/>
      <protection locked="0"/>
    </xf>
    <xf numFmtId="1" fontId="6" fillId="0" borderId="3" xfId="0" applyNumberFormat="1" applyFont="1" applyFill="1" applyBorder="1" applyAlignment="1" applyProtection="1">
      <alignment horizontal="centerContinuous"/>
      <protection locked="0"/>
    </xf>
    <xf numFmtId="1" fontId="6" fillId="0" borderId="4" xfId="0" applyNumberFormat="1" applyFont="1" applyFill="1" applyBorder="1" applyAlignment="1" applyProtection="1">
      <alignment horizontal="centerContinuous"/>
      <protection locked="0"/>
    </xf>
    <xf numFmtId="1" fontId="6" fillId="0" borderId="5" xfId="0" applyNumberFormat="1" applyFont="1" applyFill="1" applyBorder="1" applyAlignment="1" applyProtection="1">
      <alignment horizontal="centerContinuous"/>
      <protection locked="0"/>
    </xf>
    <xf numFmtId="1" fontId="7" fillId="0" borderId="5" xfId="0" applyNumberFormat="1" applyFont="1" applyFill="1" applyBorder="1" applyAlignment="1" applyProtection="1">
      <alignment horizontal="centerContinuous"/>
      <protection locked="0"/>
    </xf>
    <xf numFmtId="1" fontId="6" fillId="0" borderId="6" xfId="0" applyNumberFormat="1" applyFont="1" applyFill="1" applyBorder="1" applyAlignment="1" applyProtection="1">
      <alignment horizontal="centerContinuous"/>
      <protection locked="0"/>
    </xf>
    <xf numFmtId="1" fontId="9" fillId="0" borderId="4" xfId="0" applyNumberFormat="1" applyFont="1" applyFill="1" applyBorder="1" applyAlignment="1" applyProtection="1">
      <alignment horizontal="centerContinuous"/>
      <protection locked="0"/>
    </xf>
    <xf numFmtId="1" fontId="8" fillId="0" borderId="0" xfId="0" applyNumberFormat="1" applyFont="1" applyFill="1" applyBorder="1" applyAlignment="1" applyProtection="1">
      <alignment horizontal="centerContinuous"/>
      <protection locked="0"/>
    </xf>
    <xf numFmtId="1" fontId="9" fillId="0" borderId="0" xfId="0" applyNumberFormat="1" applyFont="1" applyFill="1" applyBorder="1" applyAlignment="1" applyProtection="1">
      <alignment horizontal="left" wrapText="1"/>
      <protection locked="0"/>
    </xf>
    <xf numFmtId="1" fontId="9" fillId="0" borderId="0" xfId="0" applyNumberFormat="1" applyFont="1" applyFill="1" applyBorder="1" applyAlignment="1" applyProtection="1">
      <alignment horizontal="left"/>
      <protection locked="0"/>
    </xf>
    <xf numFmtId="1" fontId="12" fillId="0" borderId="0" xfId="0" applyNumberFormat="1" applyFont="1" applyFill="1" applyBorder="1" applyAlignment="1" applyProtection="1">
      <alignment horizontal="left"/>
      <protection locked="0"/>
    </xf>
    <xf numFmtId="49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9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165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165" fontId="1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/>
    </xf>
    <xf numFmtId="165" fontId="9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3" fontId="12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12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27" xfId="0" applyNumberFormat="1" applyFont="1" applyFill="1" applyBorder="1" applyAlignment="1" applyProtection="1">
      <alignment horizontal="centerContinuous" vertical="center" wrapText="1"/>
      <protection locked="0"/>
    </xf>
    <xf numFmtId="165" fontId="12" fillId="0" borderId="7" xfId="0" applyNumberFormat="1" applyFont="1" applyFill="1" applyBorder="1" applyAlignment="1" applyProtection="1">
      <alignment horizontal="center" vertical="center" wrapText="1"/>
      <protection locked="0"/>
    </xf>
    <xf numFmtId="165" fontId="12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1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8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1" fontId="7" fillId="0" borderId="8" xfId="0" applyNumberFormat="1" applyFont="1" applyFill="1" applyBorder="1" applyAlignment="1" applyProtection="1">
      <alignment horizontal="centerContinuous" vertical="center" wrapText="1"/>
      <protection locked="0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29" xfId="0" applyNumberFormat="1" applyFont="1" applyFill="1" applyBorder="1" applyAlignment="1" applyProtection="1">
      <alignment horizontal="left" vertical="center" wrapText="1"/>
      <protection locked="0"/>
    </xf>
    <xf numFmtId="1" fontId="9" fillId="0" borderId="9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30" xfId="0" applyNumberFormat="1" applyFont="1" applyFill="1" applyBorder="1" applyAlignment="1" applyProtection="1">
      <alignment vertical="center" wrapText="1"/>
      <protection locked="0"/>
    </xf>
    <xf numFmtId="3" fontId="9" fillId="0" borderId="28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7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28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8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7" xfId="0" applyNumberFormat="1" applyFont="1" applyFill="1" applyBorder="1" applyAlignment="1" applyProtection="1">
      <alignment horizontal="right" vertical="center" wrapText="1"/>
      <protection locked="0"/>
    </xf>
    <xf numFmtId="165" fontId="12" fillId="0" borderId="8" xfId="0" applyNumberFormat="1" applyFont="1" applyFill="1" applyBorder="1" applyAlignment="1" applyProtection="1">
      <alignment horizontal="right" vertical="center" wrapText="1"/>
      <protection locked="0"/>
    </xf>
    <xf numFmtId="1" fontId="1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left"/>
    </xf>
    <xf numFmtId="49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31" xfId="0" applyNumberFormat="1" applyFont="1" applyFill="1" applyBorder="1" applyAlignment="1" applyProtection="1">
      <alignment horizontal="left" vertical="center" wrapText="1"/>
      <protection locked="0"/>
    </xf>
    <xf numFmtId="1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3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32" xfId="0" applyNumberFormat="1" applyFont="1" applyFill="1" applyBorder="1" applyAlignment="1" applyProtection="1">
      <alignment horizontal="right" vertical="center" wrapText="1"/>
      <protection locked="0"/>
    </xf>
    <xf numFmtId="165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33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32" xfId="0" applyNumberFormat="1" applyFont="1" applyFill="1" applyBorder="1" applyAlignment="1" applyProtection="1">
      <alignment horizontal="right" vertical="center" wrapText="1"/>
      <protection locked="0"/>
    </xf>
    <xf numFmtId="1" fontId="9" fillId="0" borderId="34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33" xfId="0" applyNumberFormat="1" applyFont="1" applyFill="1" applyBorder="1" applyAlignment="1" applyProtection="1">
      <alignment horizontal="right" vertical="center" wrapText="1"/>
      <protection locked="0"/>
    </xf>
    <xf numFmtId="165" fontId="12" fillId="0" borderId="34" xfId="0" applyNumberFormat="1" applyFont="1" applyFill="1" applyBorder="1" applyAlignment="1" applyProtection="1">
      <alignment horizontal="right" vertical="center" wrapText="1"/>
      <protection locked="0"/>
    </xf>
    <xf numFmtId="1" fontId="16" fillId="0" borderId="3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>
      <alignment vertical="center" wrapText="1"/>
      <protection locked="0"/>
    </xf>
    <xf numFmtId="1" fontId="8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6" xfId="0" applyNumberFormat="1" applyFont="1" applyFill="1" applyBorder="1" applyAlignment="1" applyProtection="1">
      <alignment vertical="center" wrapText="1"/>
      <protection locked="0"/>
    </xf>
    <xf numFmtId="3" fontId="6" fillId="0" borderId="6" xfId="0" applyNumberFormat="1" applyFont="1" applyFill="1" applyBorder="1" applyAlignment="1" applyProtection="1">
      <alignment vertical="center" wrapText="1"/>
      <protection locked="0"/>
    </xf>
    <xf numFmtId="165" fontId="8" fillId="0" borderId="22" xfId="0" applyNumberFormat="1" applyFont="1" applyFill="1" applyBorder="1" applyAlignment="1" applyProtection="1">
      <alignment horizontal="right" vertical="center" wrapText="1"/>
      <protection locked="0"/>
    </xf>
    <xf numFmtId="1" fontId="8" fillId="0" borderId="35" xfId="0" applyNumberFormat="1" applyFont="1" applyFill="1" applyBorder="1" applyAlignment="1" applyProtection="1">
      <alignment horizontal="right" vertical="center" wrapText="1"/>
      <protection locked="0"/>
    </xf>
    <xf numFmtId="1" fontId="8" fillId="0" borderId="36" xfId="0" applyNumberFormat="1" applyFont="1" applyFill="1" applyBorder="1" applyAlignment="1" applyProtection="1">
      <alignment horizontal="right" vertical="center" wrapText="1"/>
      <protection locked="0"/>
    </xf>
    <xf numFmtId="1" fontId="8" fillId="0" borderId="37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5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36" xfId="0" applyNumberFormat="1" applyFont="1" applyFill="1" applyBorder="1" applyAlignment="1" applyProtection="1">
      <alignment horizontal="right" vertical="center" wrapText="1"/>
      <protection locked="0"/>
    </xf>
    <xf numFmtId="165" fontId="7" fillId="0" borderId="37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38" xfId="0" applyNumberFormat="1" applyFont="1" applyFill="1" applyBorder="1" applyAlignment="1" applyProtection="1">
      <alignment horizontal="centerContinuous" vertical="center"/>
      <protection locked="0"/>
    </xf>
    <xf numFmtId="0" fontId="9" fillId="0" borderId="39" xfId="0" applyNumberFormat="1" applyFont="1" applyFill="1" applyBorder="1" applyAlignment="1" applyProtection="1">
      <alignment vertical="center" wrapText="1"/>
      <protection locked="0"/>
    </xf>
    <xf numFmtId="3" fontId="9" fillId="0" borderId="38" xfId="0" applyNumberFormat="1" applyFont="1" applyFill="1" applyBorder="1" applyAlignment="1" applyProtection="1">
      <alignment vertical="center"/>
      <protection locked="0"/>
    </xf>
    <xf numFmtId="3" fontId="9" fillId="0" borderId="30" xfId="0" applyNumberFormat="1" applyFont="1" applyFill="1" applyBorder="1" applyAlignment="1" applyProtection="1">
      <alignment vertical="center" wrapText="1"/>
      <protection locked="0"/>
    </xf>
    <xf numFmtId="3" fontId="9" fillId="0" borderId="30" xfId="0" applyNumberFormat="1" applyFont="1" applyFill="1" applyBorder="1" applyAlignment="1" applyProtection="1">
      <alignment vertical="center"/>
      <protection locked="0"/>
    </xf>
    <xf numFmtId="164" fontId="16" fillId="0" borderId="40" xfId="0" applyNumberFormat="1" applyFont="1" applyFill="1" applyBorder="1" applyAlignment="1" applyProtection="1">
      <alignment vertical="center" wrapText="1"/>
      <protection locked="0"/>
    </xf>
    <xf numFmtId="164" fontId="16" fillId="0" borderId="41" xfId="0" applyNumberFormat="1" applyFont="1" applyFill="1" applyBorder="1" applyAlignment="1" applyProtection="1">
      <alignment vertical="center" wrapText="1"/>
      <protection locked="0"/>
    </xf>
    <xf numFmtId="3" fontId="9" fillId="0" borderId="42" xfId="0" applyNumberFormat="1" applyFont="1" applyFill="1" applyBorder="1" applyAlignment="1" applyProtection="1">
      <alignment vertical="center"/>
      <protection locked="0"/>
    </xf>
    <xf numFmtId="164" fontId="12" fillId="0" borderId="41" xfId="0" applyNumberFormat="1" applyFont="1" applyFill="1" applyBorder="1" applyAlignment="1" applyProtection="1">
      <alignment vertical="center"/>
      <protection locked="0"/>
    </xf>
    <xf numFmtId="164" fontId="16" fillId="0" borderId="41" xfId="0" applyNumberFormat="1" applyFont="1" applyFill="1" applyBorder="1" applyAlignment="1" applyProtection="1">
      <alignment vertical="center"/>
      <protection locked="0"/>
    </xf>
    <xf numFmtId="49" fontId="9" fillId="0" borderId="12" xfId="0" applyNumberFormat="1" applyFont="1" applyFill="1" applyBorder="1" applyAlignment="1" applyProtection="1">
      <alignment horizontal="centerContinuous" vertical="center"/>
      <protection locked="0"/>
    </xf>
    <xf numFmtId="0" fontId="9" fillId="0" borderId="31" xfId="0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vertical="center"/>
      <protection locked="0"/>
    </xf>
    <xf numFmtId="3" fontId="9" fillId="0" borderId="32" xfId="0" applyNumberFormat="1" applyFont="1" applyFill="1" applyBorder="1" applyAlignment="1" applyProtection="1">
      <alignment vertical="center" wrapText="1"/>
      <protection locked="0"/>
    </xf>
    <xf numFmtId="3" fontId="9" fillId="0" borderId="32" xfId="0" applyNumberFormat="1" applyFont="1" applyFill="1" applyBorder="1" applyAlignment="1" applyProtection="1">
      <alignment vertical="center"/>
      <protection locked="0"/>
    </xf>
    <xf numFmtId="164" fontId="16" fillId="0" borderId="14" xfId="0" applyNumberFormat="1" applyFont="1" applyFill="1" applyBorder="1" applyAlignment="1" applyProtection="1">
      <alignment vertical="center" wrapText="1"/>
      <protection locked="0"/>
    </xf>
    <xf numFmtId="3" fontId="9" fillId="0" borderId="43" xfId="0" applyNumberFormat="1" applyFont="1" applyFill="1" applyBorder="1" applyAlignment="1" applyProtection="1">
      <alignment vertical="center"/>
      <protection locked="0"/>
    </xf>
    <xf numFmtId="164" fontId="16" fillId="0" borderId="34" xfId="0" applyNumberFormat="1" applyFont="1" applyFill="1" applyBorder="1" applyAlignment="1" applyProtection="1">
      <alignment vertical="center" wrapText="1"/>
      <protection locked="0"/>
    </xf>
    <xf numFmtId="3" fontId="9" fillId="0" borderId="33" xfId="0" applyNumberFormat="1" applyFont="1" applyFill="1" applyBorder="1" applyAlignment="1" applyProtection="1">
      <alignment vertical="center"/>
      <protection locked="0"/>
    </xf>
    <xf numFmtId="164" fontId="12" fillId="0" borderId="34" xfId="0" applyNumberFormat="1" applyFont="1" applyFill="1" applyBorder="1" applyAlignment="1" applyProtection="1">
      <alignment vertical="center"/>
      <protection locked="0"/>
    </xf>
    <xf numFmtId="164" fontId="16" fillId="0" borderId="34" xfId="0" applyNumberFormat="1" applyFont="1" applyFill="1" applyBorder="1" applyAlignment="1" applyProtection="1">
      <alignment vertical="center"/>
      <protection locked="0"/>
    </xf>
    <xf numFmtId="49" fontId="6" fillId="0" borderId="26" xfId="0" applyNumberFormat="1" applyFont="1" applyFill="1" applyBorder="1" applyAlignment="1" applyProtection="1">
      <alignment horizontal="centerContinuous" vertical="center"/>
      <protection locked="0"/>
    </xf>
    <xf numFmtId="0" fontId="6" fillId="0" borderId="4" xfId="0" applyNumberFormat="1" applyFont="1" applyFill="1" applyBorder="1" applyAlignment="1" applyProtection="1">
      <alignment vertical="center" wrapText="1"/>
      <protection locked="0"/>
    </xf>
    <xf numFmtId="3" fontId="6" fillId="0" borderId="26" xfId="0" applyNumberFormat="1" applyFont="1" applyFill="1" applyBorder="1" applyAlignment="1" applyProtection="1">
      <alignment vertical="center"/>
      <protection locked="0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164" fontId="8" fillId="0" borderId="27" xfId="0" applyNumberFormat="1" applyFont="1" applyFill="1" applyBorder="1" applyAlignment="1" applyProtection="1">
      <alignment vertical="center" wrapText="1"/>
      <protection locked="0"/>
    </xf>
    <xf numFmtId="3" fontId="6" fillId="0" borderId="3" xfId="0" applyNumberFormat="1" applyFont="1" applyFill="1" applyBorder="1" applyAlignment="1" applyProtection="1">
      <alignment vertical="center"/>
      <protection locked="0"/>
    </xf>
    <xf numFmtId="164" fontId="8" fillId="0" borderId="16" xfId="0" applyNumberFormat="1" applyFont="1" applyFill="1" applyBorder="1" applyAlignment="1" applyProtection="1">
      <alignment vertical="center" wrapText="1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164" fontId="7" fillId="0" borderId="16" xfId="0" applyNumberFormat="1" applyFont="1" applyFill="1" applyBorder="1" applyAlignment="1" applyProtection="1">
      <alignment vertical="center"/>
      <protection locked="0"/>
    </xf>
    <xf numFmtId="164" fontId="8" fillId="0" borderId="16" xfId="0" applyNumberFormat="1" applyFont="1" applyFill="1" applyBorder="1" applyAlignment="1" applyProtection="1">
      <alignment vertical="center"/>
      <protection locked="0"/>
    </xf>
    <xf numFmtId="49" fontId="9" fillId="0" borderId="44" xfId="0" applyNumberFormat="1" applyFont="1" applyFill="1" applyBorder="1" applyAlignment="1" applyProtection="1">
      <alignment horizontal="centerContinuous" vertical="center"/>
      <protection locked="0"/>
    </xf>
    <xf numFmtId="0" fontId="9" fillId="0" borderId="45" xfId="0" applyNumberFormat="1" applyFont="1" applyFill="1" applyBorder="1" applyAlignment="1" applyProtection="1">
      <alignment vertical="center" wrapText="1"/>
      <protection locked="0"/>
    </xf>
    <xf numFmtId="3" fontId="9" fillId="0" borderId="44" xfId="0" applyNumberFormat="1" applyFont="1" applyFill="1" applyBorder="1" applyAlignment="1" applyProtection="1">
      <alignment vertical="center" wrapText="1"/>
      <protection locked="0"/>
    </xf>
    <xf numFmtId="3" fontId="9" fillId="0" borderId="46" xfId="0" applyNumberFormat="1" applyFont="1" applyFill="1" applyBorder="1" applyAlignment="1" applyProtection="1">
      <alignment vertical="center" wrapText="1"/>
      <protection locked="0"/>
    </xf>
    <xf numFmtId="164" fontId="16" fillId="0" borderId="45" xfId="0" applyNumberFormat="1" applyFont="1" applyFill="1" applyBorder="1" applyAlignment="1" applyProtection="1">
      <alignment vertical="center" wrapText="1"/>
      <protection locked="0"/>
    </xf>
    <xf numFmtId="3" fontId="9" fillId="0" borderId="47" xfId="0" applyNumberFormat="1" applyFont="1" applyFill="1" applyBorder="1" applyAlignment="1" applyProtection="1">
      <alignment vertical="center"/>
      <protection locked="0"/>
    </xf>
    <xf numFmtId="3" fontId="9" fillId="0" borderId="46" xfId="0" applyNumberFormat="1" applyFont="1" applyFill="1" applyBorder="1" applyAlignment="1" applyProtection="1">
      <alignment vertical="center"/>
      <protection locked="0"/>
    </xf>
    <xf numFmtId="164" fontId="12" fillId="0" borderId="45" xfId="0" applyNumberFormat="1" applyFont="1" applyFill="1" applyBorder="1" applyAlignment="1" applyProtection="1">
      <alignment vertical="center"/>
      <protection locked="0"/>
    </xf>
    <xf numFmtId="3" fontId="9" fillId="0" borderId="47" xfId="0" applyNumberFormat="1" applyFont="1" applyFill="1" applyBorder="1" applyAlignment="1" applyProtection="1">
      <alignment vertical="center" wrapText="1"/>
      <protection locked="0"/>
    </xf>
    <xf numFmtId="164" fontId="16" fillId="0" borderId="45" xfId="0" applyNumberFormat="1" applyFont="1" applyFill="1" applyBorder="1" applyAlignment="1" applyProtection="1">
      <alignment vertical="center"/>
      <protection locked="0"/>
    </xf>
    <xf numFmtId="3" fontId="6" fillId="0" borderId="26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Border="1" applyAlignment="1">
      <alignment/>
    </xf>
    <xf numFmtId="49" fontId="17" fillId="0" borderId="26" xfId="0" applyNumberFormat="1" applyFont="1" applyFill="1" applyBorder="1" applyAlignment="1" applyProtection="1">
      <alignment horizontal="centerContinuous" vertical="center"/>
      <protection locked="0"/>
    </xf>
    <xf numFmtId="0" fontId="17" fillId="0" borderId="4" xfId="0" applyNumberFormat="1" applyFont="1" applyFill="1" applyBorder="1" applyAlignment="1" applyProtection="1">
      <alignment vertical="center" wrapText="1"/>
      <protection locked="0"/>
    </xf>
    <xf numFmtId="3" fontId="18" fillId="0" borderId="26" xfId="0" applyNumberFormat="1" applyFont="1" applyFill="1" applyBorder="1" applyAlignment="1" applyProtection="1">
      <alignment vertical="center" wrapText="1"/>
      <protection locked="0"/>
    </xf>
    <xf numFmtId="3" fontId="18" fillId="0" borderId="6" xfId="0" applyNumberFormat="1" applyFont="1" applyFill="1" applyBorder="1" applyAlignment="1" applyProtection="1">
      <alignment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 locked="0"/>
    </xf>
    <xf numFmtId="3" fontId="18" fillId="0" borderId="15" xfId="0" applyNumberFormat="1" applyFont="1" applyFill="1" applyBorder="1" applyAlignment="1" applyProtection="1">
      <alignment vertical="center"/>
      <protection locked="0"/>
    </xf>
    <xf numFmtId="3" fontId="18" fillId="0" borderId="6" xfId="0" applyNumberFormat="1" applyFont="1" applyFill="1" applyBorder="1" applyAlignment="1" applyProtection="1">
      <alignment vertical="center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/>
      <protection locked="0"/>
    </xf>
    <xf numFmtId="3" fontId="17" fillId="0" borderId="6" xfId="0" applyNumberFormat="1" applyFont="1" applyFill="1" applyBorder="1" applyAlignment="1" applyProtection="1">
      <alignment vertical="center"/>
      <protection locked="0"/>
    </xf>
    <xf numFmtId="164" fontId="17" fillId="0" borderId="16" xfId="0" applyNumberFormat="1" applyFont="1" applyFill="1" applyBorder="1" applyAlignment="1" applyProtection="1">
      <alignment vertical="center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Border="1" applyAlignment="1">
      <alignment/>
    </xf>
    <xf numFmtId="49" fontId="17" fillId="0" borderId="48" xfId="0" applyNumberFormat="1" applyFont="1" applyFill="1" applyBorder="1" applyAlignment="1" applyProtection="1">
      <alignment horizontal="centerContinuous" vertical="center"/>
      <protection locked="0"/>
    </xf>
    <xf numFmtId="0" fontId="17" fillId="0" borderId="49" xfId="0" applyNumberFormat="1" applyFont="1" applyFill="1" applyBorder="1" applyAlignment="1" applyProtection="1">
      <alignment vertical="center" wrapText="1"/>
      <protection locked="0"/>
    </xf>
    <xf numFmtId="3" fontId="18" fillId="0" borderId="48" xfId="0" applyNumberFormat="1" applyFont="1" applyFill="1" applyBorder="1" applyAlignment="1" applyProtection="1">
      <alignment vertical="center" wrapText="1"/>
      <protection locked="0"/>
    </xf>
    <xf numFmtId="3" fontId="18" fillId="0" borderId="50" xfId="0" applyNumberFormat="1" applyFont="1" applyFill="1" applyBorder="1" applyAlignment="1" applyProtection="1">
      <alignment vertical="center" wrapText="1"/>
      <protection locked="0"/>
    </xf>
    <xf numFmtId="164" fontId="18" fillId="0" borderId="51" xfId="0" applyNumberFormat="1" applyFont="1" applyFill="1" applyBorder="1" applyAlignment="1" applyProtection="1">
      <alignment vertical="center" wrapText="1"/>
      <protection locked="0"/>
    </xf>
    <xf numFmtId="3" fontId="18" fillId="0" borderId="52" xfId="0" applyNumberFormat="1" applyFont="1" applyFill="1" applyBorder="1" applyAlignment="1" applyProtection="1">
      <alignment vertical="center"/>
      <protection locked="0"/>
    </xf>
    <xf numFmtId="3" fontId="18" fillId="0" borderId="50" xfId="0" applyNumberFormat="1" applyFont="1" applyFill="1" applyBorder="1" applyAlignment="1" applyProtection="1">
      <alignment vertical="center"/>
      <protection locked="0"/>
    </xf>
    <xf numFmtId="164" fontId="18" fillId="0" borderId="53" xfId="0" applyNumberFormat="1" applyFont="1" applyFill="1" applyBorder="1" applyAlignment="1" applyProtection="1">
      <alignment vertical="center" wrapText="1"/>
      <protection locked="0"/>
    </xf>
    <xf numFmtId="164" fontId="18" fillId="0" borderId="53" xfId="0" applyNumberFormat="1" applyFont="1" applyFill="1" applyBorder="1" applyAlignment="1" applyProtection="1">
      <alignment vertical="center"/>
      <protection locked="0"/>
    </xf>
    <xf numFmtId="3" fontId="17" fillId="0" borderId="50" xfId="0" applyNumberFormat="1" applyFont="1" applyFill="1" applyBorder="1" applyAlignment="1" applyProtection="1">
      <alignment vertical="center"/>
      <protection locked="0"/>
    </xf>
    <xf numFmtId="164" fontId="17" fillId="0" borderId="53" xfId="0" applyNumberFormat="1" applyFont="1" applyFill="1" applyBorder="1" applyAlignment="1" applyProtection="1">
      <alignment vertical="center"/>
      <protection locked="0"/>
    </xf>
    <xf numFmtId="3" fontId="17" fillId="0" borderId="52" xfId="0" applyNumberFormat="1" applyFont="1" applyFill="1" applyBorder="1" applyAlignment="1" applyProtection="1">
      <alignment vertical="center"/>
      <protection locked="0"/>
    </xf>
    <xf numFmtId="49" fontId="18" fillId="0" borderId="26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27" xfId="0" applyNumberFormat="1" applyFont="1" applyFill="1" applyBorder="1" applyAlignment="1" applyProtection="1">
      <alignment vertical="center" wrapText="1"/>
      <protection locked="0"/>
    </xf>
    <xf numFmtId="164" fontId="17" fillId="0" borderId="16" xfId="0" applyNumberFormat="1" applyFont="1" applyFill="1" applyBorder="1" applyAlignment="1" applyProtection="1">
      <alignment vertical="center" wrapText="1"/>
      <protection locked="0"/>
    </xf>
    <xf numFmtId="164" fontId="19" fillId="0" borderId="16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Border="1" applyAlignment="1">
      <alignment/>
    </xf>
    <xf numFmtId="49" fontId="18" fillId="0" borderId="48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51" xfId="0" applyNumberFormat="1" applyFont="1" applyFill="1" applyBorder="1" applyAlignment="1" applyProtection="1">
      <alignment vertical="center" wrapText="1"/>
      <protection locked="0"/>
    </xf>
    <xf numFmtId="164" fontId="17" fillId="0" borderId="53" xfId="0" applyNumberFormat="1" applyFont="1" applyFill="1" applyBorder="1" applyAlignment="1" applyProtection="1">
      <alignment vertical="center" wrapText="1"/>
      <protection locked="0"/>
    </xf>
    <xf numFmtId="164" fontId="19" fillId="0" borderId="53" xfId="0" applyNumberFormat="1" applyFont="1" applyFill="1" applyBorder="1" applyAlignment="1" applyProtection="1">
      <alignment vertical="center"/>
      <protection locked="0"/>
    </xf>
    <xf numFmtId="164" fontId="12" fillId="0" borderId="54" xfId="0" applyNumberFormat="1" applyFont="1" applyFill="1" applyBorder="1" applyAlignment="1" applyProtection="1">
      <alignment vertical="center" wrapText="1"/>
      <protection locked="0"/>
    </xf>
    <xf numFmtId="49" fontId="6" fillId="0" borderId="55" xfId="0" applyNumberFormat="1" applyFont="1" applyFill="1" applyBorder="1" applyAlignment="1" applyProtection="1">
      <alignment horizontal="centerContinuous" vertical="center"/>
      <protection locked="0"/>
    </xf>
    <xf numFmtId="0" fontId="6" fillId="0" borderId="56" xfId="0" applyNumberFormat="1" applyFont="1" applyFill="1" applyBorder="1" applyAlignment="1" applyProtection="1">
      <alignment vertical="center" wrapText="1"/>
      <protection locked="0"/>
    </xf>
    <xf numFmtId="3" fontId="6" fillId="0" borderId="55" xfId="0" applyNumberFormat="1" applyFont="1" applyFill="1" applyBorder="1" applyAlignment="1" applyProtection="1">
      <alignment vertical="center" wrapText="1"/>
      <protection locked="0"/>
    </xf>
    <xf numFmtId="3" fontId="6" fillId="0" borderId="57" xfId="0" applyNumberFormat="1" applyFont="1" applyFill="1" applyBorder="1" applyAlignment="1" applyProtection="1">
      <alignment vertical="center" wrapText="1"/>
      <protection locked="0"/>
    </xf>
    <xf numFmtId="164" fontId="8" fillId="0" borderId="56" xfId="0" applyNumberFormat="1" applyFont="1" applyFill="1" applyBorder="1" applyAlignment="1" applyProtection="1">
      <alignment vertical="center" wrapText="1"/>
      <protection locked="0"/>
    </xf>
    <xf numFmtId="3" fontId="6" fillId="0" borderId="58" xfId="0" applyNumberFormat="1" applyFont="1" applyFill="1" applyBorder="1" applyAlignment="1" applyProtection="1">
      <alignment vertical="center"/>
      <protection locked="0"/>
    </xf>
    <xf numFmtId="3" fontId="6" fillId="0" borderId="57" xfId="0" applyNumberFormat="1" applyFont="1" applyFill="1" applyBorder="1" applyAlignment="1" applyProtection="1">
      <alignment vertical="center"/>
      <protection locked="0"/>
    </xf>
    <xf numFmtId="164" fontId="7" fillId="0" borderId="56" xfId="0" applyNumberFormat="1" applyFont="1" applyFill="1" applyBorder="1" applyAlignment="1" applyProtection="1">
      <alignment vertical="center"/>
      <protection locked="0"/>
    </xf>
    <xf numFmtId="164" fontId="8" fillId="0" borderId="56" xfId="0" applyNumberFormat="1" applyFont="1" applyFill="1" applyBorder="1" applyAlignment="1" applyProtection="1">
      <alignment vertical="center"/>
      <protection locked="0"/>
    </xf>
    <xf numFmtId="0" fontId="6" fillId="0" borderId="45" xfId="0" applyNumberFormat="1" applyFont="1" applyFill="1" applyBorder="1" applyAlignment="1" applyProtection="1">
      <alignment vertical="center" wrapText="1"/>
      <protection locked="0"/>
    </xf>
    <xf numFmtId="164" fontId="8" fillId="0" borderId="45" xfId="0" applyNumberFormat="1" applyFont="1" applyFill="1" applyBorder="1" applyAlignment="1" applyProtection="1">
      <alignment vertical="center" wrapText="1"/>
      <protection locked="0"/>
    </xf>
    <xf numFmtId="3" fontId="9" fillId="0" borderId="6" xfId="0" applyNumberFormat="1" applyFont="1" applyFill="1" applyBorder="1" applyAlignment="1" applyProtection="1">
      <alignment vertical="center"/>
      <protection locked="0"/>
    </xf>
    <xf numFmtId="164" fontId="16" fillId="0" borderId="16" xfId="0" applyNumberFormat="1" applyFont="1" applyFill="1" applyBorder="1" applyAlignment="1" applyProtection="1">
      <alignment vertical="center" wrapText="1"/>
      <protection locked="0"/>
    </xf>
    <xf numFmtId="3" fontId="9" fillId="0" borderId="15" xfId="0" applyNumberFormat="1" applyFont="1" applyFill="1" applyBorder="1" applyAlignment="1" applyProtection="1">
      <alignment vertical="center"/>
      <protection locked="0"/>
    </xf>
    <xf numFmtId="164" fontId="12" fillId="0" borderId="16" xfId="0" applyNumberFormat="1" applyFont="1" applyFill="1" applyBorder="1" applyAlignment="1" applyProtection="1">
      <alignment vertical="center"/>
      <protection locked="0"/>
    </xf>
    <xf numFmtId="164" fontId="16" fillId="0" borderId="16" xfId="0" applyNumberFormat="1" applyFont="1" applyFill="1" applyBorder="1" applyAlignment="1" applyProtection="1">
      <alignment vertical="center"/>
      <protection locked="0"/>
    </xf>
    <xf numFmtId="3" fontId="21" fillId="0" borderId="26" xfId="0" applyNumberFormat="1" applyFont="1" applyFill="1" applyBorder="1" applyAlignment="1" applyProtection="1">
      <alignment vertical="center" wrapText="1"/>
      <protection locked="0"/>
    </xf>
    <xf numFmtId="3" fontId="21" fillId="0" borderId="6" xfId="0" applyNumberFormat="1" applyFont="1" applyFill="1" applyBorder="1" applyAlignment="1" applyProtection="1">
      <alignment vertical="center" wrapText="1"/>
      <protection locked="0"/>
    </xf>
    <xf numFmtId="3" fontId="21" fillId="0" borderId="15" xfId="0" applyNumberFormat="1" applyFont="1" applyFill="1" applyBorder="1" applyAlignment="1" applyProtection="1">
      <alignment vertical="center"/>
      <protection locked="0"/>
    </xf>
    <xf numFmtId="3" fontId="21" fillId="0" borderId="6" xfId="0" applyNumberFormat="1" applyFont="1" applyFill="1" applyBorder="1" applyAlignment="1" applyProtection="1">
      <alignment vertical="center"/>
      <protection locked="0"/>
    </xf>
    <xf numFmtId="164" fontId="21" fillId="0" borderId="16" xfId="0" applyNumberFormat="1" applyFont="1" applyFill="1" applyBorder="1" applyAlignment="1" applyProtection="1">
      <alignment vertical="center" wrapText="1"/>
      <protection locked="0"/>
    </xf>
    <xf numFmtId="164" fontId="21" fillId="0" borderId="16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Alignment="1">
      <alignment/>
    </xf>
    <xf numFmtId="0" fontId="17" fillId="0" borderId="53" xfId="0" applyNumberFormat="1" applyFont="1" applyFill="1" applyBorder="1" applyAlignment="1" applyProtection="1">
      <alignment vertical="center" wrapText="1"/>
      <protection locked="0"/>
    </xf>
    <xf numFmtId="3" fontId="17" fillId="0" borderId="26" xfId="0" applyNumberFormat="1" applyFont="1" applyFill="1" applyBorder="1" applyAlignment="1" applyProtection="1">
      <alignment vertical="center" wrapText="1"/>
      <protection locked="0"/>
    </xf>
    <xf numFmtId="3" fontId="17" fillId="0" borderId="6" xfId="0" applyNumberFormat="1" applyFont="1" applyFill="1" applyBorder="1" applyAlignment="1" applyProtection="1">
      <alignment vertical="center" wrapText="1"/>
      <protection locked="0"/>
    </xf>
    <xf numFmtId="0" fontId="9" fillId="0" borderId="41" xfId="0" applyNumberFormat="1" applyFont="1" applyFill="1" applyBorder="1" applyAlignment="1" applyProtection="1">
      <alignment vertical="center" wrapText="1"/>
      <protection locked="0"/>
    </xf>
    <xf numFmtId="49" fontId="9" fillId="0" borderId="48" xfId="0" applyNumberFormat="1" applyFont="1" applyFill="1" applyBorder="1" applyAlignment="1" applyProtection="1">
      <alignment horizontal="centerContinuous" vertical="center"/>
      <protection locked="0"/>
    </xf>
    <xf numFmtId="0" fontId="9" fillId="0" borderId="53" xfId="0" applyNumberFormat="1" applyFont="1" applyFill="1" applyBorder="1" applyAlignment="1" applyProtection="1">
      <alignment vertical="center" wrapText="1"/>
      <protection locked="0"/>
    </xf>
    <xf numFmtId="3" fontId="9" fillId="0" borderId="48" xfId="0" applyNumberFormat="1" applyFont="1" applyFill="1" applyBorder="1" applyAlignment="1" applyProtection="1">
      <alignment vertical="center" wrapText="1"/>
      <protection locked="0"/>
    </xf>
    <xf numFmtId="3" fontId="9" fillId="0" borderId="50" xfId="0" applyNumberFormat="1" applyFont="1" applyFill="1" applyBorder="1" applyAlignment="1" applyProtection="1">
      <alignment vertical="center" wrapText="1"/>
      <protection locked="0"/>
    </xf>
    <xf numFmtId="164" fontId="16" fillId="0" borderId="53" xfId="0" applyNumberFormat="1" applyFont="1" applyFill="1" applyBorder="1" applyAlignment="1" applyProtection="1">
      <alignment vertical="center" wrapText="1"/>
      <protection locked="0"/>
    </xf>
    <xf numFmtId="3" fontId="9" fillId="0" borderId="48" xfId="0" applyNumberFormat="1" applyFont="1" applyFill="1" applyBorder="1" applyAlignment="1" applyProtection="1">
      <alignment vertical="center"/>
      <protection locked="0"/>
    </xf>
    <xf numFmtId="3" fontId="9" fillId="0" borderId="52" xfId="0" applyNumberFormat="1" applyFont="1" applyFill="1" applyBorder="1" applyAlignment="1" applyProtection="1">
      <alignment vertical="center"/>
      <protection locked="0"/>
    </xf>
    <xf numFmtId="3" fontId="9" fillId="0" borderId="50" xfId="0" applyNumberFormat="1" applyFont="1" applyFill="1" applyBorder="1" applyAlignment="1" applyProtection="1">
      <alignment vertical="center"/>
      <protection locked="0"/>
    </xf>
    <xf numFmtId="164" fontId="12" fillId="0" borderId="53" xfId="0" applyNumberFormat="1" applyFont="1" applyFill="1" applyBorder="1" applyAlignment="1" applyProtection="1">
      <alignment vertical="center"/>
      <protection locked="0"/>
    </xf>
    <xf numFmtId="3" fontId="9" fillId="0" borderId="52" xfId="0" applyNumberFormat="1" applyFont="1" applyFill="1" applyBorder="1" applyAlignment="1" applyProtection="1">
      <alignment vertical="center" wrapText="1"/>
      <protection locked="0"/>
    </xf>
    <xf numFmtId="49" fontId="6" fillId="0" borderId="44" xfId="0" applyNumberFormat="1" applyFont="1" applyFill="1" applyBorder="1" applyAlignment="1" applyProtection="1">
      <alignment horizontal="centerContinuous" vertical="center"/>
      <protection locked="0"/>
    </xf>
    <xf numFmtId="3" fontId="6" fillId="0" borderId="44" xfId="0" applyNumberFormat="1" applyFont="1" applyFill="1" applyBorder="1" applyAlignment="1" applyProtection="1">
      <alignment vertical="center" wrapText="1"/>
      <protection locked="0"/>
    </xf>
    <xf numFmtId="3" fontId="6" fillId="0" borderId="46" xfId="0" applyNumberFormat="1" applyFont="1" applyFill="1" applyBorder="1" applyAlignment="1" applyProtection="1">
      <alignment vertical="center" wrapText="1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46" xfId="0" applyNumberFormat="1" applyFont="1" applyFill="1" applyBorder="1" applyAlignment="1" applyProtection="1">
      <alignment vertical="center"/>
      <protection locked="0"/>
    </xf>
    <xf numFmtId="164" fontId="7" fillId="0" borderId="45" xfId="0" applyNumberFormat="1" applyFont="1" applyFill="1" applyBorder="1" applyAlignment="1" applyProtection="1">
      <alignment vertical="center"/>
      <protection locked="0"/>
    </xf>
    <xf numFmtId="164" fontId="7" fillId="0" borderId="16" xfId="0" applyNumberFormat="1" applyFont="1" applyFill="1" applyBorder="1" applyAlignment="1" applyProtection="1">
      <alignment vertical="center" wrapText="1"/>
      <protection locked="0"/>
    </xf>
    <xf numFmtId="0" fontId="6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48" xfId="0" applyNumberFormat="1" applyFont="1" applyFill="1" applyBorder="1" applyAlignment="1" applyProtection="1">
      <alignment horizontal="centerContinuous" vertical="center"/>
      <protection locked="0"/>
    </xf>
    <xf numFmtId="0" fontId="6" fillId="0" borderId="53" xfId="0" applyNumberFormat="1" applyFont="1" applyFill="1" applyBorder="1" applyAlignment="1" applyProtection="1">
      <alignment horizontal="left" vertical="center" wrapText="1"/>
      <protection locked="0"/>
    </xf>
    <xf numFmtId="3" fontId="6" fillId="0" borderId="48" xfId="0" applyNumberFormat="1" applyFont="1" applyFill="1" applyBorder="1" applyAlignment="1" applyProtection="1">
      <alignment vertical="center" wrapText="1"/>
      <protection locked="0"/>
    </xf>
    <xf numFmtId="3" fontId="6" fillId="0" borderId="50" xfId="0" applyNumberFormat="1" applyFont="1" applyFill="1" applyBorder="1" applyAlignment="1" applyProtection="1">
      <alignment vertical="center" wrapText="1"/>
      <protection locked="0"/>
    </xf>
    <xf numFmtId="164" fontId="8" fillId="0" borderId="53" xfId="0" applyNumberFormat="1" applyFont="1" applyFill="1" applyBorder="1" applyAlignment="1" applyProtection="1">
      <alignment vertical="center" wrapText="1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164" fontId="7" fillId="0" borderId="53" xfId="0" applyNumberFormat="1" applyFont="1" applyFill="1" applyBorder="1" applyAlignment="1" applyProtection="1">
      <alignment vertical="center"/>
      <protection locked="0"/>
    </xf>
    <xf numFmtId="0" fontId="9" fillId="0" borderId="45" xfId="0" applyNumberFormat="1" applyFont="1" applyFill="1" applyBorder="1" applyAlignment="1" applyProtection="1">
      <alignment horizontal="left" vertical="center" wrapText="1"/>
      <protection locked="0"/>
    </xf>
    <xf numFmtId="164" fontId="16" fillId="0" borderId="54" xfId="0" applyNumberFormat="1" applyFont="1" applyFill="1" applyBorder="1" applyAlignment="1" applyProtection="1">
      <alignment vertical="center" wrapText="1"/>
      <protection locked="0"/>
    </xf>
    <xf numFmtId="3" fontId="9" fillId="0" borderId="59" xfId="0" applyNumberFormat="1" applyFont="1" applyFill="1" applyBorder="1" applyAlignment="1" applyProtection="1">
      <alignment vertical="center"/>
      <protection locked="0"/>
    </xf>
    <xf numFmtId="3" fontId="9" fillId="0" borderId="38" xfId="0" applyNumberFormat="1" applyFont="1" applyFill="1" applyBorder="1" applyAlignment="1" applyProtection="1">
      <alignment vertical="center" wrapText="1"/>
      <protection locked="0"/>
    </xf>
    <xf numFmtId="3" fontId="9" fillId="0" borderId="42" xfId="0" applyNumberFormat="1" applyFont="1" applyFill="1" applyBorder="1" applyAlignment="1" applyProtection="1">
      <alignment vertical="center" wrapText="1"/>
      <protection locked="0"/>
    </xf>
    <xf numFmtId="0" fontId="9" fillId="0" borderId="34" xfId="0" applyNumberFormat="1" applyFont="1" applyFill="1" applyBorder="1" applyAlignment="1" applyProtection="1">
      <alignment vertical="center" wrapText="1"/>
      <protection locked="0"/>
    </xf>
    <xf numFmtId="3" fontId="9" fillId="0" borderId="33" xfId="0" applyNumberFormat="1" applyFont="1" applyFill="1" applyBorder="1" applyAlignment="1" applyProtection="1">
      <alignment vertical="center" wrapText="1"/>
      <protection locked="0"/>
    </xf>
    <xf numFmtId="3" fontId="9" fillId="0" borderId="43" xfId="0" applyNumberFormat="1" applyFont="1" applyFill="1" applyBorder="1" applyAlignment="1" applyProtection="1">
      <alignment vertical="center" wrapText="1"/>
      <protection locked="0"/>
    </xf>
    <xf numFmtId="3" fontId="6" fillId="0" borderId="52" xfId="0" applyNumberFormat="1" applyFont="1" applyFill="1" applyBorder="1" applyAlignment="1" applyProtection="1">
      <alignment vertical="center" wrapText="1"/>
      <protection locked="0"/>
    </xf>
    <xf numFmtId="3" fontId="6" fillId="0" borderId="3" xfId="0" applyNumberFormat="1" applyFont="1" applyFill="1" applyBorder="1" applyAlignment="1" applyProtection="1">
      <alignment vertical="center" wrapText="1"/>
      <protection locked="0"/>
    </xf>
    <xf numFmtId="3" fontId="6" fillId="0" borderId="15" xfId="0" applyNumberFormat="1" applyFont="1" applyFill="1" applyBorder="1" applyAlignment="1" applyProtection="1">
      <alignment vertical="center" wrapText="1"/>
      <protection locked="0"/>
    </xf>
    <xf numFmtId="3" fontId="9" fillId="0" borderId="60" xfId="0" applyNumberFormat="1" applyFont="1" applyFill="1" applyBorder="1" applyAlignment="1" applyProtection="1">
      <alignment vertical="center" wrapText="1"/>
      <protection locked="0"/>
    </xf>
    <xf numFmtId="0" fontId="6" fillId="0" borderId="45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54" xfId="0" applyNumberFormat="1" applyFont="1" applyFill="1" applyBorder="1" applyAlignment="1" applyProtection="1">
      <alignment vertical="center" wrapText="1"/>
      <protection locked="0"/>
    </xf>
    <xf numFmtId="0" fontId="6" fillId="0" borderId="56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61" xfId="0" applyNumberFormat="1" applyFont="1" applyFill="1" applyBorder="1" applyAlignment="1" applyProtection="1">
      <alignment vertical="center" wrapText="1"/>
      <protection locked="0"/>
    </xf>
    <xf numFmtId="0" fontId="10" fillId="0" borderId="47" xfId="0" applyFont="1" applyBorder="1" applyAlignment="1">
      <alignment/>
    </xf>
    <xf numFmtId="0" fontId="10" fillId="0" borderId="46" xfId="0" applyFont="1" applyBorder="1" applyAlignment="1">
      <alignment/>
    </xf>
    <xf numFmtId="0" fontId="10" fillId="0" borderId="45" xfId="0" applyFont="1" applyBorder="1" applyAlignment="1">
      <alignment/>
    </xf>
    <xf numFmtId="0" fontId="22" fillId="0" borderId="45" xfId="0" applyNumberFormat="1" applyFont="1" applyFill="1" applyBorder="1" applyAlignment="1" applyProtection="1">
      <alignment vertical="center" wrapText="1"/>
      <protection locked="0"/>
    </xf>
    <xf numFmtId="0" fontId="23" fillId="0" borderId="0" xfId="0" applyFont="1" applyAlignment="1">
      <alignment/>
    </xf>
    <xf numFmtId="164" fontId="16" fillId="0" borderId="51" xfId="0" applyNumberFormat="1" applyFont="1" applyFill="1" applyBorder="1" applyAlignment="1" applyProtection="1">
      <alignment vertical="center" wrapText="1"/>
      <protection locked="0"/>
    </xf>
    <xf numFmtId="164" fontId="12" fillId="0" borderId="53" xfId="0" applyNumberFormat="1" applyFont="1" applyFill="1" applyBorder="1" applyAlignment="1" applyProtection="1">
      <alignment vertical="center" wrapText="1"/>
      <protection locked="0"/>
    </xf>
    <xf numFmtId="0" fontId="6" fillId="0" borderId="53" xfId="0" applyNumberFormat="1" applyFont="1" applyFill="1" applyBorder="1" applyAlignment="1" applyProtection="1">
      <alignment vertical="center" wrapText="1"/>
      <protection locked="0"/>
    </xf>
    <xf numFmtId="164" fontId="8" fillId="0" borderId="51" xfId="0" applyNumberFormat="1" applyFont="1" applyFill="1" applyBorder="1" applyAlignment="1" applyProtection="1">
      <alignment vertical="center" wrapText="1"/>
      <protection locked="0"/>
    </xf>
    <xf numFmtId="164" fontId="12" fillId="0" borderId="45" xfId="0" applyNumberFormat="1" applyFont="1" applyFill="1" applyBorder="1" applyAlignment="1" applyProtection="1">
      <alignment vertical="center" wrapText="1"/>
      <protection locked="0"/>
    </xf>
    <xf numFmtId="0" fontId="9" fillId="0" borderId="53" xfId="0" applyNumberFormat="1" applyFont="1" applyFill="1" applyBorder="1" applyAlignment="1" applyProtection="1">
      <alignment horizontal="left" vertical="center" wrapText="1"/>
      <protection locked="0"/>
    </xf>
    <xf numFmtId="0" fontId="23" fillId="0" borderId="0" xfId="0" applyFont="1" applyBorder="1" applyAlignment="1">
      <alignment/>
    </xf>
    <xf numFmtId="49" fontId="21" fillId="0" borderId="26" xfId="0" applyNumberFormat="1" applyFont="1" applyFill="1" applyBorder="1" applyAlignment="1" applyProtection="1">
      <alignment horizontal="centerContinuous" vertical="center"/>
      <protection locked="0"/>
    </xf>
    <xf numFmtId="0" fontId="21" fillId="0" borderId="16" xfId="0" applyNumberFormat="1" applyFont="1" applyFill="1" applyBorder="1" applyAlignment="1" applyProtection="1">
      <alignment vertical="center" wrapText="1"/>
      <protection locked="0"/>
    </xf>
    <xf numFmtId="164" fontId="21" fillId="0" borderId="27" xfId="0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Border="1" applyAlignment="1">
      <alignment/>
    </xf>
    <xf numFmtId="49" fontId="21" fillId="0" borderId="48" xfId="0" applyNumberFormat="1" applyFont="1" applyFill="1" applyBorder="1" applyAlignment="1" applyProtection="1">
      <alignment horizontal="centerContinuous" vertical="center"/>
      <protection locked="0"/>
    </xf>
    <xf numFmtId="0" fontId="21" fillId="0" borderId="53" xfId="0" applyNumberFormat="1" applyFont="1" applyFill="1" applyBorder="1" applyAlignment="1" applyProtection="1">
      <alignment vertical="center" wrapText="1"/>
      <protection locked="0"/>
    </xf>
    <xf numFmtId="3" fontId="21" fillId="0" borderId="48" xfId="0" applyNumberFormat="1" applyFont="1" applyFill="1" applyBorder="1" applyAlignment="1" applyProtection="1">
      <alignment vertical="center" wrapText="1"/>
      <protection locked="0"/>
    </xf>
    <xf numFmtId="3" fontId="21" fillId="0" borderId="50" xfId="0" applyNumberFormat="1" applyFont="1" applyFill="1" applyBorder="1" applyAlignment="1" applyProtection="1">
      <alignment vertical="center" wrapText="1"/>
      <protection locked="0"/>
    </xf>
    <xf numFmtId="164" fontId="21" fillId="0" borderId="51" xfId="0" applyNumberFormat="1" applyFont="1" applyFill="1" applyBorder="1" applyAlignment="1" applyProtection="1">
      <alignment vertical="center" wrapText="1"/>
      <protection locked="0"/>
    </xf>
    <xf numFmtId="3" fontId="21" fillId="0" borderId="52" xfId="0" applyNumberFormat="1" applyFont="1" applyFill="1" applyBorder="1" applyAlignment="1" applyProtection="1">
      <alignment vertical="center"/>
      <protection locked="0"/>
    </xf>
    <xf numFmtId="3" fontId="21" fillId="0" borderId="50" xfId="0" applyNumberFormat="1" applyFont="1" applyFill="1" applyBorder="1" applyAlignment="1" applyProtection="1">
      <alignment vertical="center"/>
      <protection locked="0"/>
    </xf>
    <xf numFmtId="164" fontId="21" fillId="0" borderId="53" xfId="0" applyNumberFormat="1" applyFont="1" applyFill="1" applyBorder="1" applyAlignment="1" applyProtection="1">
      <alignment vertical="center" wrapText="1"/>
      <protection locked="0"/>
    </xf>
    <xf numFmtId="164" fontId="21" fillId="0" borderId="53" xfId="0" applyNumberFormat="1" applyFont="1" applyFill="1" applyBorder="1" applyAlignment="1" applyProtection="1">
      <alignment vertical="center"/>
      <protection locked="0"/>
    </xf>
    <xf numFmtId="3" fontId="6" fillId="0" borderId="58" xfId="0" applyNumberFormat="1" applyFont="1" applyFill="1" applyBorder="1" applyAlignment="1" applyProtection="1">
      <alignment vertical="center" wrapText="1"/>
      <protection locked="0"/>
    </xf>
    <xf numFmtId="49" fontId="9" fillId="0" borderId="17" xfId="0" applyNumberFormat="1" applyFont="1" applyFill="1" applyBorder="1" applyAlignment="1" applyProtection="1">
      <alignment horizontal="centerContinuous" vertical="center"/>
      <protection locked="0"/>
    </xf>
    <xf numFmtId="0" fontId="9" fillId="0" borderId="25" xfId="0" applyNumberFormat="1" applyFont="1" applyFill="1" applyBorder="1" applyAlignment="1" applyProtection="1">
      <alignment vertical="center" wrapText="1"/>
      <protection locked="0"/>
    </xf>
    <xf numFmtId="3" fontId="9" fillId="0" borderId="17" xfId="0" applyNumberFormat="1" applyFont="1" applyFill="1" applyBorder="1" applyAlignment="1" applyProtection="1">
      <alignment vertical="center" wrapText="1"/>
      <protection locked="0"/>
    </xf>
    <xf numFmtId="3" fontId="9" fillId="0" borderId="62" xfId="0" applyNumberFormat="1" applyFont="1" applyFill="1" applyBorder="1" applyAlignment="1" applyProtection="1">
      <alignment vertical="center" wrapText="1"/>
      <protection locked="0"/>
    </xf>
    <xf numFmtId="164" fontId="9" fillId="0" borderId="25" xfId="0" applyNumberFormat="1" applyFont="1" applyFill="1" applyBorder="1" applyAlignment="1" applyProtection="1">
      <alignment vertical="center"/>
      <protection locked="0"/>
    </xf>
    <xf numFmtId="3" fontId="9" fillId="0" borderId="24" xfId="0" applyNumberFormat="1" applyFont="1" applyFill="1" applyBorder="1" applyAlignment="1" applyProtection="1">
      <alignment vertical="center" wrapText="1"/>
      <protection locked="0"/>
    </xf>
    <xf numFmtId="3" fontId="9" fillId="0" borderId="62" xfId="0" applyNumberFormat="1" applyFont="1" applyFill="1" applyBorder="1" applyAlignment="1" applyProtection="1">
      <alignment vertical="center"/>
      <protection locked="0"/>
    </xf>
    <xf numFmtId="164" fontId="9" fillId="0" borderId="25" xfId="0" applyNumberFormat="1" applyFont="1" applyFill="1" applyBorder="1" applyAlignment="1" applyProtection="1">
      <alignment vertical="center" wrapText="1"/>
      <protection locked="0"/>
    </xf>
    <xf numFmtId="3" fontId="9" fillId="0" borderId="24" xfId="0" applyNumberFormat="1" applyFont="1" applyFill="1" applyBorder="1" applyAlignment="1" applyProtection="1">
      <alignment vertical="center"/>
      <protection locked="0"/>
    </xf>
    <xf numFmtId="164" fontId="12" fillId="0" borderId="25" xfId="0" applyNumberFormat="1" applyFont="1" applyFill="1" applyBorder="1" applyAlignment="1" applyProtection="1">
      <alignment vertical="center"/>
      <protection locked="0"/>
    </xf>
    <xf numFmtId="164" fontId="16" fillId="0" borderId="25" xfId="0" applyNumberFormat="1" applyFont="1" applyFill="1" applyBorder="1" applyAlignment="1" applyProtection="1">
      <alignment vertical="center" wrapText="1"/>
      <protection locked="0"/>
    </xf>
    <xf numFmtId="164" fontId="9" fillId="0" borderId="53" xfId="0" applyNumberFormat="1" applyFont="1" applyFill="1" applyBorder="1" applyAlignment="1" applyProtection="1">
      <alignment vertical="center"/>
      <protection locked="0"/>
    </xf>
    <xf numFmtId="164" fontId="9" fillId="0" borderId="53" xfId="0" applyNumberFormat="1" applyFont="1" applyFill="1" applyBorder="1" applyAlignment="1" applyProtection="1">
      <alignment vertical="center" wrapText="1"/>
      <protection locked="0"/>
    </xf>
    <xf numFmtId="164" fontId="16" fillId="0" borderId="53" xfId="0" applyNumberFormat="1" applyFont="1" applyFill="1" applyBorder="1" applyAlignment="1" applyProtection="1">
      <alignment vertical="center"/>
      <protection locked="0"/>
    </xf>
    <xf numFmtId="164" fontId="8" fillId="0" borderId="41" xfId="0" applyNumberFormat="1" applyFont="1" applyFill="1" applyBorder="1" applyAlignment="1" applyProtection="1">
      <alignment vertical="center" wrapText="1"/>
      <protection locked="0"/>
    </xf>
    <xf numFmtId="164" fontId="12" fillId="0" borderId="41" xfId="0" applyNumberFormat="1" applyFont="1" applyFill="1" applyBorder="1" applyAlignment="1" applyProtection="1">
      <alignment vertical="center" wrapText="1"/>
      <protection locked="0"/>
    </xf>
    <xf numFmtId="164" fontId="7" fillId="0" borderId="56" xfId="0" applyNumberFormat="1" applyFont="1" applyFill="1" applyBorder="1" applyAlignment="1" applyProtection="1">
      <alignment vertical="center" wrapText="1"/>
      <protection locked="0"/>
    </xf>
    <xf numFmtId="0" fontId="10" fillId="0" borderId="26" xfId="0" applyFont="1" applyBorder="1" applyAlignment="1">
      <alignment/>
    </xf>
    <xf numFmtId="164" fontId="7" fillId="0" borderId="53" xfId="0" applyNumberFormat="1" applyFont="1" applyFill="1" applyBorder="1" applyAlignment="1" applyProtection="1">
      <alignment vertical="center" wrapText="1"/>
      <protection locked="0"/>
    </xf>
    <xf numFmtId="0" fontId="16" fillId="0" borderId="41" xfId="0" applyNumberFormat="1" applyFont="1" applyFill="1" applyBorder="1" applyAlignment="1" applyProtection="1">
      <alignment vertical="center" wrapText="1"/>
      <protection locked="0"/>
    </xf>
    <xf numFmtId="3" fontId="9" fillId="0" borderId="63" xfId="0" applyNumberFormat="1" applyFont="1" applyFill="1" applyBorder="1" applyAlignment="1" applyProtection="1">
      <alignment vertical="center"/>
      <protection locked="0"/>
    </xf>
    <xf numFmtId="164" fontId="9" fillId="0" borderId="41" xfId="0" applyNumberFormat="1" applyFont="1" applyFill="1" applyBorder="1" applyAlignment="1" applyProtection="1">
      <alignment vertical="center" wrapText="1"/>
      <protection locked="0"/>
    </xf>
    <xf numFmtId="0" fontId="16" fillId="0" borderId="45" xfId="0" applyNumberFormat="1" applyFont="1" applyFill="1" applyBorder="1" applyAlignment="1" applyProtection="1">
      <alignment vertical="center" wrapText="1"/>
      <protection locked="0"/>
    </xf>
    <xf numFmtId="164" fontId="8" fillId="0" borderId="53" xfId="0" applyNumberFormat="1" applyFont="1" applyFill="1" applyBorder="1" applyAlignment="1" applyProtection="1">
      <alignment vertical="center"/>
      <protection locked="0"/>
    </xf>
    <xf numFmtId="3" fontId="9" fillId="0" borderId="44" xfId="0" applyNumberFormat="1" applyFont="1" applyFill="1" applyBorder="1" applyAlignment="1" applyProtection="1">
      <alignment vertical="center"/>
      <protection locked="0"/>
    </xf>
    <xf numFmtId="0" fontId="17" fillId="0" borderId="16" xfId="0" applyNumberFormat="1" applyFont="1" applyFill="1" applyBorder="1" applyAlignment="1" applyProtection="1">
      <alignment vertical="center" wrapText="1"/>
      <protection locked="0"/>
    </xf>
    <xf numFmtId="164" fontId="6" fillId="0" borderId="16" xfId="0" applyNumberFormat="1" applyFont="1" applyFill="1" applyBorder="1" applyAlignment="1" applyProtection="1">
      <alignment vertical="center" wrapText="1"/>
      <protection locked="0"/>
    </xf>
    <xf numFmtId="164" fontId="6" fillId="0" borderId="16" xfId="0" applyNumberFormat="1" applyFont="1" applyFill="1" applyBorder="1" applyAlignment="1" applyProtection="1">
      <alignment vertical="center"/>
      <protection locked="0"/>
    </xf>
    <xf numFmtId="0" fontId="6" fillId="0" borderId="0" xfId="0" applyFont="1" applyBorder="1" applyAlignment="1">
      <alignment/>
    </xf>
    <xf numFmtId="49" fontId="6" fillId="0" borderId="58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45" xfId="0" applyNumberFormat="1" applyFont="1" applyFill="1" applyBorder="1" applyAlignment="1" applyProtection="1">
      <alignment vertical="center"/>
      <protection locked="0"/>
    </xf>
    <xf numFmtId="164" fontId="16" fillId="0" borderId="25" xfId="0" applyNumberFormat="1" applyFont="1" applyFill="1" applyBorder="1" applyAlignment="1" applyProtection="1">
      <alignment vertical="center"/>
      <protection locked="0"/>
    </xf>
    <xf numFmtId="3" fontId="9" fillId="0" borderId="17" xfId="0" applyNumberFormat="1" applyFont="1" applyFill="1" applyBorder="1" applyAlignment="1" applyProtection="1">
      <alignment vertical="center"/>
      <protection locked="0"/>
    </xf>
    <xf numFmtId="164" fontId="16" fillId="0" borderId="27" xfId="0" applyNumberFormat="1" applyFont="1" applyFill="1" applyBorder="1" applyAlignment="1" applyProtection="1">
      <alignment vertical="center" wrapText="1"/>
      <protection locked="0"/>
    </xf>
    <xf numFmtId="49" fontId="9" fillId="0" borderId="47" xfId="0" applyNumberFormat="1" applyFont="1" applyFill="1" applyBorder="1" applyAlignment="1" applyProtection="1">
      <alignment horizontal="centerContinuous" vertical="center"/>
      <protection locked="0"/>
    </xf>
    <xf numFmtId="0" fontId="17" fillId="0" borderId="52" xfId="0" applyFont="1" applyBorder="1" applyAlignment="1">
      <alignment/>
    </xf>
    <xf numFmtId="3" fontId="9" fillId="0" borderId="58" xfId="0" applyNumberFormat="1" applyFont="1" applyFill="1" applyBorder="1" applyAlignment="1" applyProtection="1">
      <alignment vertical="center"/>
      <protection locked="0"/>
    </xf>
    <xf numFmtId="3" fontId="9" fillId="0" borderId="57" xfId="0" applyNumberFormat="1" applyFont="1" applyFill="1" applyBorder="1" applyAlignment="1" applyProtection="1">
      <alignment vertical="center"/>
      <protection locked="0"/>
    </xf>
    <xf numFmtId="164" fontId="16" fillId="0" borderId="56" xfId="0" applyNumberFormat="1" applyFont="1" applyFill="1" applyBorder="1" applyAlignment="1" applyProtection="1">
      <alignment vertical="center"/>
      <protection locked="0"/>
    </xf>
    <xf numFmtId="164" fontId="16" fillId="0" borderId="56" xfId="0" applyNumberFormat="1" applyFont="1" applyFill="1" applyBorder="1" applyAlignment="1" applyProtection="1">
      <alignment vertical="center" wrapText="1"/>
      <protection locked="0"/>
    </xf>
    <xf numFmtId="49" fontId="6" fillId="0" borderId="52" xfId="0" applyNumberFormat="1" applyFont="1" applyFill="1" applyBorder="1" applyAlignment="1" applyProtection="1">
      <alignment horizontal="centerContinuous" vertical="center"/>
      <protection locked="0"/>
    </xf>
    <xf numFmtId="3" fontId="6" fillId="0" borderId="47" xfId="0" applyNumberFormat="1" applyFont="1" applyFill="1" applyBorder="1" applyAlignment="1" applyProtection="1">
      <alignment vertical="center" wrapText="1"/>
      <protection locked="0"/>
    </xf>
    <xf numFmtId="0" fontId="6" fillId="0" borderId="49" xfId="0" applyNumberFormat="1" applyFont="1" applyFill="1" applyBorder="1" applyAlignment="1" applyProtection="1">
      <alignment vertical="center" wrapText="1"/>
      <protection locked="0"/>
    </xf>
    <xf numFmtId="164" fontId="9" fillId="0" borderId="45" xfId="0" applyNumberFormat="1" applyFont="1" applyFill="1" applyBorder="1" applyAlignment="1" applyProtection="1">
      <alignment vertical="center" wrapText="1"/>
      <protection locked="0"/>
    </xf>
    <xf numFmtId="0" fontId="6" fillId="0" borderId="64" xfId="0" applyNumberFormat="1" applyFont="1" applyFill="1" applyBorder="1" applyAlignment="1" applyProtection="1">
      <alignment vertical="center" wrapText="1"/>
      <protection locked="0"/>
    </xf>
    <xf numFmtId="0" fontId="18" fillId="0" borderId="16" xfId="0" applyNumberFormat="1" applyFont="1" applyFill="1" applyBorder="1" applyAlignment="1" applyProtection="1">
      <alignment vertical="center" wrapText="1"/>
      <protection locked="0"/>
    </xf>
    <xf numFmtId="3" fontId="18" fillId="0" borderId="3" xfId="0" applyNumberFormat="1" applyFont="1" applyFill="1" applyBorder="1" applyAlignment="1" applyProtection="1">
      <alignment vertical="center"/>
      <protection locked="0"/>
    </xf>
    <xf numFmtId="49" fontId="24" fillId="0" borderId="26" xfId="0" applyNumberFormat="1" applyFont="1" applyFill="1" applyBorder="1" applyAlignment="1" applyProtection="1">
      <alignment horizontal="centerContinuous" vertical="center"/>
      <protection locked="0"/>
    </xf>
    <xf numFmtId="0" fontId="24" fillId="0" borderId="16" xfId="0" applyNumberFormat="1" applyFont="1" applyFill="1" applyBorder="1" applyAlignment="1" applyProtection="1">
      <alignment vertical="center" wrapText="1"/>
      <protection locked="0"/>
    </xf>
    <xf numFmtId="3" fontId="24" fillId="0" borderId="26" xfId="0" applyNumberFormat="1" applyFont="1" applyFill="1" applyBorder="1" applyAlignment="1" applyProtection="1">
      <alignment vertical="center" wrapText="1"/>
      <protection locked="0"/>
    </xf>
    <xf numFmtId="3" fontId="24" fillId="0" borderId="6" xfId="0" applyNumberFormat="1" applyFont="1" applyFill="1" applyBorder="1" applyAlignment="1" applyProtection="1">
      <alignment vertical="center" wrapText="1"/>
      <protection locked="0"/>
    </xf>
    <xf numFmtId="3" fontId="24" fillId="0" borderId="3" xfId="0" applyNumberFormat="1" applyFont="1" applyFill="1" applyBorder="1" applyAlignment="1" applyProtection="1">
      <alignment vertical="center"/>
      <protection locked="0"/>
    </xf>
    <xf numFmtId="3" fontId="24" fillId="0" borderId="6" xfId="0" applyNumberFormat="1" applyFont="1" applyFill="1" applyBorder="1" applyAlignment="1" applyProtection="1">
      <alignment vertical="center"/>
      <protection locked="0"/>
    </xf>
    <xf numFmtId="3" fontId="24" fillId="0" borderId="15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Border="1" applyAlignment="1">
      <alignment/>
    </xf>
    <xf numFmtId="0" fontId="22" fillId="0" borderId="16" xfId="0" applyNumberFormat="1" applyFont="1" applyFill="1" applyBorder="1" applyAlignment="1" applyProtection="1">
      <alignment vertical="center" wrapText="1"/>
      <protection locked="0"/>
    </xf>
    <xf numFmtId="0" fontId="22" fillId="0" borderId="53" xfId="0" applyNumberFormat="1" applyFont="1" applyFill="1" applyBorder="1" applyAlignment="1" applyProtection="1">
      <alignment vertical="center" wrapText="1"/>
      <protection locked="0"/>
    </xf>
    <xf numFmtId="3" fontId="6" fillId="0" borderId="65" xfId="0" applyNumberFormat="1" applyFont="1" applyFill="1" applyBorder="1" applyAlignment="1" applyProtection="1">
      <alignment vertical="center"/>
      <protection locked="0"/>
    </xf>
    <xf numFmtId="0" fontId="22" fillId="0" borderId="4" xfId="0" applyNumberFormat="1" applyFont="1" applyFill="1" applyBorder="1" applyAlignment="1" applyProtection="1">
      <alignment vertical="center" wrapText="1"/>
      <protection locked="0"/>
    </xf>
    <xf numFmtId="0" fontId="9" fillId="0" borderId="16" xfId="0" applyNumberFormat="1" applyFont="1" applyFill="1" applyBorder="1" applyAlignment="1" applyProtection="1">
      <alignment vertical="center" wrapText="1"/>
      <protection locked="0"/>
    </xf>
    <xf numFmtId="3" fontId="9" fillId="0" borderId="12" xfId="0" applyNumberFormat="1" applyFont="1" applyFill="1" applyBorder="1" applyAlignment="1" applyProtection="1">
      <alignment vertical="center" wrapText="1"/>
      <protection locked="0"/>
    </xf>
    <xf numFmtId="164" fontId="9" fillId="0" borderId="34" xfId="0" applyNumberFormat="1" applyFont="1" applyFill="1" applyBorder="1" applyAlignment="1" applyProtection="1">
      <alignment vertical="center" wrapText="1"/>
      <protection locked="0"/>
    </xf>
    <xf numFmtId="0" fontId="6" fillId="0" borderId="45" xfId="0" applyFont="1" applyBorder="1" applyAlignment="1">
      <alignment vertical="center" wrapText="1"/>
    </xf>
    <xf numFmtId="3" fontId="6" fillId="0" borderId="59" xfId="0" applyNumberFormat="1" applyFont="1" applyFill="1" applyBorder="1" applyAlignment="1" applyProtection="1">
      <alignment vertical="center" wrapText="1"/>
      <protection locked="0"/>
    </xf>
    <xf numFmtId="164" fontId="6" fillId="0" borderId="45" xfId="0" applyNumberFormat="1" applyFont="1" applyFill="1" applyBorder="1" applyAlignment="1" applyProtection="1">
      <alignment vertical="center" wrapText="1"/>
      <protection locked="0"/>
    </xf>
    <xf numFmtId="0" fontId="9" fillId="0" borderId="6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6" fillId="0" borderId="56" xfId="0" applyFont="1" applyBorder="1" applyAlignment="1">
      <alignment vertical="center" wrapText="1"/>
    </xf>
    <xf numFmtId="164" fontId="6" fillId="0" borderId="56" xfId="0" applyNumberFormat="1" applyFont="1" applyFill="1" applyBorder="1" applyAlignment="1" applyProtection="1">
      <alignment vertical="center" wrapText="1"/>
      <protection locked="0"/>
    </xf>
    <xf numFmtId="3" fontId="6" fillId="0" borderId="62" xfId="0" applyNumberFormat="1" applyFont="1" applyFill="1" applyBorder="1" applyAlignment="1" applyProtection="1">
      <alignment vertical="center" wrapText="1"/>
      <protection locked="0"/>
    </xf>
    <xf numFmtId="164" fontId="6" fillId="0" borderId="53" xfId="0" applyNumberFormat="1" applyFont="1" applyFill="1" applyBorder="1" applyAlignment="1" applyProtection="1">
      <alignment vertical="center" wrapText="1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6" fillId="0" borderId="62" xfId="0" applyNumberFormat="1" applyFont="1" applyFill="1" applyBorder="1" applyAlignment="1" applyProtection="1">
      <alignment vertical="center"/>
      <protection locked="0"/>
    </xf>
    <xf numFmtId="49" fontId="9" fillId="0" borderId="42" xfId="0" applyNumberFormat="1" applyFont="1" applyFill="1" applyBorder="1" applyAlignment="1" applyProtection="1">
      <alignment horizontal="centerContinuous" vertical="center"/>
      <protection locked="0"/>
    </xf>
    <xf numFmtId="165" fontId="16" fillId="0" borderId="41" xfId="0" applyNumberFormat="1" applyFont="1" applyFill="1" applyBorder="1" applyAlignment="1" applyProtection="1">
      <alignment vertical="center" wrapText="1"/>
      <protection locked="0"/>
    </xf>
    <xf numFmtId="3" fontId="9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30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52" xfId="0" applyNumberFormat="1" applyFont="1" applyFill="1" applyBorder="1" applyAlignment="1" applyProtection="1">
      <alignment horizontal="centerContinuous" vertical="center"/>
      <protection locked="0"/>
    </xf>
    <xf numFmtId="0" fontId="9" fillId="0" borderId="49" xfId="0" applyNumberFormat="1" applyFont="1" applyFill="1" applyBorder="1" applyAlignment="1" applyProtection="1">
      <alignment vertical="center" wrapText="1"/>
      <protection locked="0"/>
    </xf>
    <xf numFmtId="49" fontId="6" fillId="0" borderId="15" xfId="0" applyNumberFormat="1" applyFont="1" applyFill="1" applyBorder="1" applyAlignment="1" applyProtection="1">
      <alignment horizontal="centerContinuous" vertical="center"/>
      <protection locked="0"/>
    </xf>
    <xf numFmtId="0" fontId="9" fillId="0" borderId="66" xfId="0" applyNumberFormat="1" applyFont="1" applyFill="1" applyBorder="1" applyAlignment="1" applyProtection="1">
      <alignment vertical="center" wrapText="1"/>
      <protection locked="0"/>
    </xf>
    <xf numFmtId="49" fontId="6" fillId="0" borderId="47" xfId="0" applyNumberFormat="1" applyFont="1" applyFill="1" applyBorder="1" applyAlignment="1" applyProtection="1">
      <alignment horizontal="centerContinuous" vertical="center"/>
      <protection locked="0"/>
    </xf>
    <xf numFmtId="0" fontId="6" fillId="0" borderId="66" xfId="0" applyNumberFormat="1" applyFont="1" applyFill="1" applyBorder="1" applyAlignment="1" applyProtection="1">
      <alignment vertical="center" wrapText="1"/>
      <protection locked="0"/>
    </xf>
    <xf numFmtId="3" fontId="9" fillId="0" borderId="67" xfId="0" applyNumberFormat="1" applyFont="1" applyFill="1" applyBorder="1" applyAlignment="1" applyProtection="1">
      <alignment vertical="center" wrapText="1"/>
      <protection locked="0"/>
    </xf>
    <xf numFmtId="3" fontId="9" fillId="0" borderId="65" xfId="0" applyNumberFormat="1" applyFont="1" applyFill="1" applyBorder="1" applyAlignment="1" applyProtection="1">
      <alignment vertical="center"/>
      <protection locked="0"/>
    </xf>
    <xf numFmtId="3" fontId="6" fillId="0" borderId="67" xfId="0" applyNumberFormat="1" applyFont="1" applyFill="1" applyBorder="1" applyAlignment="1" applyProtection="1">
      <alignment vertical="center" wrapText="1"/>
      <protection locked="0"/>
    </xf>
    <xf numFmtId="3" fontId="9" fillId="0" borderId="66" xfId="0" applyNumberFormat="1" applyFont="1" applyFill="1" applyBorder="1" applyAlignment="1" applyProtection="1">
      <alignment vertical="center" wrapText="1"/>
      <protection locked="0"/>
    </xf>
    <xf numFmtId="3" fontId="9" fillId="0" borderId="26" xfId="0" applyNumberFormat="1" applyFont="1" applyFill="1" applyBorder="1" applyAlignment="1" applyProtection="1">
      <alignment vertical="center" wrapText="1"/>
      <protection locked="0"/>
    </xf>
    <xf numFmtId="3" fontId="6" fillId="0" borderId="4" xfId="0" applyNumberFormat="1" applyFont="1" applyFill="1" applyBorder="1" applyAlignment="1" applyProtection="1">
      <alignment vertical="center" wrapText="1"/>
      <protection locked="0"/>
    </xf>
    <xf numFmtId="3" fontId="9" fillId="0" borderId="49" xfId="0" applyNumberFormat="1" applyFont="1" applyFill="1" applyBorder="1" applyAlignment="1" applyProtection="1">
      <alignment vertical="center"/>
      <protection locked="0"/>
    </xf>
    <xf numFmtId="3" fontId="9" fillId="0" borderId="6" xfId="0" applyNumberFormat="1" applyFont="1" applyFill="1" applyBorder="1" applyAlignment="1" applyProtection="1">
      <alignment vertical="center" wrapText="1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Border="1" applyAlignment="1">
      <alignment vertical="center"/>
    </xf>
    <xf numFmtId="3" fontId="6" fillId="0" borderId="46" xfId="0" applyNumberFormat="1" applyFont="1" applyBorder="1" applyAlignment="1">
      <alignment vertical="center"/>
    </xf>
    <xf numFmtId="164" fontId="8" fillId="0" borderId="45" xfId="0" applyNumberFormat="1" applyFont="1" applyBorder="1" applyAlignment="1">
      <alignment vertical="center"/>
    </xf>
    <xf numFmtId="3" fontId="6" fillId="0" borderId="58" xfId="0" applyNumberFormat="1" applyFont="1" applyBorder="1" applyAlignment="1">
      <alignment vertical="center"/>
    </xf>
    <xf numFmtId="3" fontId="6" fillId="0" borderId="57" xfId="0" applyNumberFormat="1" applyFont="1" applyBorder="1" applyAlignment="1">
      <alignment vertical="center"/>
    </xf>
    <xf numFmtId="164" fontId="8" fillId="0" borderId="56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164" fontId="8" fillId="0" borderId="16" xfId="0" applyNumberFormat="1" applyFont="1" applyBorder="1" applyAlignment="1">
      <alignment vertical="center"/>
    </xf>
    <xf numFmtId="3" fontId="6" fillId="0" borderId="52" xfId="0" applyNumberFormat="1" applyFont="1" applyBorder="1" applyAlignment="1">
      <alignment vertical="center"/>
    </xf>
    <xf numFmtId="3" fontId="6" fillId="0" borderId="50" xfId="0" applyNumberFormat="1" applyFont="1" applyBorder="1" applyAlignment="1">
      <alignment vertical="center"/>
    </xf>
    <xf numFmtId="164" fontId="8" fillId="0" borderId="53" xfId="0" applyNumberFormat="1" applyFont="1" applyBorder="1" applyAlignment="1">
      <alignment vertical="center"/>
    </xf>
    <xf numFmtId="0" fontId="9" fillId="0" borderId="46" xfId="0" applyNumberFormat="1" applyFont="1" applyFill="1" applyBorder="1" applyAlignment="1" applyProtection="1">
      <alignment vertical="center" wrapText="1"/>
      <protection locked="0"/>
    </xf>
    <xf numFmtId="3" fontId="9" fillId="0" borderId="47" xfId="0" applyNumberFormat="1" applyFont="1" applyBorder="1" applyAlignment="1">
      <alignment vertical="center"/>
    </xf>
    <xf numFmtId="3" fontId="9" fillId="0" borderId="46" xfId="0" applyNumberFormat="1" applyFont="1" applyBorder="1" applyAlignment="1">
      <alignment vertical="center"/>
    </xf>
    <xf numFmtId="164" fontId="8" fillId="0" borderId="41" xfId="0" applyNumberFormat="1" applyFont="1" applyFill="1" applyBorder="1" applyAlignment="1" applyProtection="1">
      <alignment vertical="center"/>
      <protection locked="0"/>
    </xf>
    <xf numFmtId="0" fontId="8" fillId="0" borderId="45" xfId="0" applyNumberFormat="1" applyFont="1" applyFill="1" applyBorder="1" applyAlignment="1" applyProtection="1">
      <alignment vertical="center" wrapText="1"/>
      <protection locked="0"/>
    </xf>
    <xf numFmtId="49" fontId="9" fillId="0" borderId="15" xfId="0" applyNumberFormat="1" applyFont="1" applyFill="1" applyBorder="1" applyAlignment="1" applyProtection="1">
      <alignment horizontal="centerContinuous" vertical="center"/>
      <protection locked="0"/>
    </xf>
    <xf numFmtId="0" fontId="24" fillId="0" borderId="56" xfId="0" applyNumberFormat="1" applyFont="1" applyFill="1" applyBorder="1" applyAlignment="1" applyProtection="1">
      <alignment vertical="center" wrapText="1"/>
      <protection locked="0"/>
    </xf>
    <xf numFmtId="3" fontId="18" fillId="0" borderId="57" xfId="0" applyNumberFormat="1" applyFont="1" applyFill="1" applyBorder="1" applyAlignment="1" applyProtection="1">
      <alignment vertical="center" wrapText="1"/>
      <protection locked="0"/>
    </xf>
    <xf numFmtId="49" fontId="24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24" fillId="0" borderId="16" xfId="0" applyNumberFormat="1" applyFont="1" applyFill="1" applyBorder="1" applyAlignment="1" applyProtection="1">
      <alignment vertical="center" wrapText="1"/>
      <protection locked="0"/>
    </xf>
    <xf numFmtId="164" fontId="24" fillId="0" borderId="16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/>
    </xf>
    <xf numFmtId="164" fontId="6" fillId="0" borderId="51" xfId="0" applyNumberFormat="1" applyFont="1" applyFill="1" applyBorder="1" applyAlignment="1" applyProtection="1">
      <alignment vertical="center" wrapText="1"/>
      <protection locked="0"/>
    </xf>
    <xf numFmtId="0" fontId="22" fillId="0" borderId="25" xfId="0" applyNumberFormat="1" applyFont="1" applyFill="1" applyBorder="1" applyAlignment="1" applyProtection="1">
      <alignment vertical="center" wrapText="1"/>
      <protection locked="0"/>
    </xf>
    <xf numFmtId="164" fontId="6" fillId="0" borderId="27" xfId="0" applyNumberFormat="1" applyFont="1" applyFill="1" applyBorder="1" applyAlignment="1" applyProtection="1">
      <alignment vertical="center" wrapText="1"/>
      <protection locked="0"/>
    </xf>
    <xf numFmtId="0" fontId="24" fillId="0" borderId="4" xfId="0" applyNumberFormat="1" applyFont="1" applyFill="1" applyBorder="1" applyAlignment="1" applyProtection="1">
      <alignment vertical="center" wrapText="1"/>
      <protection locked="0"/>
    </xf>
    <xf numFmtId="0" fontId="24" fillId="0" borderId="0" xfId="0" applyFont="1" applyBorder="1" applyAlignment="1">
      <alignment/>
    </xf>
    <xf numFmtId="164" fontId="16" fillId="0" borderId="66" xfId="0" applyNumberFormat="1" applyFont="1" applyFill="1" applyBorder="1" applyAlignment="1" applyProtection="1">
      <alignment vertical="center" wrapText="1"/>
      <protection locked="0"/>
    </xf>
    <xf numFmtId="3" fontId="6" fillId="0" borderId="68" xfId="0" applyNumberFormat="1" applyFont="1" applyFill="1" applyBorder="1" applyAlignment="1" applyProtection="1">
      <alignment vertical="center" wrapText="1"/>
      <protection locked="0"/>
    </xf>
    <xf numFmtId="3" fontId="6" fillId="0" borderId="69" xfId="0" applyNumberFormat="1" applyFont="1" applyFill="1" applyBorder="1" applyAlignment="1" applyProtection="1">
      <alignment vertical="center"/>
      <protection locked="0"/>
    </xf>
    <xf numFmtId="164" fontId="8" fillId="0" borderId="64" xfId="0" applyNumberFormat="1" applyFont="1" applyFill="1" applyBorder="1" applyAlignment="1" applyProtection="1">
      <alignment vertical="center" wrapText="1"/>
      <protection locked="0"/>
    </xf>
    <xf numFmtId="49" fontId="9" fillId="0" borderId="33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14" xfId="0" applyNumberFormat="1" applyFont="1" applyFill="1" applyBorder="1" applyAlignment="1" applyProtection="1">
      <alignment vertical="center" wrapText="1"/>
      <protection locked="0"/>
    </xf>
    <xf numFmtId="164" fontId="16" fillId="0" borderId="31" xfId="0" applyNumberFormat="1" applyFont="1" applyFill="1" applyBorder="1" applyAlignment="1" applyProtection="1">
      <alignment vertical="center"/>
      <protection locked="0"/>
    </xf>
    <xf numFmtId="3" fontId="16" fillId="0" borderId="34" xfId="0" applyNumberFormat="1" applyFont="1" applyFill="1" applyBorder="1" applyAlignment="1" applyProtection="1">
      <alignment vertical="center"/>
      <protection locked="0"/>
    </xf>
    <xf numFmtId="3" fontId="9" fillId="0" borderId="67" xfId="0" applyNumberFormat="1" applyFont="1" applyFill="1" applyBorder="1" applyAlignment="1" applyProtection="1">
      <alignment vertical="center"/>
      <protection locked="0"/>
    </xf>
    <xf numFmtId="164" fontId="9" fillId="0" borderId="51" xfId="0" applyNumberFormat="1" applyFont="1" applyFill="1" applyBorder="1" applyAlignment="1" applyProtection="1">
      <alignment vertical="center" wrapText="1"/>
      <protection locked="0"/>
    </xf>
    <xf numFmtId="164" fontId="16" fillId="0" borderId="49" xfId="0" applyNumberFormat="1" applyFont="1" applyFill="1" applyBorder="1" applyAlignment="1" applyProtection="1">
      <alignment vertical="center"/>
      <protection locked="0"/>
    </xf>
    <xf numFmtId="3" fontId="16" fillId="0" borderId="53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8" fillId="0" borderId="4" xfId="0" applyNumberFormat="1" applyFont="1" applyFill="1" applyBorder="1" applyAlignment="1" applyProtection="1">
      <alignment vertical="center"/>
      <protection locked="0"/>
    </xf>
    <xf numFmtId="3" fontId="8" fillId="0" borderId="16" xfId="0" applyNumberFormat="1" applyFont="1" applyFill="1" applyBorder="1" applyAlignment="1" applyProtection="1">
      <alignment vertical="center"/>
      <protection locked="0"/>
    </xf>
    <xf numFmtId="3" fontId="9" fillId="0" borderId="55" xfId="0" applyNumberFormat="1" applyFont="1" applyFill="1" applyBorder="1" applyAlignment="1" applyProtection="1">
      <alignment vertical="center" wrapText="1"/>
      <protection locked="0"/>
    </xf>
    <xf numFmtId="3" fontId="9" fillId="0" borderId="57" xfId="0" applyNumberFormat="1" applyFont="1" applyFill="1" applyBorder="1" applyAlignment="1" applyProtection="1">
      <alignment vertical="center" wrapText="1"/>
      <protection locked="0"/>
    </xf>
    <xf numFmtId="164" fontId="16" fillId="0" borderId="61" xfId="0" applyNumberFormat="1" applyFont="1" applyFill="1" applyBorder="1" applyAlignment="1" applyProtection="1">
      <alignment vertical="center" wrapText="1"/>
      <protection locked="0"/>
    </xf>
    <xf numFmtId="49" fontId="21" fillId="0" borderId="15" xfId="0" applyNumberFormat="1" applyFont="1" applyFill="1" applyBorder="1" applyAlignment="1" applyProtection="1">
      <alignment horizontal="centerContinuous" vertical="center"/>
      <protection locked="0"/>
    </xf>
    <xf numFmtId="0" fontId="21" fillId="0" borderId="4" xfId="0" applyNumberFormat="1" applyFont="1" applyFill="1" applyBorder="1" applyAlignment="1" applyProtection="1">
      <alignment vertical="center" wrapText="1"/>
      <protection locked="0"/>
    </xf>
    <xf numFmtId="3" fontId="21" fillId="0" borderId="15" xfId="0" applyNumberFormat="1" applyFont="1" applyFill="1" applyBorder="1" applyAlignment="1" applyProtection="1">
      <alignment vertical="center" wrapText="1"/>
      <protection locked="0"/>
    </xf>
    <xf numFmtId="3" fontId="21" fillId="0" borderId="3" xfId="0" applyNumberFormat="1" applyFont="1" applyFill="1" applyBorder="1" applyAlignment="1" applyProtection="1">
      <alignment vertical="center" wrapText="1"/>
      <protection locked="0"/>
    </xf>
    <xf numFmtId="49" fontId="6" fillId="0" borderId="24" xfId="0" applyNumberFormat="1" applyFont="1" applyFill="1" applyBorder="1" applyAlignment="1" applyProtection="1">
      <alignment horizontal="centerContinuous" vertical="center"/>
      <protection locked="0"/>
    </xf>
    <xf numFmtId="0" fontId="9" fillId="0" borderId="7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70" xfId="0" applyFont="1" applyBorder="1" applyAlignment="1">
      <alignment horizontal="center" vertical="center" wrapText="1"/>
    </xf>
    <xf numFmtId="3" fontId="16" fillId="0" borderId="42" xfId="0" applyNumberFormat="1" applyFont="1" applyFill="1" applyBorder="1" applyAlignment="1" applyProtection="1">
      <alignment vertical="center"/>
      <protection locked="0"/>
    </xf>
    <xf numFmtId="3" fontId="16" fillId="0" borderId="30" xfId="0" applyNumberFormat="1" applyFont="1" applyFill="1" applyBorder="1" applyAlignment="1" applyProtection="1">
      <alignment vertical="center"/>
      <protection locked="0"/>
    </xf>
    <xf numFmtId="3" fontId="16" fillId="0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Border="1" applyAlignment="1">
      <alignment horizontal="center" vertical="center"/>
    </xf>
    <xf numFmtId="3" fontId="16" fillId="0" borderId="15" xfId="0" applyNumberFormat="1" applyFont="1" applyFill="1" applyBorder="1" applyAlignment="1" applyProtection="1">
      <alignment horizontal="right" vertical="center"/>
      <protection locked="0"/>
    </xf>
    <xf numFmtId="3" fontId="16" fillId="0" borderId="6" xfId="0" applyNumberFormat="1" applyFont="1" applyFill="1" applyBorder="1" applyAlignment="1" applyProtection="1">
      <alignment vertical="center" wrapText="1"/>
      <protection locked="0"/>
    </xf>
    <xf numFmtId="165" fontId="16" fillId="0" borderId="16" xfId="0" applyNumberFormat="1" applyFont="1" applyFill="1" applyBorder="1" applyAlignment="1" applyProtection="1">
      <alignment horizontal="right" vertical="center"/>
      <protection locked="0"/>
    </xf>
    <xf numFmtId="3" fontId="16" fillId="0" borderId="6" xfId="0" applyNumberFormat="1" applyFont="1" applyFill="1" applyBorder="1" applyAlignment="1" applyProtection="1">
      <alignment horizontal="right" vertical="center"/>
      <protection/>
    </xf>
    <xf numFmtId="164" fontId="16" fillId="0" borderId="16" xfId="0" applyNumberFormat="1" applyFont="1" applyFill="1" applyBorder="1" applyAlignment="1" applyProtection="1">
      <alignment horizontal="right" vertical="center"/>
      <protection locked="0"/>
    </xf>
    <xf numFmtId="4" fontId="16" fillId="0" borderId="6" xfId="0" applyNumberFormat="1" applyFont="1" applyFill="1" applyBorder="1" applyAlignment="1" applyProtection="1">
      <alignment horizontal="right" vertical="center"/>
      <protection locked="0"/>
    </xf>
    <xf numFmtId="3" fontId="16" fillId="0" borderId="7" xfId="0" applyNumberFormat="1" applyFont="1" applyFill="1" applyBorder="1" applyAlignment="1" applyProtection="1">
      <alignment horizontal="right" vertical="center"/>
      <protection locked="0"/>
    </xf>
    <xf numFmtId="3" fontId="16" fillId="0" borderId="28" xfId="0" applyNumberFormat="1" applyFont="1" applyFill="1" applyBorder="1" applyAlignment="1" applyProtection="1">
      <alignment horizontal="right" vertical="center"/>
      <protection locked="0"/>
    </xf>
    <xf numFmtId="3" fontId="16" fillId="0" borderId="6" xfId="0" applyNumberFormat="1" applyFont="1" applyFill="1" applyBorder="1" applyAlignment="1" applyProtection="1">
      <alignment horizontal="right" vertical="center"/>
      <protection locked="0"/>
    </xf>
    <xf numFmtId="3" fontId="8" fillId="0" borderId="26" xfId="0" applyNumberFormat="1" applyFont="1" applyFill="1" applyBorder="1" applyAlignment="1" applyProtection="1">
      <alignment horizontal="center" vertical="center"/>
      <protection locked="0"/>
    </xf>
    <xf numFmtId="0" fontId="23" fillId="0" borderId="27" xfId="0" applyFont="1" applyBorder="1" applyAlignment="1">
      <alignment horizontal="center" vertical="center"/>
    </xf>
    <xf numFmtId="164" fontId="12" fillId="0" borderId="16" xfId="0" applyNumberFormat="1" applyFont="1" applyFill="1" applyBorder="1" applyAlignment="1" applyProtection="1">
      <alignment horizontal="right" vertical="center"/>
      <protection locked="0"/>
    </xf>
    <xf numFmtId="3" fontId="17" fillId="0" borderId="1" xfId="0" applyNumberFormat="1" applyFont="1" applyFill="1" applyBorder="1" applyAlignment="1" applyProtection="1">
      <alignment vertical="center" wrapText="1"/>
      <protection locked="0"/>
    </xf>
    <xf numFmtId="0" fontId="20" fillId="0" borderId="1" xfId="0" applyFont="1" applyBorder="1" applyAlignment="1">
      <alignment vertical="center" wrapText="1"/>
    </xf>
    <xf numFmtId="3" fontId="17" fillId="0" borderId="15" xfId="0" applyNumberFormat="1" applyFont="1" applyFill="1" applyBorder="1" applyAlignment="1" applyProtection="1">
      <alignment horizontal="right" vertical="center"/>
      <protection locked="0"/>
    </xf>
    <xf numFmtId="165" fontId="17" fillId="0" borderId="16" xfId="0" applyNumberFormat="1" applyFont="1" applyFill="1" applyBorder="1" applyAlignment="1" applyProtection="1">
      <alignment horizontal="right" vertical="center"/>
      <protection locked="0"/>
    </xf>
    <xf numFmtId="3" fontId="17" fillId="0" borderId="6" xfId="0" applyNumberFormat="1" applyFont="1" applyFill="1" applyBorder="1" applyAlignment="1" applyProtection="1">
      <alignment horizontal="right" vertical="center"/>
      <protection locked="0"/>
    </xf>
    <xf numFmtId="164" fontId="19" fillId="0" borderId="16" xfId="0" applyNumberFormat="1" applyFont="1" applyFill="1" applyBorder="1" applyAlignment="1" applyProtection="1">
      <alignment horizontal="right" vertical="center"/>
      <protection locked="0"/>
    </xf>
    <xf numFmtId="4" fontId="17" fillId="0" borderId="6" xfId="0" applyNumberFormat="1" applyFont="1" applyFill="1" applyBorder="1" applyAlignment="1" applyProtection="1">
      <alignment horizontal="right" vertical="center"/>
      <protection locked="0"/>
    </xf>
    <xf numFmtId="164" fontId="17" fillId="0" borderId="16" xfId="0" applyNumberFormat="1" applyFont="1" applyFill="1" applyBorder="1" applyAlignment="1" applyProtection="1">
      <alignment horizontal="right" vertical="center"/>
      <protection locked="0"/>
    </xf>
    <xf numFmtId="3" fontId="16" fillId="0" borderId="26" xfId="0" applyNumberFormat="1" applyFont="1" applyFill="1" applyBorder="1" applyAlignment="1" applyProtection="1">
      <alignment horizontal="center" vertical="center"/>
      <protection locked="0"/>
    </xf>
    <xf numFmtId="0" fontId="23" fillId="0" borderId="27" xfId="0" applyFont="1" applyBorder="1" applyAlignment="1">
      <alignment horizontal="center" vertical="center"/>
    </xf>
    <xf numFmtId="3" fontId="16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9" xfId="0" applyFont="1" applyBorder="1" applyAlignment="1">
      <alignment horizontal="center" vertical="center" wrapText="1"/>
    </xf>
    <xf numFmtId="3" fontId="16" fillId="0" borderId="24" xfId="0" applyNumberFormat="1" applyFont="1" applyFill="1" applyBorder="1" applyAlignment="1" applyProtection="1">
      <alignment horizontal="right" vertical="center"/>
      <protection locked="0"/>
    </xf>
    <xf numFmtId="3" fontId="16" fillId="0" borderId="62" xfId="0" applyNumberFormat="1" applyFont="1" applyFill="1" applyBorder="1" applyAlignment="1" applyProtection="1">
      <alignment vertical="center" wrapText="1"/>
      <protection locked="0"/>
    </xf>
    <xf numFmtId="165" fontId="16" fillId="0" borderId="71" xfId="0" applyNumberFormat="1" applyFont="1" applyFill="1" applyBorder="1" applyAlignment="1" applyProtection="1">
      <alignment horizontal="right" vertical="center"/>
      <protection locked="0"/>
    </xf>
    <xf numFmtId="0" fontId="10" fillId="0" borderId="24" xfId="0" applyFont="1" applyBorder="1" applyAlignment="1">
      <alignment/>
    </xf>
    <xf numFmtId="0" fontId="10" fillId="0" borderId="62" xfId="0" applyFont="1" applyBorder="1" applyAlignment="1">
      <alignment/>
    </xf>
    <xf numFmtId="0" fontId="10" fillId="0" borderId="25" xfId="0" applyFont="1" applyBorder="1" applyAlignment="1">
      <alignment/>
    </xf>
    <xf numFmtId="3" fontId="16" fillId="0" borderId="72" xfId="0" applyNumberFormat="1" applyFont="1" applyFill="1" applyBorder="1" applyAlignment="1" applyProtection="1">
      <alignment horizontal="right" vertical="center"/>
      <protection locked="0"/>
    </xf>
    <xf numFmtId="164" fontId="16" fillId="0" borderId="71" xfId="0" applyNumberFormat="1" applyFont="1" applyFill="1" applyBorder="1" applyAlignment="1" applyProtection="1">
      <alignment horizontal="right" vertical="center"/>
      <protection locked="0"/>
    </xf>
    <xf numFmtId="164" fontId="16" fillId="0" borderId="25" xfId="0" applyNumberFormat="1" applyFont="1" applyFill="1" applyBorder="1" applyAlignment="1" applyProtection="1">
      <alignment horizontal="right" vertical="center"/>
      <protection locked="0"/>
    </xf>
    <xf numFmtId="3" fontId="2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27" xfId="0" applyFont="1" applyBorder="1" applyAlignment="1">
      <alignment horizontal="center" vertical="center" wrapText="1"/>
    </xf>
    <xf numFmtId="3" fontId="21" fillId="0" borderId="26" xfId="0" applyNumberFormat="1" applyFont="1" applyFill="1" applyBorder="1" applyAlignment="1" applyProtection="1">
      <alignment horizontal="right" vertical="center"/>
      <protection locked="0"/>
    </xf>
    <xf numFmtId="165" fontId="21" fillId="0" borderId="16" xfId="0" applyNumberFormat="1" applyFont="1" applyFill="1" applyBorder="1" applyAlignment="1" applyProtection="1">
      <alignment horizontal="right" vertical="center"/>
      <protection locked="0"/>
    </xf>
    <xf numFmtId="3" fontId="21" fillId="0" borderId="42" xfId="0" applyNumberFormat="1" applyFont="1" applyFill="1" applyBorder="1" applyAlignment="1" applyProtection="1">
      <alignment horizontal="right" vertical="center"/>
      <protection locked="0"/>
    </xf>
    <xf numFmtId="3" fontId="21" fillId="0" borderId="30" xfId="0" applyNumberFormat="1" applyFont="1" applyFill="1" applyBorder="1" applyAlignment="1" applyProtection="1">
      <alignment horizontal="right" vertical="center"/>
      <protection locked="0"/>
    </xf>
    <xf numFmtId="164" fontId="28" fillId="0" borderId="39" xfId="0" applyNumberFormat="1" applyFont="1" applyFill="1" applyBorder="1" applyAlignment="1" applyProtection="1">
      <alignment horizontal="right" vertical="center"/>
      <protection locked="0"/>
    </xf>
    <xf numFmtId="4" fontId="21" fillId="0" borderId="30" xfId="0" applyNumberFormat="1" applyFont="1" applyFill="1" applyBorder="1" applyAlignment="1" applyProtection="1">
      <alignment horizontal="right" vertical="center"/>
      <protection locked="0"/>
    </xf>
    <xf numFmtId="165" fontId="21" fillId="0" borderId="41" xfId="0" applyNumberFormat="1" applyFont="1" applyFill="1" applyBorder="1" applyAlignment="1" applyProtection="1">
      <alignment horizontal="right" vertical="center"/>
      <protection locked="0"/>
    </xf>
    <xf numFmtId="164" fontId="28" fillId="0" borderId="41" xfId="0" applyNumberFormat="1" applyFont="1" applyFill="1" applyBorder="1" applyAlignment="1" applyProtection="1">
      <alignment horizontal="right" vertical="center"/>
      <protection locked="0"/>
    </xf>
    <xf numFmtId="3" fontId="21" fillId="0" borderId="63" xfId="0" applyNumberFormat="1" applyFont="1" applyFill="1" applyBorder="1" applyAlignment="1" applyProtection="1">
      <alignment horizontal="right" vertical="center"/>
      <protection locked="0"/>
    </xf>
    <xf numFmtId="164" fontId="28" fillId="0" borderId="4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/>
    </xf>
    <xf numFmtId="3" fontId="21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0" xfId="0" applyFont="1" applyBorder="1" applyAlignment="1">
      <alignment horizontal="center" vertical="center" wrapText="1"/>
    </xf>
    <xf numFmtId="3" fontId="21" fillId="0" borderId="38" xfId="0" applyNumberFormat="1" applyFont="1" applyFill="1" applyBorder="1" applyAlignment="1" applyProtection="1">
      <alignment horizontal="right" vertical="center"/>
      <protection locked="0"/>
    </xf>
    <xf numFmtId="3" fontId="21" fillId="0" borderId="30" xfId="0" applyNumberFormat="1" applyFont="1" applyFill="1" applyBorder="1" applyAlignment="1" applyProtection="1">
      <alignment vertical="center" wrapText="1"/>
      <protection locked="0"/>
    </xf>
    <xf numFmtId="4" fontId="21" fillId="0" borderId="42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" fontId="6" fillId="0" borderId="0" xfId="0" applyNumberFormat="1" applyFont="1" applyAlignment="1">
      <alignment vertical="center"/>
    </xf>
    <xf numFmtId="164" fontId="6" fillId="0" borderId="0" xfId="0" applyNumberFormat="1" applyFont="1" applyAlignment="1">
      <alignment wrapText="1"/>
    </xf>
    <xf numFmtId="3" fontId="10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wrapText="1"/>
    </xf>
    <xf numFmtId="3" fontId="10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164" fontId="16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Continuous" vertical="center"/>
    </xf>
    <xf numFmtId="3" fontId="23" fillId="0" borderId="0" xfId="0" applyNumberFormat="1" applyFont="1" applyBorder="1" applyAlignment="1">
      <alignment horizontal="centerContinuous" vertical="center"/>
    </xf>
    <xf numFmtId="1" fontId="29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1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3" fontId="23" fillId="0" borderId="0" xfId="0" applyNumberFormat="1" applyFont="1" applyFill="1" applyBorder="1" applyAlignment="1" applyProtection="1">
      <alignment horizontal="centerContinuous" vertical="center"/>
      <protection locked="0"/>
    </xf>
    <xf numFmtId="3" fontId="10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21" fillId="0" borderId="0" xfId="0" applyNumberFormat="1" applyFont="1" applyFill="1" applyBorder="1" applyAlignment="1" applyProtection="1">
      <alignment horizontal="centerContinuous" vertical="center"/>
      <protection locked="0"/>
    </xf>
    <xf numFmtId="3" fontId="10" fillId="0" borderId="0" xfId="0" applyNumberFormat="1" applyFont="1" applyAlignment="1">
      <alignment horizontal="centerContinuous"/>
    </xf>
    <xf numFmtId="3" fontId="13" fillId="0" borderId="0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wrapText="1"/>
      <protection locked="0"/>
    </xf>
    <xf numFmtId="164" fontId="17" fillId="0" borderId="0" xfId="0" applyNumberFormat="1" applyFont="1" applyFill="1" applyBorder="1" applyAlignment="1" applyProtection="1">
      <alignment horizontal="centerContinuous" vertical="center"/>
      <protection locked="0"/>
    </xf>
    <xf numFmtId="3" fontId="10" fillId="0" borderId="0" xfId="0" applyNumberFormat="1" applyFont="1" applyFill="1" applyBorder="1" applyAlignment="1" applyProtection="1">
      <alignment horizontal="left" vertical="center"/>
      <protection locked="0"/>
    </xf>
    <xf numFmtId="164" fontId="8" fillId="0" borderId="0" xfId="0" applyNumberFormat="1" applyFont="1" applyFill="1" applyBorder="1" applyAlignment="1" applyProtection="1">
      <alignment horizontal="left" vertical="center"/>
      <protection locked="0"/>
    </xf>
    <xf numFmtId="1" fontId="6" fillId="0" borderId="9" xfId="0" applyNumberFormat="1" applyFont="1" applyFill="1" applyBorder="1" applyAlignment="1" applyProtection="1">
      <alignment horizontal="center" vertical="center"/>
      <protection locked="0"/>
    </xf>
    <xf numFmtId="164" fontId="6" fillId="0" borderId="29" xfId="0" applyNumberFormat="1" applyFont="1" applyFill="1" applyBorder="1" applyAlignment="1" applyProtection="1">
      <alignment horizontal="centerContinuous" vertical="center" wrapText="1"/>
      <protection locked="0"/>
    </xf>
    <xf numFmtId="3" fontId="13" fillId="0" borderId="9" xfId="0" applyNumberFormat="1" applyFont="1" applyFill="1" applyBorder="1" applyAlignment="1" applyProtection="1">
      <alignment horizontal="centerContinuous" vertical="center"/>
      <protection locked="0"/>
    </xf>
    <xf numFmtId="3" fontId="10" fillId="0" borderId="10" xfId="0" applyNumberFormat="1" applyFont="1" applyFill="1" applyBorder="1" applyAlignment="1" applyProtection="1">
      <alignment horizontal="centerContinuous" vertical="center"/>
      <protection locked="0"/>
    </xf>
    <xf numFmtId="3" fontId="23" fillId="0" borderId="10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11" xfId="0" applyNumberFormat="1" applyFont="1" applyFill="1" applyBorder="1" applyAlignment="1" applyProtection="1">
      <alignment horizontal="centerContinuous" vertical="center"/>
      <protection locked="0"/>
    </xf>
    <xf numFmtId="3" fontId="9" fillId="0" borderId="13" xfId="0" applyNumberFormat="1" applyFont="1" applyFill="1" applyBorder="1" applyAlignment="1" applyProtection="1">
      <alignment horizontal="centerContinuous" vertical="center"/>
      <protection locked="0"/>
    </xf>
    <xf numFmtId="3" fontId="9" fillId="0" borderId="10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1" xfId="0" applyNumberFormat="1" applyFont="1" applyFill="1" applyBorder="1" applyAlignment="1" applyProtection="1">
      <alignment horizontal="centerContinuous" vertical="center"/>
      <protection locked="0"/>
    </xf>
    <xf numFmtId="3" fontId="23" fillId="0" borderId="10" xfId="0" applyNumberFormat="1" applyFont="1" applyBorder="1" applyAlignment="1">
      <alignment horizontal="centerContinuous" vertical="center" wrapText="1"/>
    </xf>
    <xf numFmtId="3" fontId="23" fillId="0" borderId="14" xfId="0" applyNumberFormat="1" applyFont="1" applyFill="1" applyBorder="1" applyAlignment="1" applyProtection="1">
      <alignment horizontal="centerContinuous" vertical="center"/>
      <protection locked="0"/>
    </xf>
    <xf numFmtId="164" fontId="21" fillId="0" borderId="34" xfId="0" applyNumberFormat="1" applyFont="1" applyFill="1" applyBorder="1" applyAlignment="1" applyProtection="1">
      <alignment horizontal="centerContinuous" vertical="center"/>
      <protection locked="0"/>
    </xf>
    <xf numFmtId="3" fontId="9" fillId="0" borderId="12" xfId="0" applyNumberFormat="1" applyFont="1" applyFill="1" applyBorder="1" applyAlignment="1" applyProtection="1">
      <alignment horizontal="centerContinuous" vertical="center"/>
      <protection locked="0"/>
    </xf>
    <xf numFmtId="3" fontId="23" fillId="0" borderId="13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14" xfId="0" applyNumberFormat="1" applyFont="1" applyFill="1" applyBorder="1" applyAlignment="1" applyProtection="1">
      <alignment horizontal="centerContinuous" vertical="center"/>
      <protection locked="0"/>
    </xf>
    <xf numFmtId="3" fontId="23" fillId="0" borderId="13" xfId="0" applyNumberFormat="1" applyFont="1" applyFill="1" applyBorder="1" applyAlignment="1" applyProtection="1">
      <alignment horizontal="centerContinuous" vertical="center" wrapText="1"/>
      <protection locked="0"/>
    </xf>
    <xf numFmtId="164" fontId="8" fillId="0" borderId="34" xfId="0" applyNumberFormat="1" applyFont="1" applyFill="1" applyBorder="1" applyAlignment="1" applyProtection="1">
      <alignment horizontal="centerContinuous" vertical="center"/>
      <protection locked="0"/>
    </xf>
    <xf numFmtId="3" fontId="6" fillId="0" borderId="0" xfId="0" applyNumberFormat="1" applyFont="1" applyBorder="1" applyAlignment="1">
      <alignment vertical="center"/>
    </xf>
    <xf numFmtId="1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1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1" fillId="0" borderId="4" xfId="20" applyNumberFormat="1" applyFont="1" applyFill="1" applyBorder="1" applyAlignment="1" applyProtection="1">
      <alignment horizontal="center" vertical="center" wrapText="1"/>
      <protection locked="0"/>
    </xf>
    <xf numFmtId="3" fontId="23" fillId="0" borderId="58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61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23" fillId="0" borderId="64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56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57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6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" fontId="7" fillId="0" borderId="42" xfId="0" applyNumberFormat="1" applyFont="1" applyFill="1" applyBorder="1" applyAlignment="1" applyProtection="1">
      <alignment horizontal="centerContinuous" vertical="center"/>
      <protection locked="0"/>
    </xf>
    <xf numFmtId="1" fontId="7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42" xfId="0" applyNumberFormat="1" applyFont="1" applyFill="1" applyBorder="1" applyAlignment="1" applyProtection="1">
      <alignment horizontal="center" vertical="center"/>
      <protection locked="0"/>
    </xf>
    <xf numFmtId="3" fontId="7" fillId="0" borderId="30" xfId="0" applyNumberFormat="1" applyFont="1" applyFill="1" applyBorder="1" applyAlignment="1" applyProtection="1">
      <alignment horizontal="center" vertical="center"/>
      <protection locked="0"/>
    </xf>
    <xf numFmtId="3" fontId="7" fillId="0" borderId="40" xfId="0" applyNumberFormat="1" applyFont="1" applyFill="1" applyBorder="1" applyAlignment="1" applyProtection="1">
      <alignment horizontal="center" vertical="center"/>
      <protection locked="0"/>
    </xf>
    <xf numFmtId="3" fontId="7" fillId="0" borderId="63" xfId="0" applyNumberFormat="1" applyFont="1" applyFill="1" applyBorder="1" applyAlignment="1" applyProtection="1">
      <alignment horizontal="center" vertical="center"/>
      <protection locked="0"/>
    </xf>
    <xf numFmtId="3" fontId="7" fillId="0" borderId="41" xfId="0" applyNumberFormat="1" applyFont="1" applyFill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49" fontId="9" fillId="0" borderId="42" xfId="0" applyNumberFormat="1" applyFont="1" applyFill="1" applyBorder="1" applyAlignment="1" applyProtection="1">
      <alignment horizontal="centerContinuous" vertical="center"/>
      <protection locked="0"/>
    </xf>
    <xf numFmtId="1" fontId="9" fillId="0" borderId="39" xfId="0" applyNumberFormat="1" applyFont="1" applyFill="1" applyBorder="1" applyAlignment="1" applyProtection="1">
      <alignment horizontal="left" vertical="center" wrapText="1"/>
      <protection locked="0"/>
    </xf>
    <xf numFmtId="3" fontId="23" fillId="0" borderId="42" xfId="0" applyNumberFormat="1" applyFont="1" applyFill="1" applyBorder="1" applyAlignment="1" applyProtection="1">
      <alignment horizontal="right" vertical="center"/>
      <protection locked="0"/>
    </xf>
    <xf numFmtId="3" fontId="23" fillId="0" borderId="30" xfId="0" applyNumberFormat="1" applyFont="1" applyFill="1" applyBorder="1" applyAlignment="1" applyProtection="1">
      <alignment vertical="center"/>
      <protection locked="0"/>
    </xf>
    <xf numFmtId="164" fontId="19" fillId="0" borderId="40" xfId="0" applyNumberFormat="1" applyFont="1" applyFill="1" applyBorder="1" applyAlignment="1" applyProtection="1">
      <alignment horizontal="right" vertical="center"/>
      <protection locked="0"/>
    </xf>
    <xf numFmtId="3" fontId="23" fillId="0" borderId="30" xfId="0" applyNumberFormat="1" applyFont="1" applyFill="1" applyBorder="1" applyAlignment="1" applyProtection="1">
      <alignment horizontal="right" vertical="center"/>
      <protection locked="0"/>
    </xf>
    <xf numFmtId="164" fontId="17" fillId="0" borderId="41" xfId="0" applyNumberFormat="1" applyFont="1" applyFill="1" applyBorder="1" applyAlignment="1" applyProtection="1">
      <alignment horizontal="right" vertical="center"/>
      <protection locked="0"/>
    </xf>
    <xf numFmtId="3" fontId="23" fillId="0" borderId="63" xfId="0" applyNumberFormat="1" applyFont="1" applyFill="1" applyBorder="1" applyAlignment="1" applyProtection="1">
      <alignment vertical="center"/>
      <protection locked="0"/>
    </xf>
    <xf numFmtId="164" fontId="28" fillId="0" borderId="41" xfId="0" applyNumberFormat="1" applyFont="1" applyFill="1" applyBorder="1" applyAlignment="1" applyProtection="1">
      <alignment vertical="center"/>
      <protection locked="0"/>
    </xf>
    <xf numFmtId="3" fontId="23" fillId="0" borderId="30" xfId="0" applyNumberFormat="1" applyFont="1" applyFill="1" applyBorder="1" applyAlignment="1" applyProtection="1">
      <alignment horizontal="center" vertical="center"/>
      <protection locked="0"/>
    </xf>
    <xf numFmtId="164" fontId="8" fillId="0" borderId="41" xfId="0" applyNumberFormat="1" applyFont="1" applyFill="1" applyBorder="1" applyAlignment="1" applyProtection="1">
      <alignment horizontal="center" vertical="center"/>
      <protection locked="0"/>
    </xf>
    <xf numFmtId="3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49" fontId="9" fillId="0" borderId="33" xfId="0" applyNumberFormat="1" applyFont="1" applyFill="1" applyBorder="1" applyAlignment="1" applyProtection="1">
      <alignment horizontal="centerContinuous" vertical="center"/>
      <protection locked="0"/>
    </xf>
    <xf numFmtId="1" fontId="9" fillId="0" borderId="31" xfId="0" applyNumberFormat="1" applyFont="1" applyFill="1" applyBorder="1" applyAlignment="1" applyProtection="1">
      <alignment horizontal="left" vertical="center" wrapText="1"/>
      <protection locked="0"/>
    </xf>
    <xf numFmtId="3" fontId="23" fillId="0" borderId="33" xfId="0" applyNumberFormat="1" applyFont="1" applyFill="1" applyBorder="1" applyAlignment="1" applyProtection="1">
      <alignment horizontal="right" vertical="center"/>
      <protection locked="0"/>
    </xf>
    <xf numFmtId="3" fontId="23" fillId="0" borderId="32" xfId="0" applyNumberFormat="1" applyFont="1" applyFill="1" applyBorder="1" applyAlignment="1" applyProtection="1">
      <alignment vertical="center"/>
      <protection locked="0"/>
    </xf>
    <xf numFmtId="164" fontId="19" fillId="0" borderId="14" xfId="0" applyNumberFormat="1" applyFont="1" applyFill="1" applyBorder="1" applyAlignment="1" applyProtection="1">
      <alignment horizontal="right" vertical="center"/>
      <protection locked="0"/>
    </xf>
    <xf numFmtId="3" fontId="23" fillId="0" borderId="32" xfId="0" applyNumberFormat="1" applyFont="1" applyFill="1" applyBorder="1" applyAlignment="1" applyProtection="1">
      <alignment horizontal="right" vertical="center"/>
      <protection locked="0"/>
    </xf>
    <xf numFmtId="3" fontId="23" fillId="0" borderId="43" xfId="0" applyNumberFormat="1" applyFont="1" applyFill="1" applyBorder="1" applyAlignment="1" applyProtection="1">
      <alignment horizontal="right" vertical="center"/>
      <protection locked="0"/>
    </xf>
    <xf numFmtId="164" fontId="17" fillId="0" borderId="34" xfId="0" applyNumberFormat="1" applyFont="1" applyFill="1" applyBorder="1" applyAlignment="1" applyProtection="1">
      <alignment horizontal="right" vertical="center"/>
      <protection locked="0"/>
    </xf>
    <xf numFmtId="3" fontId="23" fillId="0" borderId="43" xfId="0" applyNumberFormat="1" applyFont="1" applyFill="1" applyBorder="1" applyAlignment="1" applyProtection="1">
      <alignment vertical="center"/>
      <protection locked="0"/>
    </xf>
    <xf numFmtId="164" fontId="21" fillId="0" borderId="34" xfId="0" applyNumberFormat="1" applyFont="1" applyFill="1" applyBorder="1" applyAlignment="1" applyProtection="1">
      <alignment vertical="center"/>
      <protection locked="0"/>
    </xf>
    <xf numFmtId="3" fontId="23" fillId="0" borderId="32" xfId="0" applyNumberFormat="1" applyFont="1" applyFill="1" applyBorder="1" applyAlignment="1" applyProtection="1">
      <alignment horizontal="center" vertical="center"/>
      <protection locked="0"/>
    </xf>
    <xf numFmtId="164" fontId="8" fillId="0" borderId="34" xfId="0" applyNumberFormat="1" applyFont="1" applyFill="1" applyBorder="1" applyAlignment="1" applyProtection="1">
      <alignment horizontal="center" vertical="center"/>
      <protection locked="0"/>
    </xf>
    <xf numFmtId="49" fontId="6" fillId="0" borderId="15" xfId="0" applyNumberFormat="1" applyFont="1" applyFill="1" applyBorder="1" applyAlignment="1" applyProtection="1">
      <alignment horizontal="centerContinuous" vertical="center"/>
      <protection locked="0"/>
    </xf>
    <xf numFmtId="1" fontId="6" fillId="0" borderId="4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15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vertical="center"/>
      <protection locked="0"/>
    </xf>
    <xf numFmtId="164" fontId="19" fillId="0" borderId="27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Fill="1" applyBorder="1" applyAlignment="1" applyProtection="1">
      <alignment horizontal="right" vertical="center"/>
      <protection locked="0"/>
    </xf>
    <xf numFmtId="3" fontId="10" fillId="0" borderId="3" xfId="0" applyNumberFormat="1" applyFont="1" applyFill="1" applyBorder="1" applyAlignment="1" applyProtection="1">
      <alignment horizontal="right" vertical="center"/>
      <protection locked="0"/>
    </xf>
    <xf numFmtId="164" fontId="17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3" xfId="0" applyNumberFormat="1" applyFont="1" applyFill="1" applyBorder="1" applyAlignment="1" applyProtection="1">
      <alignment vertical="center"/>
      <protection locked="0"/>
    </xf>
    <xf numFmtId="164" fontId="17" fillId="0" borderId="16" xfId="0" applyNumberFormat="1" applyFont="1" applyFill="1" applyBorder="1" applyAlignment="1" applyProtection="1">
      <alignment vertical="center"/>
      <protection locked="0"/>
    </xf>
    <xf numFmtId="3" fontId="10" fillId="0" borderId="6" xfId="0" applyNumberFormat="1" applyFont="1" applyFill="1" applyBorder="1" applyAlignment="1" applyProtection="1">
      <alignment horizontal="center" vertical="center"/>
      <protection locked="0"/>
    </xf>
    <xf numFmtId="164" fontId="8" fillId="0" borderId="16" xfId="0" applyNumberFormat="1" applyFont="1" applyFill="1" applyBorder="1" applyAlignment="1" applyProtection="1">
      <alignment horizontal="center" vertical="center"/>
      <protection locked="0"/>
    </xf>
    <xf numFmtId="164" fontId="17" fillId="0" borderId="56" xfId="0" applyNumberFormat="1" applyFont="1" applyFill="1" applyBorder="1" applyAlignment="1" applyProtection="1">
      <alignment horizontal="right" vertical="center"/>
      <protection locked="0"/>
    </xf>
    <xf numFmtId="49" fontId="9" fillId="0" borderId="47" xfId="0" applyNumberFormat="1" applyFont="1" applyFill="1" applyBorder="1" applyAlignment="1" applyProtection="1">
      <alignment horizontal="centerContinuous" vertical="center"/>
      <protection locked="0"/>
    </xf>
    <xf numFmtId="1" fontId="9" fillId="0" borderId="66" xfId="0" applyNumberFormat="1" applyFont="1" applyFill="1" applyBorder="1" applyAlignment="1" applyProtection="1">
      <alignment horizontal="left" vertical="center" wrapText="1"/>
      <protection locked="0"/>
    </xf>
    <xf numFmtId="3" fontId="23" fillId="0" borderId="47" xfId="0" applyNumberFormat="1" applyFont="1" applyFill="1" applyBorder="1" applyAlignment="1" applyProtection="1">
      <alignment horizontal="right" vertical="center"/>
      <protection locked="0"/>
    </xf>
    <xf numFmtId="3" fontId="23" fillId="0" borderId="46" xfId="0" applyNumberFormat="1" applyFont="1" applyFill="1" applyBorder="1" applyAlignment="1" applyProtection="1">
      <alignment horizontal="right" vertical="center"/>
      <protection locked="0"/>
    </xf>
    <xf numFmtId="3" fontId="23" fillId="0" borderId="46" xfId="0" applyNumberFormat="1" applyFont="1" applyFill="1" applyBorder="1" applyAlignment="1" applyProtection="1">
      <alignment vertical="center"/>
      <protection locked="0"/>
    </xf>
    <xf numFmtId="164" fontId="19" fillId="0" borderId="54" xfId="0" applyNumberFormat="1" applyFont="1" applyFill="1" applyBorder="1" applyAlignment="1" applyProtection="1">
      <alignment horizontal="right" vertical="center"/>
      <protection locked="0"/>
    </xf>
    <xf numFmtId="3" fontId="23" fillId="0" borderId="46" xfId="0" applyNumberFormat="1" applyFont="1" applyFill="1" applyBorder="1" applyAlignment="1" applyProtection="1">
      <alignment horizontal="center" vertical="center"/>
      <protection locked="0"/>
    </xf>
    <xf numFmtId="3" fontId="23" fillId="0" borderId="59" xfId="0" applyNumberFormat="1" applyFont="1" applyFill="1" applyBorder="1" applyAlignment="1" applyProtection="1">
      <alignment horizontal="center" vertical="center"/>
      <protection locked="0"/>
    </xf>
    <xf numFmtId="164" fontId="8" fillId="0" borderId="45" xfId="0" applyNumberFormat="1" applyFont="1" applyFill="1" applyBorder="1" applyAlignment="1" applyProtection="1">
      <alignment horizontal="center" vertical="center"/>
      <protection locked="0"/>
    </xf>
    <xf numFmtId="3" fontId="23" fillId="0" borderId="59" xfId="0" applyNumberFormat="1" applyFont="1" applyFill="1" applyBorder="1" applyAlignment="1" applyProtection="1">
      <alignment vertical="center"/>
      <protection locked="0"/>
    </xf>
    <xf numFmtId="164" fontId="21" fillId="0" borderId="45" xfId="0" applyNumberFormat="1" applyFont="1" applyFill="1" applyBorder="1" applyAlignment="1" applyProtection="1">
      <alignment vertical="center"/>
      <protection locked="0"/>
    </xf>
    <xf numFmtId="164" fontId="17" fillId="0" borderId="45" xfId="0" applyNumberFormat="1" applyFont="1" applyFill="1" applyBorder="1" applyAlignment="1" applyProtection="1">
      <alignment horizontal="right" vertical="center"/>
      <protection locked="0"/>
    </xf>
    <xf numFmtId="3" fontId="10" fillId="0" borderId="15" xfId="0" applyNumberFormat="1" applyFont="1" applyFill="1" applyBorder="1" applyAlignment="1" applyProtection="1">
      <alignment vertical="center"/>
      <protection locked="0"/>
    </xf>
    <xf numFmtId="164" fontId="19" fillId="0" borderId="61" xfId="0" applyNumberFormat="1" applyFont="1" applyFill="1" applyBorder="1" applyAlignment="1" applyProtection="1">
      <alignment horizontal="right" vertical="center"/>
      <protection locked="0"/>
    </xf>
    <xf numFmtId="3" fontId="10" fillId="0" borderId="3" xfId="0" applyNumberFormat="1" applyFont="1" applyFill="1" applyBorder="1" applyAlignment="1" applyProtection="1">
      <alignment horizontal="center" vertical="center"/>
      <protection locked="0"/>
    </xf>
    <xf numFmtId="3" fontId="10" fillId="0" borderId="58" xfId="0" applyNumberFormat="1" applyFont="1" applyFill="1" applyBorder="1" applyAlignment="1" applyProtection="1">
      <alignment vertical="center"/>
      <protection locked="0"/>
    </xf>
    <xf numFmtId="3" fontId="10" fillId="0" borderId="57" xfId="0" applyNumberFormat="1" applyFont="1" applyFill="1" applyBorder="1" applyAlignment="1" applyProtection="1">
      <alignment horizontal="right" vertical="center"/>
      <protection locked="0"/>
    </xf>
    <xf numFmtId="3" fontId="23" fillId="0" borderId="47" xfId="0" applyNumberFormat="1" applyFont="1" applyFill="1" applyBorder="1" applyAlignment="1" applyProtection="1">
      <alignment vertical="center"/>
      <protection locked="0"/>
    </xf>
    <xf numFmtId="164" fontId="28" fillId="0" borderId="54" xfId="0" applyNumberFormat="1" applyFont="1" applyFill="1" applyBorder="1" applyAlignment="1" applyProtection="1">
      <alignment horizontal="right" vertical="center"/>
      <protection locked="0"/>
    </xf>
    <xf numFmtId="3" fontId="23" fillId="0" borderId="66" xfId="0" applyNumberFormat="1" applyFont="1" applyFill="1" applyBorder="1" applyAlignment="1" applyProtection="1">
      <alignment horizontal="right" vertical="center"/>
      <protection locked="0"/>
    </xf>
    <xf numFmtId="164" fontId="16" fillId="0" borderId="45" xfId="0" applyNumberFormat="1" applyFont="1" applyFill="1" applyBorder="1" applyAlignment="1" applyProtection="1">
      <alignment horizontal="center" vertical="center"/>
      <protection locked="0"/>
    </xf>
    <xf numFmtId="164" fontId="21" fillId="0" borderId="54" xfId="0" applyNumberFormat="1" applyFont="1" applyFill="1" applyBorder="1" applyAlignment="1" applyProtection="1">
      <alignment horizontal="right" vertical="center"/>
      <protection locked="0"/>
    </xf>
    <xf numFmtId="49" fontId="6" fillId="0" borderId="58" xfId="0" applyNumberFormat="1" applyFont="1" applyFill="1" applyBorder="1" applyAlignment="1" applyProtection="1">
      <alignment horizontal="centerContinuous" vertical="center"/>
      <protection locked="0"/>
    </xf>
    <xf numFmtId="1" fontId="6" fillId="0" borderId="64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57" xfId="0" applyNumberFormat="1" applyFont="1" applyFill="1" applyBorder="1" applyAlignment="1" applyProtection="1">
      <alignment vertical="center"/>
      <protection locked="0"/>
    </xf>
    <xf numFmtId="164" fontId="28" fillId="0" borderId="61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horizontal="right" vertical="center"/>
      <protection locked="0"/>
    </xf>
    <xf numFmtId="3" fontId="10" fillId="0" borderId="69" xfId="0" applyNumberFormat="1" applyFont="1" applyFill="1" applyBorder="1" applyAlignment="1" applyProtection="1">
      <alignment vertical="center"/>
      <protection locked="0"/>
    </xf>
    <xf numFmtId="164" fontId="17" fillId="0" borderId="56" xfId="0" applyNumberFormat="1" applyFont="1" applyFill="1" applyBorder="1" applyAlignment="1" applyProtection="1">
      <alignment vertical="center"/>
      <protection locked="0"/>
    </xf>
    <xf numFmtId="3" fontId="10" fillId="0" borderId="57" xfId="0" applyNumberFormat="1" applyFont="1" applyFill="1" applyBorder="1" applyAlignment="1" applyProtection="1">
      <alignment horizontal="center" vertical="center"/>
      <protection locked="0"/>
    </xf>
    <xf numFmtId="164" fontId="8" fillId="0" borderId="56" xfId="0" applyNumberFormat="1" applyFont="1" applyFill="1" applyBorder="1" applyAlignment="1" applyProtection="1">
      <alignment horizontal="center" vertical="center"/>
      <protection locked="0"/>
    </xf>
    <xf numFmtId="3" fontId="10" fillId="0" borderId="58" xfId="0" applyNumberFormat="1" applyFont="1" applyFill="1" applyBorder="1" applyAlignment="1" applyProtection="1">
      <alignment horizontal="right" vertical="center"/>
      <protection locked="0"/>
    </xf>
    <xf numFmtId="164" fontId="17" fillId="0" borderId="61" xfId="0" applyNumberFormat="1" applyFont="1" applyFill="1" applyBorder="1" applyAlignment="1" applyProtection="1">
      <alignment horizontal="right" vertical="center"/>
      <protection locked="0"/>
    </xf>
    <xf numFmtId="164" fontId="19" fillId="0" borderId="45" xfId="0" applyNumberFormat="1" applyFont="1" applyFill="1" applyBorder="1" applyAlignment="1" applyProtection="1">
      <alignment horizontal="right" vertical="center"/>
      <protection locked="0"/>
    </xf>
    <xf numFmtId="164" fontId="28" fillId="0" borderId="4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horizontal="right" vertical="center"/>
      <protection locked="0"/>
    </xf>
    <xf numFmtId="164" fontId="19" fillId="0" borderId="16" xfId="0" applyNumberFormat="1" applyFont="1" applyFill="1" applyBorder="1" applyAlignment="1" applyProtection="1">
      <alignment horizontal="right" vertical="center"/>
      <protection locked="0"/>
    </xf>
    <xf numFmtId="164" fontId="19" fillId="0" borderId="16" xfId="0" applyNumberFormat="1" applyFont="1" applyFill="1" applyBorder="1" applyAlignment="1" applyProtection="1">
      <alignment vertical="center"/>
      <protection locked="0"/>
    </xf>
    <xf numFmtId="164" fontId="17" fillId="0" borderId="27" xfId="0" applyNumberFormat="1" applyFont="1" applyFill="1" applyBorder="1" applyAlignment="1" applyProtection="1">
      <alignment horizontal="right" vertical="center"/>
      <protection locked="0"/>
    </xf>
    <xf numFmtId="164" fontId="28" fillId="0" borderId="27" xfId="0" applyNumberFormat="1" applyFont="1" applyFill="1" applyBorder="1" applyAlignment="1" applyProtection="1">
      <alignment horizontal="right" vertical="center"/>
      <protection locked="0"/>
    </xf>
    <xf numFmtId="3" fontId="10" fillId="0" borderId="62" xfId="0" applyNumberFormat="1" applyFont="1" applyFill="1" applyBorder="1" applyAlignment="1" applyProtection="1">
      <alignment vertical="center"/>
      <protection locked="0"/>
    </xf>
    <xf numFmtId="1" fontId="9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9" xfId="20" applyNumberFormat="1" applyFont="1" applyFill="1" applyBorder="1" applyAlignment="1" applyProtection="1">
      <alignment vertical="center" wrapText="1"/>
      <protection locked="0"/>
    </xf>
    <xf numFmtId="3" fontId="23" fillId="0" borderId="42" xfId="0" applyNumberFormat="1" applyFont="1" applyFill="1" applyBorder="1" applyAlignment="1" applyProtection="1">
      <alignment vertical="center"/>
      <protection locked="0"/>
    </xf>
    <xf numFmtId="164" fontId="19" fillId="0" borderId="41" xfId="0" applyNumberFormat="1" applyFont="1" applyFill="1" applyBorder="1" applyAlignment="1" applyProtection="1">
      <alignment horizontal="right" vertical="center"/>
      <protection locked="0"/>
    </xf>
    <xf numFmtId="164" fontId="21" fillId="0" borderId="41" xfId="0" applyNumberFormat="1" applyFont="1" applyFill="1" applyBorder="1" applyAlignment="1" applyProtection="1">
      <alignment vertical="center"/>
      <protection locked="0"/>
    </xf>
    <xf numFmtId="164" fontId="8" fillId="0" borderId="41" xfId="0" applyNumberFormat="1" applyFont="1" applyFill="1" applyBorder="1" applyAlignment="1" applyProtection="1">
      <alignment vertical="center"/>
      <protection locked="0"/>
    </xf>
    <xf numFmtId="164" fontId="8" fillId="0" borderId="40" xfId="0" applyNumberFormat="1" applyFont="1" applyFill="1" applyBorder="1" applyAlignment="1" applyProtection="1">
      <alignment horizontal="right" vertical="center"/>
      <protection locked="0"/>
    </xf>
    <xf numFmtId="164" fontId="9" fillId="0" borderId="0" xfId="0" applyNumberFormat="1" applyFont="1" applyBorder="1" applyAlignment="1">
      <alignment/>
    </xf>
    <xf numFmtId="1" fontId="9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66" xfId="20" applyNumberFormat="1" applyFont="1" applyFill="1" applyBorder="1" applyAlignment="1" applyProtection="1">
      <alignment horizontal="left" vertical="center" wrapText="1"/>
      <protection locked="0"/>
    </xf>
    <xf numFmtId="3" fontId="23" fillId="0" borderId="50" xfId="0" applyNumberFormat="1" applyFont="1" applyFill="1" applyBorder="1" applyAlignment="1" applyProtection="1">
      <alignment vertical="center"/>
      <protection locked="0"/>
    </xf>
    <xf numFmtId="164" fontId="19" fillId="0" borderId="51" xfId="0" applyNumberFormat="1" applyFont="1" applyFill="1" applyBorder="1" applyAlignment="1" applyProtection="1">
      <alignment horizontal="right" vertical="center"/>
      <protection locked="0"/>
    </xf>
    <xf numFmtId="164" fontId="19" fillId="0" borderId="53" xfId="0" applyNumberFormat="1" applyFont="1" applyFill="1" applyBorder="1" applyAlignment="1" applyProtection="1">
      <alignment horizontal="right" vertical="center"/>
      <protection locked="0"/>
    </xf>
    <xf numFmtId="164" fontId="8" fillId="0" borderId="45" xfId="0" applyNumberFormat="1" applyFont="1" applyFill="1" applyBorder="1" applyAlignment="1" applyProtection="1">
      <alignment vertical="center"/>
      <protection locked="0"/>
    </xf>
    <xf numFmtId="164" fontId="8" fillId="0" borderId="54" xfId="0" applyNumberFormat="1" applyFont="1" applyFill="1" applyBorder="1" applyAlignment="1" applyProtection="1">
      <alignment horizontal="right" vertical="center"/>
      <protection locked="0"/>
    </xf>
    <xf numFmtId="1" fontId="6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4" xfId="20" applyNumberFormat="1" applyFont="1" applyFill="1" applyBorder="1" applyAlignment="1" applyProtection="1">
      <alignment horizontal="left" vertical="center" wrapText="1"/>
      <protection locked="0"/>
    </xf>
    <xf numFmtId="164" fontId="8" fillId="0" borderId="16" xfId="0" applyNumberFormat="1" applyFont="1" applyFill="1" applyBorder="1" applyAlignment="1" applyProtection="1">
      <alignment vertical="center"/>
      <protection locked="0"/>
    </xf>
    <xf numFmtId="164" fontId="8" fillId="0" borderId="27" xfId="0" applyNumberFormat="1" applyFont="1" applyFill="1" applyBorder="1" applyAlignment="1" applyProtection="1">
      <alignment horizontal="right" vertical="center"/>
      <protection locked="0"/>
    </xf>
    <xf numFmtId="164" fontId="6" fillId="0" borderId="4" xfId="20" applyNumberFormat="1" applyFont="1" applyFill="1" applyBorder="1" applyAlignment="1" applyProtection="1">
      <alignment vertical="center" wrapText="1"/>
      <protection locked="0"/>
    </xf>
    <xf numFmtId="3" fontId="10" fillId="0" borderId="24" xfId="0" applyNumberFormat="1" applyFont="1" applyFill="1" applyBorder="1" applyAlignment="1" applyProtection="1">
      <alignment vertical="center"/>
      <protection locked="0"/>
    </xf>
    <xf numFmtId="164" fontId="8" fillId="0" borderId="27" xfId="0" applyNumberFormat="1" applyFont="1" applyFill="1" applyBorder="1" applyAlignment="1" applyProtection="1">
      <alignment vertical="center"/>
      <protection locked="0"/>
    </xf>
    <xf numFmtId="164" fontId="28" fillId="0" borderId="40" xfId="0" applyNumberFormat="1" applyFont="1" applyFill="1" applyBorder="1" applyAlignment="1" applyProtection="1">
      <alignment horizontal="right" vertical="center"/>
      <protection locked="0"/>
    </xf>
    <xf numFmtId="164" fontId="21" fillId="0" borderId="41" xfId="0" applyNumberFormat="1" applyFont="1" applyFill="1" applyBorder="1" applyAlignment="1" applyProtection="1">
      <alignment horizontal="right" vertical="center"/>
      <protection locked="0"/>
    </xf>
    <xf numFmtId="164" fontId="16" fillId="0" borderId="40" xfId="0" applyNumberFormat="1" applyFont="1" applyFill="1" applyBorder="1" applyAlignment="1" applyProtection="1">
      <alignment vertical="center"/>
      <protection locked="0"/>
    </xf>
    <xf numFmtId="1" fontId="9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29" xfId="20" applyNumberFormat="1" applyFont="1" applyFill="1" applyBorder="1" applyAlignment="1" applyProtection="1">
      <alignment vertical="center" wrapText="1"/>
      <protection locked="0"/>
    </xf>
    <xf numFmtId="3" fontId="23" fillId="0" borderId="15" xfId="0" applyNumberFormat="1" applyFont="1" applyFill="1" applyBorder="1" applyAlignment="1" applyProtection="1">
      <alignment vertical="center"/>
      <protection locked="0"/>
    </xf>
    <xf numFmtId="3" fontId="23" fillId="0" borderId="6" xfId="0" applyNumberFormat="1" applyFont="1" applyFill="1" applyBorder="1" applyAlignment="1" applyProtection="1">
      <alignment vertical="center"/>
      <protection locked="0"/>
    </xf>
    <xf numFmtId="3" fontId="23" fillId="0" borderId="3" xfId="0" applyNumberFormat="1" applyFont="1" applyFill="1" applyBorder="1" applyAlignment="1" applyProtection="1">
      <alignment vertical="center"/>
      <protection locked="0"/>
    </xf>
    <xf numFmtId="164" fontId="21" fillId="0" borderId="16" xfId="0" applyNumberFormat="1" applyFont="1" applyFill="1" applyBorder="1" applyAlignment="1" applyProtection="1">
      <alignment vertical="center"/>
      <protection locked="0"/>
    </xf>
    <xf numFmtId="3" fontId="23" fillId="0" borderId="4" xfId="0" applyNumberFormat="1" applyFont="1" applyFill="1" applyBorder="1" applyAlignment="1" applyProtection="1">
      <alignment vertical="center"/>
      <protection locked="0"/>
    </xf>
    <xf numFmtId="3" fontId="23" fillId="0" borderId="28" xfId="0" applyNumberFormat="1" applyFont="1" applyFill="1" applyBorder="1" applyAlignment="1" applyProtection="1">
      <alignment vertical="center"/>
      <protection locked="0"/>
    </xf>
    <xf numFmtId="164" fontId="21" fillId="0" borderId="16" xfId="0" applyNumberFormat="1" applyFont="1" applyFill="1" applyBorder="1" applyAlignment="1" applyProtection="1">
      <alignment horizontal="right" vertical="center"/>
      <protection locked="0"/>
    </xf>
    <xf numFmtId="164" fontId="16" fillId="0" borderId="27" xfId="0" applyNumberFormat="1" applyFont="1" applyFill="1" applyBorder="1" applyAlignment="1" applyProtection="1">
      <alignment vertical="center"/>
      <protection locked="0"/>
    </xf>
    <xf numFmtId="1" fontId="6" fillId="0" borderId="58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64" xfId="20" applyNumberFormat="1" applyFont="1" applyFill="1" applyBorder="1" applyAlignment="1" applyProtection="1">
      <alignment vertical="center" wrapText="1"/>
      <protection locked="0"/>
    </xf>
    <xf numFmtId="164" fontId="19" fillId="0" borderId="56" xfId="0" applyNumberFormat="1" applyFont="1" applyFill="1" applyBorder="1" applyAlignment="1" applyProtection="1">
      <alignment horizontal="right" vertical="center"/>
      <protection locked="0"/>
    </xf>
    <xf numFmtId="3" fontId="10" fillId="0" borderId="64" xfId="0" applyNumberFormat="1" applyFont="1" applyFill="1" applyBorder="1" applyAlignment="1" applyProtection="1">
      <alignment vertical="center"/>
      <protection locked="0"/>
    </xf>
    <xf numFmtId="164" fontId="8" fillId="0" borderId="61" xfId="0" applyNumberFormat="1" applyFont="1" applyFill="1" applyBorder="1" applyAlignment="1" applyProtection="1">
      <alignment vertical="center"/>
      <protection locked="0"/>
    </xf>
    <xf numFmtId="1" fontId="6" fillId="0" borderId="52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53" xfId="20" applyNumberFormat="1" applyFont="1" applyFill="1" applyBorder="1" applyAlignment="1" applyProtection="1">
      <alignment vertical="center" wrapText="1"/>
      <protection locked="0"/>
    </xf>
    <xf numFmtId="3" fontId="10" fillId="0" borderId="52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Fill="1" applyBorder="1" applyAlignment="1" applyProtection="1">
      <alignment vertical="center"/>
      <protection locked="0"/>
    </xf>
    <xf numFmtId="3" fontId="10" fillId="0" borderId="65" xfId="0" applyNumberFormat="1" applyFont="1" applyFill="1" applyBorder="1" applyAlignment="1" applyProtection="1">
      <alignment vertical="center"/>
      <protection locked="0"/>
    </xf>
    <xf numFmtId="164" fontId="17" fillId="0" borderId="53" xfId="0" applyNumberFormat="1" applyFont="1" applyFill="1" applyBorder="1" applyAlignment="1" applyProtection="1">
      <alignment vertical="center"/>
      <protection locked="0"/>
    </xf>
    <xf numFmtId="3" fontId="10" fillId="0" borderId="49" xfId="0" applyNumberFormat="1" applyFont="1" applyFill="1" applyBorder="1" applyAlignment="1" applyProtection="1">
      <alignment vertical="center"/>
      <protection locked="0"/>
    </xf>
    <xf numFmtId="164" fontId="17" fillId="0" borderId="53" xfId="0" applyNumberFormat="1" applyFont="1" applyFill="1" applyBorder="1" applyAlignment="1" applyProtection="1">
      <alignment horizontal="right" vertical="center"/>
      <protection locked="0"/>
    </xf>
    <xf numFmtId="164" fontId="8" fillId="0" borderId="51" xfId="0" applyNumberFormat="1" applyFont="1" applyFill="1" applyBorder="1" applyAlignment="1" applyProtection="1">
      <alignment vertical="center"/>
      <protection locked="0"/>
    </xf>
    <xf numFmtId="164" fontId="9" fillId="0" borderId="45" xfId="20" applyNumberFormat="1" applyFont="1" applyFill="1" applyBorder="1" applyAlignment="1" applyProtection="1">
      <alignment vertical="center" wrapText="1"/>
      <protection locked="0"/>
    </xf>
    <xf numFmtId="164" fontId="21" fillId="0" borderId="45" xfId="0" applyNumberFormat="1" applyFont="1" applyFill="1" applyBorder="1" applyAlignment="1" applyProtection="1">
      <alignment horizontal="right" vertical="center"/>
      <protection locked="0"/>
    </xf>
    <xf numFmtId="3" fontId="23" fillId="0" borderId="66" xfId="0" applyNumberFormat="1" applyFont="1" applyFill="1" applyBorder="1" applyAlignment="1" applyProtection="1">
      <alignment vertical="center"/>
      <protection locked="0"/>
    </xf>
    <xf numFmtId="164" fontId="16" fillId="0" borderId="45" xfId="0" applyNumberFormat="1" applyFont="1" applyFill="1" applyBorder="1" applyAlignment="1" applyProtection="1">
      <alignment vertical="center"/>
      <protection locked="0"/>
    </xf>
    <xf numFmtId="164" fontId="16" fillId="0" borderId="54" xfId="0" applyNumberFormat="1" applyFont="1" applyFill="1" applyBorder="1" applyAlignment="1" applyProtection="1">
      <alignment vertical="center"/>
      <protection locked="0"/>
    </xf>
    <xf numFmtId="164" fontId="8" fillId="0" borderId="56" xfId="0" applyNumberFormat="1" applyFont="1" applyFill="1" applyBorder="1" applyAlignment="1" applyProtection="1">
      <alignment vertical="center"/>
      <protection locked="0"/>
    </xf>
    <xf numFmtId="164" fontId="6" fillId="0" borderId="49" xfId="20" applyNumberFormat="1" applyFont="1" applyFill="1" applyBorder="1" applyAlignment="1" applyProtection="1">
      <alignment vertical="center" wrapText="1"/>
      <protection locked="0"/>
    </xf>
    <xf numFmtId="3" fontId="10" fillId="0" borderId="50" xfId="0" applyNumberFormat="1" applyFont="1" applyFill="1" applyBorder="1" applyAlignment="1" applyProtection="1">
      <alignment horizontal="right" vertical="center"/>
      <protection locked="0"/>
    </xf>
    <xf numFmtId="164" fontId="8" fillId="0" borderId="53" xfId="0" applyNumberFormat="1" applyFont="1" applyFill="1" applyBorder="1" applyAlignment="1" applyProtection="1">
      <alignment vertical="center"/>
      <protection locked="0"/>
    </xf>
    <xf numFmtId="3" fontId="23" fillId="0" borderId="59" xfId="0" applyNumberFormat="1" applyFont="1" applyFill="1" applyBorder="1" applyAlignment="1" applyProtection="1">
      <alignment horizontal="right" vertical="center"/>
      <protection locked="0"/>
    </xf>
    <xf numFmtId="164" fontId="7" fillId="0" borderId="45" xfId="0" applyNumberFormat="1" applyFont="1" applyFill="1" applyBorder="1" applyAlignment="1" applyProtection="1">
      <alignment horizontal="right" vertical="center"/>
      <protection locked="0"/>
    </xf>
    <xf numFmtId="164" fontId="8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26" xfId="0" applyNumberFormat="1" applyFont="1" applyFill="1" applyBorder="1" applyAlignment="1" applyProtection="1">
      <alignment vertical="center"/>
      <protection locked="0"/>
    </xf>
    <xf numFmtId="1" fontId="18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18" fillId="0" borderId="4" xfId="20" applyNumberFormat="1" applyFont="1" applyFill="1" applyBorder="1" applyAlignment="1" applyProtection="1">
      <alignment vertical="center" wrapText="1"/>
      <protection locked="0"/>
    </xf>
    <xf numFmtId="3" fontId="20" fillId="0" borderId="26" xfId="0" applyNumberFormat="1" applyFont="1" applyFill="1" applyBorder="1" applyAlignment="1" applyProtection="1">
      <alignment vertical="center"/>
      <protection locked="0"/>
    </xf>
    <xf numFmtId="3" fontId="20" fillId="0" borderId="6" xfId="0" applyNumberFormat="1" applyFont="1" applyFill="1" applyBorder="1" applyAlignment="1" applyProtection="1">
      <alignment vertical="center"/>
      <protection locked="0"/>
    </xf>
    <xf numFmtId="3" fontId="20" fillId="0" borderId="3" xfId="0" applyNumberFormat="1" applyFont="1" applyFill="1" applyBorder="1" applyAlignment="1" applyProtection="1">
      <alignment vertical="center"/>
      <protection locked="0"/>
    </xf>
    <xf numFmtId="3" fontId="20" fillId="0" borderId="15" xfId="0" applyNumberFormat="1" applyFont="1" applyFill="1" applyBorder="1" applyAlignment="1" applyProtection="1">
      <alignment vertical="center"/>
      <protection locked="0"/>
    </xf>
    <xf numFmtId="3" fontId="18" fillId="0" borderId="0" xfId="0" applyNumberFormat="1" applyFont="1" applyBorder="1" applyAlignment="1">
      <alignment/>
    </xf>
    <xf numFmtId="1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/>
    </xf>
    <xf numFmtId="164" fontId="18" fillId="0" borderId="0" xfId="20" applyNumberFormat="1" applyFont="1" applyFill="1" applyBorder="1" applyAlignment="1" applyProtection="1">
      <alignment vertical="center" wrapText="1"/>
      <protection locked="0"/>
    </xf>
    <xf numFmtId="1" fontId="18" fillId="0" borderId="52" xfId="0" applyNumberFormat="1" applyFont="1" applyFill="1" applyBorder="1" applyAlignment="1" applyProtection="1">
      <alignment horizontal="centerContinuous" vertical="center"/>
      <protection locked="0"/>
    </xf>
    <xf numFmtId="164" fontId="18" fillId="0" borderId="49" xfId="20" applyNumberFormat="1" applyFont="1" applyFill="1" applyBorder="1" applyAlignment="1" applyProtection="1">
      <alignment vertical="center" wrapText="1"/>
      <protection locked="0"/>
    </xf>
    <xf numFmtId="3" fontId="20" fillId="0" borderId="48" xfId="0" applyNumberFormat="1" applyFont="1" applyFill="1" applyBorder="1" applyAlignment="1" applyProtection="1">
      <alignment vertical="center"/>
      <protection locked="0"/>
    </xf>
    <xf numFmtId="3" fontId="20" fillId="0" borderId="50" xfId="0" applyNumberFormat="1" applyFont="1" applyFill="1" applyBorder="1" applyAlignment="1" applyProtection="1">
      <alignment vertical="center"/>
      <protection locked="0"/>
    </xf>
    <xf numFmtId="3" fontId="20" fillId="0" borderId="65" xfId="0" applyNumberFormat="1" applyFont="1" applyFill="1" applyBorder="1" applyAlignment="1" applyProtection="1">
      <alignment vertical="center"/>
      <protection locked="0"/>
    </xf>
    <xf numFmtId="3" fontId="20" fillId="0" borderId="52" xfId="0" applyNumberFormat="1" applyFont="1" applyFill="1" applyBorder="1" applyAlignment="1" applyProtection="1">
      <alignment vertical="center"/>
      <protection locked="0"/>
    </xf>
    <xf numFmtId="164" fontId="17" fillId="0" borderId="51" xfId="0" applyNumberFormat="1" applyFont="1" applyFill="1" applyBorder="1" applyAlignment="1" applyProtection="1">
      <alignment horizontal="right" vertical="center"/>
      <protection locked="0"/>
    </xf>
    <xf numFmtId="164" fontId="8" fillId="0" borderId="45" xfId="0" applyNumberFormat="1" applyFont="1" applyFill="1" applyBorder="1" applyAlignment="1" applyProtection="1">
      <alignment horizontal="right" vertical="center"/>
      <protection locked="0"/>
    </xf>
    <xf numFmtId="164" fontId="6" fillId="0" borderId="16" xfId="20" applyNumberFormat="1" applyFont="1" applyFill="1" applyBorder="1" applyAlignment="1" applyProtection="1">
      <alignment vertical="center" wrapText="1"/>
      <protection locked="0"/>
    </xf>
    <xf numFmtId="0" fontId="18" fillId="0" borderId="4" xfId="0" applyFont="1" applyBorder="1" applyAlignment="1">
      <alignment horizontal="left" vertical="center" wrapText="1"/>
    </xf>
    <xf numFmtId="3" fontId="20" fillId="0" borderId="6" xfId="0" applyNumberFormat="1" applyFont="1" applyFill="1" applyBorder="1" applyAlignment="1" applyProtection="1">
      <alignment horizontal="right" vertical="center"/>
      <protection locked="0"/>
    </xf>
    <xf numFmtId="164" fontId="17" fillId="0" borderId="27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Border="1" applyAlignment="1">
      <alignment horizontal="left" vertical="center" wrapText="1"/>
    </xf>
    <xf numFmtId="0" fontId="9" fillId="0" borderId="6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" fontId="9" fillId="0" borderId="52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49" xfId="20" applyNumberFormat="1" applyFont="1" applyFill="1" applyBorder="1" applyAlignment="1" applyProtection="1">
      <alignment vertical="center" wrapText="1"/>
      <protection locked="0"/>
    </xf>
    <xf numFmtId="3" fontId="23" fillId="0" borderId="52" xfId="0" applyNumberFormat="1" applyFont="1" applyFill="1" applyBorder="1" applyAlignment="1" applyProtection="1">
      <alignment vertical="center"/>
      <protection locked="0"/>
    </xf>
    <xf numFmtId="164" fontId="28" fillId="0" borderId="51" xfId="0" applyNumberFormat="1" applyFont="1" applyFill="1" applyBorder="1" applyAlignment="1" applyProtection="1">
      <alignment horizontal="right" vertical="center"/>
      <protection locked="0"/>
    </xf>
    <xf numFmtId="3" fontId="23" fillId="0" borderId="65" xfId="0" applyNumberFormat="1" applyFont="1" applyFill="1" applyBorder="1" applyAlignment="1" applyProtection="1">
      <alignment vertical="center"/>
      <protection locked="0"/>
    </xf>
    <xf numFmtId="3" fontId="23" fillId="0" borderId="50" xfId="0" applyNumberFormat="1" applyFont="1" applyFill="1" applyBorder="1" applyAlignment="1" applyProtection="1">
      <alignment horizontal="right" vertical="center"/>
      <protection locked="0"/>
    </xf>
    <xf numFmtId="164" fontId="21" fillId="0" borderId="53" xfId="0" applyNumberFormat="1" applyFont="1" applyFill="1" applyBorder="1" applyAlignment="1" applyProtection="1">
      <alignment horizontal="right" vertical="center"/>
      <protection locked="0"/>
    </xf>
    <xf numFmtId="164" fontId="16" fillId="0" borderId="53" xfId="0" applyNumberFormat="1" applyFont="1" applyFill="1" applyBorder="1" applyAlignment="1" applyProtection="1">
      <alignment vertical="center"/>
      <protection locked="0"/>
    </xf>
    <xf numFmtId="164" fontId="16" fillId="0" borderId="51" xfId="0" applyNumberFormat="1" applyFont="1" applyFill="1" applyBorder="1" applyAlignment="1" applyProtection="1">
      <alignment vertical="center"/>
      <protection locked="0"/>
    </xf>
    <xf numFmtId="3" fontId="10" fillId="0" borderId="48" xfId="0" applyNumberFormat="1" applyFont="1" applyFill="1" applyBorder="1" applyAlignment="1" applyProtection="1">
      <alignment vertical="center"/>
      <protection locked="0"/>
    </xf>
    <xf numFmtId="3" fontId="9" fillId="0" borderId="66" xfId="20" applyNumberFormat="1" applyFont="1" applyFill="1" applyBorder="1" applyAlignment="1" applyProtection="1">
      <alignment vertical="center" wrapText="1"/>
      <protection locked="0"/>
    </xf>
    <xf numFmtId="3" fontId="23" fillId="0" borderId="44" xfId="0" applyNumberFormat="1" applyFont="1" applyFill="1" applyBorder="1" applyAlignment="1" applyProtection="1">
      <alignment vertical="center"/>
      <protection locked="0"/>
    </xf>
    <xf numFmtId="164" fontId="8" fillId="0" borderId="54" xfId="0" applyNumberFormat="1" applyFont="1" applyFill="1" applyBorder="1" applyAlignment="1" applyProtection="1">
      <alignment vertical="center"/>
      <protection locked="0"/>
    </xf>
    <xf numFmtId="1" fontId="6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6" fillId="0" borderId="66" xfId="20" applyNumberFormat="1" applyFont="1" applyFill="1" applyBorder="1" applyAlignment="1" applyProtection="1">
      <alignment vertical="center" wrapText="1"/>
      <protection locked="0"/>
    </xf>
    <xf numFmtId="3" fontId="10" fillId="0" borderId="47" xfId="0" applyNumberFormat="1" applyFont="1" applyFill="1" applyBorder="1" applyAlignment="1" applyProtection="1">
      <alignment vertical="center"/>
      <protection locked="0"/>
    </xf>
    <xf numFmtId="3" fontId="10" fillId="0" borderId="46" xfId="0" applyNumberFormat="1" applyFont="1" applyFill="1" applyBorder="1" applyAlignment="1" applyProtection="1">
      <alignment vertical="center"/>
      <protection locked="0"/>
    </xf>
    <xf numFmtId="3" fontId="10" fillId="0" borderId="59" xfId="0" applyNumberFormat="1" applyFont="1" applyFill="1" applyBorder="1" applyAlignment="1" applyProtection="1">
      <alignment vertical="center"/>
      <protection locked="0"/>
    </xf>
    <xf numFmtId="164" fontId="17" fillId="0" borderId="45" xfId="0" applyNumberFormat="1" applyFont="1" applyFill="1" applyBorder="1" applyAlignment="1" applyProtection="1">
      <alignment vertical="center"/>
      <protection locked="0"/>
    </xf>
    <xf numFmtId="164" fontId="9" fillId="0" borderId="16" xfId="20" applyNumberFormat="1" applyFont="1" applyFill="1" applyBorder="1" applyAlignment="1" applyProtection="1">
      <alignment vertical="center" wrapText="1"/>
      <protection locked="0"/>
    </xf>
    <xf numFmtId="1" fontId="6" fillId="0" borderId="15" xfId="0" applyNumberFormat="1" applyFont="1" applyFill="1" applyBorder="1" applyAlignment="1" applyProtection="1">
      <alignment horizontal="center" vertical="center"/>
      <protection locked="0"/>
    </xf>
    <xf numFmtId="164" fontId="17" fillId="0" borderId="40" xfId="0" applyNumberFormat="1" applyFont="1" applyFill="1" applyBorder="1" applyAlignment="1" applyProtection="1">
      <alignment horizontal="right" vertical="center"/>
      <protection locked="0"/>
    </xf>
    <xf numFmtId="164" fontId="8" fillId="0" borderId="40" xfId="0" applyNumberFormat="1" applyFont="1" applyFill="1" applyBorder="1" applyAlignment="1" applyProtection="1">
      <alignment vertical="center"/>
      <protection locked="0"/>
    </xf>
    <xf numFmtId="164" fontId="9" fillId="0" borderId="66" xfId="20" applyNumberFormat="1" applyFont="1" applyFill="1" applyBorder="1" applyAlignment="1" applyProtection="1">
      <alignment vertical="center" wrapText="1"/>
      <protection locked="0"/>
    </xf>
    <xf numFmtId="164" fontId="17" fillId="0" borderId="14" xfId="0" applyNumberFormat="1" applyFont="1" applyFill="1" applyBorder="1" applyAlignment="1" applyProtection="1">
      <alignment horizontal="right" vertical="center"/>
      <protection locked="0"/>
    </xf>
    <xf numFmtId="164" fontId="18" fillId="0" borderId="4" xfId="20" applyNumberFormat="1" applyFont="1" applyFill="1" applyBorder="1" applyAlignment="1" applyProtection="1">
      <alignment horizontal="left" vertical="center" wrapText="1"/>
      <protection locked="0"/>
    </xf>
    <xf numFmtId="3" fontId="18" fillId="0" borderId="15" xfId="0" applyNumberFormat="1" applyFont="1" applyFill="1" applyBorder="1" applyAlignment="1" applyProtection="1">
      <alignment vertical="center"/>
      <protection locked="0"/>
    </xf>
    <xf numFmtId="3" fontId="18" fillId="0" borderId="6" xfId="0" applyNumberFormat="1" applyFont="1" applyFill="1" applyBorder="1" applyAlignment="1" applyProtection="1">
      <alignment vertical="center"/>
      <protection locked="0"/>
    </xf>
    <xf numFmtId="164" fontId="18" fillId="0" borderId="27" xfId="0" applyNumberFormat="1" applyFont="1" applyFill="1" applyBorder="1" applyAlignment="1" applyProtection="1">
      <alignment horizontal="right" vertical="center"/>
      <protection locked="0"/>
    </xf>
    <xf numFmtId="3" fontId="18" fillId="0" borderId="3" xfId="0" applyNumberFormat="1" applyFont="1" applyFill="1" applyBorder="1" applyAlignment="1" applyProtection="1">
      <alignment vertical="center"/>
      <protection locked="0"/>
    </xf>
    <xf numFmtId="164" fontId="18" fillId="0" borderId="16" xfId="0" applyNumberFormat="1" applyFont="1" applyFill="1" applyBorder="1" applyAlignment="1" applyProtection="1">
      <alignment vertical="center"/>
      <protection locked="0"/>
    </xf>
    <xf numFmtId="164" fontId="18" fillId="0" borderId="27" xfId="0" applyNumberFormat="1" applyFont="1" applyFill="1" applyBorder="1" applyAlignment="1" applyProtection="1">
      <alignment vertical="center"/>
      <protection locked="0"/>
    </xf>
    <xf numFmtId="164" fontId="17" fillId="0" borderId="54" xfId="0" applyNumberFormat="1" applyFont="1" applyFill="1" applyBorder="1" applyAlignment="1" applyProtection="1">
      <alignment horizontal="right" vertical="center"/>
      <protection locked="0"/>
    </xf>
    <xf numFmtId="1" fontId="24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24" fillId="0" borderId="4" xfId="20" applyNumberFormat="1" applyFont="1" applyFill="1" applyBorder="1" applyAlignment="1" applyProtection="1">
      <alignment vertical="center" wrapText="1"/>
      <protection locked="0"/>
    </xf>
    <xf numFmtId="3" fontId="25" fillId="0" borderId="15" xfId="0" applyNumberFormat="1" applyFont="1" applyFill="1" applyBorder="1" applyAlignment="1" applyProtection="1">
      <alignment vertical="center"/>
      <protection locked="0"/>
    </xf>
    <xf numFmtId="3" fontId="25" fillId="0" borderId="6" xfId="0" applyNumberFormat="1" applyFont="1" applyFill="1" applyBorder="1" applyAlignment="1" applyProtection="1">
      <alignment vertical="center"/>
      <protection locked="0"/>
    </xf>
    <xf numFmtId="3" fontId="25" fillId="0" borderId="3" xfId="0" applyNumberFormat="1" applyFont="1" applyFill="1" applyBorder="1" applyAlignment="1" applyProtection="1">
      <alignment vertical="center"/>
      <protection locked="0"/>
    </xf>
    <xf numFmtId="164" fontId="21" fillId="0" borderId="27" xfId="0" applyNumberFormat="1" applyFont="1" applyFill="1" applyBorder="1" applyAlignment="1" applyProtection="1">
      <alignment vertical="center"/>
      <protection locked="0"/>
    </xf>
    <xf numFmtId="3" fontId="24" fillId="0" borderId="0" xfId="0" applyNumberFormat="1" applyFont="1" applyBorder="1" applyAlignment="1">
      <alignment/>
    </xf>
    <xf numFmtId="1" fontId="24" fillId="0" borderId="0" xfId="0" applyNumberFormat="1" applyFont="1" applyBorder="1" applyAlignment="1">
      <alignment/>
    </xf>
    <xf numFmtId="164" fontId="24" fillId="0" borderId="0" xfId="0" applyNumberFormat="1" applyFont="1" applyBorder="1" applyAlignment="1">
      <alignment/>
    </xf>
    <xf numFmtId="164" fontId="7" fillId="0" borderId="27" xfId="0" applyNumberFormat="1" applyFont="1" applyFill="1" applyBorder="1" applyAlignment="1" applyProtection="1">
      <alignment horizontal="right" vertical="center"/>
      <protection locked="0"/>
    </xf>
    <xf numFmtId="3" fontId="23" fillId="0" borderId="48" xfId="0" applyNumberFormat="1" applyFont="1" applyFill="1" applyBorder="1" applyAlignment="1" applyProtection="1">
      <alignment vertical="center"/>
      <protection locked="0"/>
    </xf>
    <xf numFmtId="164" fontId="21" fillId="0" borderId="53" xfId="0" applyNumberFormat="1" applyFont="1" applyFill="1" applyBorder="1" applyAlignment="1" applyProtection="1">
      <alignment vertical="center"/>
      <protection locked="0"/>
    </xf>
    <xf numFmtId="164" fontId="6" fillId="0" borderId="45" xfId="20" applyNumberFormat="1" applyFont="1" applyFill="1" applyBorder="1" applyAlignment="1" applyProtection="1">
      <alignment vertical="center" wrapText="1"/>
      <protection locked="0"/>
    </xf>
    <xf numFmtId="1" fontId="9" fillId="0" borderId="33" xfId="0" applyNumberFormat="1" applyFont="1" applyFill="1" applyBorder="1" applyAlignment="1" applyProtection="1">
      <alignment horizontal="centerContinuous" vertical="center"/>
      <protection locked="0"/>
    </xf>
    <xf numFmtId="164" fontId="9" fillId="0" borderId="31" xfId="20" applyNumberFormat="1" applyFont="1" applyFill="1" applyBorder="1" applyAlignment="1" applyProtection="1">
      <alignment vertical="center" wrapText="1"/>
      <protection locked="0"/>
    </xf>
    <xf numFmtId="3" fontId="23" fillId="0" borderId="33" xfId="0" applyNumberFormat="1" applyFont="1" applyFill="1" applyBorder="1" applyAlignment="1" applyProtection="1">
      <alignment vertical="center"/>
      <protection locked="0"/>
    </xf>
    <xf numFmtId="3" fontId="23" fillId="0" borderId="12" xfId="0" applyNumberFormat="1" applyFont="1" applyFill="1" applyBorder="1" applyAlignment="1" applyProtection="1">
      <alignment vertical="center"/>
      <protection locked="0"/>
    </xf>
    <xf numFmtId="164" fontId="21" fillId="0" borderId="34" xfId="0" applyNumberFormat="1" applyFont="1" applyFill="1" applyBorder="1" applyAlignment="1" applyProtection="1">
      <alignment horizontal="right"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6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vertical="center"/>
      <protection locked="0"/>
    </xf>
    <xf numFmtId="3" fontId="23" fillId="0" borderId="60" xfId="0" applyNumberFormat="1" applyFont="1" applyFill="1" applyBorder="1" applyAlignment="1" applyProtection="1">
      <alignment vertical="center"/>
      <protection locked="0"/>
    </xf>
    <xf numFmtId="164" fontId="28" fillId="0" borderId="41" xfId="0" applyNumberFormat="1" applyFont="1" applyFill="1" applyBorder="1" applyAlignment="1" applyProtection="1">
      <alignment horizontal="right" vertical="center"/>
      <protection locked="0"/>
    </xf>
    <xf numFmtId="3" fontId="23" fillId="0" borderId="38" xfId="0" applyNumberFormat="1" applyFont="1" applyFill="1" applyBorder="1" applyAlignment="1" applyProtection="1">
      <alignment vertical="center"/>
      <protection locked="0"/>
    </xf>
    <xf numFmtId="164" fontId="28" fillId="0" borderId="53" xfId="0" applyNumberFormat="1" applyFont="1" applyFill="1" applyBorder="1" applyAlignment="1" applyProtection="1">
      <alignment horizontal="right" vertical="center"/>
      <protection locked="0"/>
    </xf>
    <xf numFmtId="164" fontId="6" fillId="0" borderId="56" xfId="20" applyNumberFormat="1" applyFont="1" applyFill="1" applyBorder="1" applyAlignment="1" applyProtection="1">
      <alignment vertical="center" wrapText="1"/>
      <protection locked="0"/>
    </xf>
    <xf numFmtId="3" fontId="10" fillId="0" borderId="68" xfId="0" applyNumberFormat="1" applyFont="1" applyFill="1" applyBorder="1" applyAlignment="1" applyProtection="1">
      <alignment vertical="center"/>
      <protection locked="0"/>
    </xf>
    <xf numFmtId="3" fontId="10" fillId="0" borderId="50" xfId="0" applyNumberFormat="1" applyFont="1" applyBorder="1" applyAlignment="1">
      <alignment/>
    </xf>
    <xf numFmtId="3" fontId="10" fillId="0" borderId="65" xfId="0" applyNumberFormat="1" applyFont="1" applyBorder="1" applyAlignment="1">
      <alignment/>
    </xf>
    <xf numFmtId="164" fontId="8" fillId="0" borderId="53" xfId="0" applyNumberFormat="1" applyFont="1" applyBorder="1" applyAlignment="1">
      <alignment/>
    </xf>
    <xf numFmtId="3" fontId="10" fillId="0" borderId="52" xfId="0" applyNumberFormat="1" applyFont="1" applyBorder="1" applyAlignment="1">
      <alignment/>
    </xf>
    <xf numFmtId="164" fontId="8" fillId="0" borderId="51" xfId="0" applyNumberFormat="1" applyFont="1" applyBorder="1" applyAlignment="1">
      <alignment/>
    </xf>
    <xf numFmtId="164" fontId="9" fillId="0" borderId="66" xfId="0" applyNumberFormat="1" applyFont="1" applyBorder="1" applyAlignment="1">
      <alignment vertical="center" wrapText="1"/>
    </xf>
    <xf numFmtId="3" fontId="6" fillId="0" borderId="6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3" xfId="0" applyNumberFormat="1" applyFont="1" applyFill="1" applyBorder="1" applyAlignment="1" applyProtection="1">
      <alignment vertical="center"/>
      <protection locked="0"/>
    </xf>
    <xf numFmtId="164" fontId="17" fillId="0" borderId="51" xfId="0" applyNumberFormat="1" applyFont="1" applyFill="1" applyBorder="1" applyAlignment="1" applyProtection="1">
      <alignment vertical="center"/>
      <protection locked="0"/>
    </xf>
    <xf numFmtId="1" fontId="9" fillId="0" borderId="47" xfId="0" applyNumberFormat="1" applyFont="1" applyBorder="1" applyAlignment="1">
      <alignment horizontal="centerContinuous" vertical="center"/>
    </xf>
    <xf numFmtId="3" fontId="9" fillId="0" borderId="0" xfId="0" applyNumberFormat="1" applyFont="1" applyBorder="1" applyAlignment="1">
      <alignment vertical="center"/>
    </xf>
    <xf numFmtId="1" fontId="9" fillId="0" borderId="0" xfId="0" applyNumberFormat="1" applyFont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1" fontId="6" fillId="0" borderId="15" xfId="0" applyNumberFormat="1" applyFont="1" applyBorder="1" applyAlignment="1">
      <alignment horizontal="centerContinuous" vertical="center"/>
    </xf>
    <xf numFmtId="1" fontId="6" fillId="0" borderId="15" xfId="0" applyNumberFormat="1" applyFont="1" applyFill="1" applyBorder="1" applyAlignment="1">
      <alignment horizontal="centerContinuous" vertical="center"/>
    </xf>
    <xf numFmtId="1" fontId="6" fillId="0" borderId="52" xfId="0" applyNumberFormat="1" applyFont="1" applyBorder="1" applyAlignment="1">
      <alignment horizontal="centerContinuous" vertical="center"/>
    </xf>
    <xf numFmtId="3" fontId="10" fillId="0" borderId="67" xfId="0" applyNumberFormat="1" applyFont="1" applyFill="1" applyBorder="1" applyAlignment="1" applyProtection="1">
      <alignment vertical="center"/>
      <protection locked="0"/>
    </xf>
    <xf numFmtId="1" fontId="9" fillId="0" borderId="15" xfId="0" applyNumberFormat="1" applyFont="1" applyFill="1" applyBorder="1" applyAlignment="1" applyProtection="1">
      <alignment horizontal="center" vertical="center"/>
      <protection locked="0"/>
    </xf>
    <xf numFmtId="164" fontId="9" fillId="0" borderId="4" xfId="20" applyNumberFormat="1" applyFont="1" applyFill="1" applyBorder="1" applyAlignment="1" applyProtection="1">
      <alignment vertical="center" wrapText="1"/>
      <protection locked="0"/>
    </xf>
    <xf numFmtId="3" fontId="23" fillId="0" borderId="6" xfId="0" applyNumberFormat="1" applyFont="1" applyFill="1" applyBorder="1" applyAlignment="1" applyProtection="1">
      <alignment horizontal="right" vertical="center"/>
      <protection locked="0"/>
    </xf>
    <xf numFmtId="164" fontId="16" fillId="0" borderId="16" xfId="0" applyNumberFormat="1" applyFont="1" applyFill="1" applyBorder="1" applyAlignment="1" applyProtection="1">
      <alignment vertical="center"/>
      <protection locked="0"/>
    </xf>
    <xf numFmtId="164" fontId="16" fillId="0" borderId="16" xfId="0" applyNumberFormat="1" applyFont="1" applyFill="1" applyBorder="1" applyAlignment="1" applyProtection="1">
      <alignment horizontal="right" vertical="center"/>
      <protection locked="0"/>
    </xf>
    <xf numFmtId="3" fontId="24" fillId="0" borderId="15" xfId="0" applyNumberFormat="1" applyFont="1" applyFill="1" applyBorder="1" applyAlignment="1" applyProtection="1">
      <alignment vertical="center"/>
      <protection locked="0"/>
    </xf>
    <xf numFmtId="3" fontId="24" fillId="0" borderId="3" xfId="0" applyNumberFormat="1" applyFont="1" applyFill="1" applyBorder="1" applyAlignment="1" applyProtection="1">
      <alignment vertical="center"/>
      <protection locked="0"/>
    </xf>
    <xf numFmtId="3" fontId="24" fillId="0" borderId="6" xfId="0" applyNumberFormat="1" applyFont="1" applyFill="1" applyBorder="1" applyAlignment="1" applyProtection="1">
      <alignment vertical="center"/>
      <protection locked="0"/>
    </xf>
    <xf numFmtId="164" fontId="16" fillId="0" borderId="41" xfId="0" applyNumberFormat="1" applyFont="1" applyFill="1" applyBorder="1" applyAlignment="1" applyProtection="1">
      <alignment vertical="center"/>
      <protection locked="0"/>
    </xf>
    <xf numFmtId="164" fontId="28" fillId="0" borderId="14" xfId="0" applyNumberFormat="1" applyFont="1" applyFill="1" applyBorder="1" applyAlignment="1" applyProtection="1">
      <alignment horizontal="right" vertical="center"/>
      <protection locked="0"/>
    </xf>
    <xf numFmtId="164" fontId="8" fillId="0" borderId="34" xfId="0" applyNumberFormat="1" applyFont="1" applyFill="1" applyBorder="1" applyAlignment="1" applyProtection="1">
      <alignment vertical="center"/>
      <protection locked="0"/>
    </xf>
    <xf numFmtId="164" fontId="16" fillId="0" borderId="34" xfId="0" applyNumberFormat="1" applyFont="1" applyFill="1" applyBorder="1" applyAlignment="1" applyProtection="1">
      <alignment vertical="center"/>
      <protection locked="0"/>
    </xf>
    <xf numFmtId="164" fontId="16" fillId="0" borderId="14" xfId="0" applyNumberFormat="1" applyFont="1" applyFill="1" applyBorder="1" applyAlignment="1" applyProtection="1">
      <alignment vertical="center"/>
      <protection locked="0"/>
    </xf>
    <xf numFmtId="3" fontId="10" fillId="0" borderId="6" xfId="0" applyNumberFormat="1" applyFont="1" applyBorder="1" applyAlignment="1">
      <alignment vertical="center"/>
    </xf>
    <xf numFmtId="164" fontId="6" fillId="0" borderId="53" xfId="20" applyNumberFormat="1" applyFont="1" applyFill="1" applyBorder="1" applyAlignment="1" applyProtection="1">
      <alignment horizontal="left" vertical="center" wrapText="1"/>
      <protection locked="0"/>
    </xf>
    <xf numFmtId="3" fontId="10" fillId="0" borderId="67" xfId="0" applyNumberFormat="1" applyFont="1" applyBorder="1" applyAlignment="1">
      <alignment/>
    </xf>
    <xf numFmtId="3" fontId="10" fillId="0" borderId="52" xfId="0" applyNumberFormat="1" applyFont="1" applyFill="1" applyBorder="1" applyAlignment="1" applyProtection="1">
      <alignment horizontal="right" vertical="center"/>
      <protection locked="0"/>
    </xf>
    <xf numFmtId="3" fontId="10" fillId="0" borderId="65" xfId="0" applyNumberFormat="1" applyFont="1" applyFill="1" applyBorder="1" applyAlignment="1" applyProtection="1">
      <alignment horizontal="right" vertical="center"/>
      <protection locked="0"/>
    </xf>
    <xf numFmtId="164" fontId="8" fillId="0" borderId="53" xfId="0" applyNumberFormat="1" applyFont="1" applyFill="1" applyBorder="1" applyAlignment="1" applyProtection="1">
      <alignment horizontal="right" vertical="center"/>
      <protection locked="0"/>
    </xf>
    <xf numFmtId="164" fontId="8" fillId="0" borderId="51" xfId="0" applyNumberFormat="1" applyFont="1" applyFill="1" applyBorder="1" applyAlignment="1" applyProtection="1">
      <alignment horizontal="right" vertical="center"/>
      <protection locked="0"/>
    </xf>
    <xf numFmtId="164" fontId="6" fillId="0" borderId="16" xfId="20" applyNumberFormat="1" applyFont="1" applyFill="1" applyBorder="1" applyAlignment="1" applyProtection="1">
      <alignment horizontal="left" vertical="center" wrapText="1"/>
      <protection locked="0"/>
    </xf>
    <xf numFmtId="164" fontId="6" fillId="0" borderId="49" xfId="20" applyNumberFormat="1" applyFont="1" applyFill="1" applyBorder="1" applyAlignment="1" applyProtection="1">
      <alignment horizontal="left" vertical="center" wrapText="1"/>
      <protection locked="0"/>
    </xf>
    <xf numFmtId="164" fontId="28" fillId="0" borderId="45" xfId="0" applyNumberFormat="1" applyFont="1" applyFill="1" applyBorder="1" applyAlignment="1" applyProtection="1">
      <alignment horizontal="right" vertical="center"/>
      <protection locked="0"/>
    </xf>
    <xf numFmtId="164" fontId="16" fillId="0" borderId="45" xfId="0" applyNumberFormat="1" applyFont="1" applyFill="1" applyBorder="1" applyAlignment="1" applyProtection="1">
      <alignment horizontal="right" vertical="center"/>
      <protection locked="0"/>
    </xf>
    <xf numFmtId="164" fontId="16" fillId="0" borderId="54" xfId="0" applyNumberFormat="1" applyFont="1" applyFill="1" applyBorder="1" applyAlignment="1" applyProtection="1">
      <alignment horizontal="right" vertical="center"/>
      <protection locked="0"/>
    </xf>
    <xf numFmtId="1" fontId="25" fillId="0" borderId="15" xfId="0" applyNumberFormat="1" applyFont="1" applyFill="1" applyBorder="1" applyAlignment="1" applyProtection="1">
      <alignment horizontal="centerContinuous" vertical="center"/>
      <protection locked="0"/>
    </xf>
    <xf numFmtId="164" fontId="25" fillId="0" borderId="4" xfId="20" applyNumberFormat="1" applyFont="1" applyFill="1" applyBorder="1" applyAlignment="1" applyProtection="1">
      <alignment vertical="center" wrapText="1"/>
      <protection locked="0"/>
    </xf>
    <xf numFmtId="3" fontId="25" fillId="0" borderId="6" xfId="0" applyNumberFormat="1" applyFont="1" applyFill="1" applyBorder="1" applyAlignment="1" applyProtection="1">
      <alignment horizontal="right" vertical="center"/>
      <protection locked="0"/>
    </xf>
    <xf numFmtId="3" fontId="25" fillId="0" borderId="3" xfId="0" applyNumberFormat="1" applyFont="1" applyFill="1" applyBorder="1" applyAlignment="1" applyProtection="1">
      <alignment horizontal="right" vertical="center"/>
      <protection locked="0"/>
    </xf>
    <xf numFmtId="3" fontId="25" fillId="0" borderId="15" xfId="0" applyNumberFormat="1" applyFont="1" applyFill="1" applyBorder="1" applyAlignment="1" applyProtection="1">
      <alignment horizontal="right" vertical="center"/>
      <protection locked="0"/>
    </xf>
    <xf numFmtId="164" fontId="21" fillId="0" borderId="27" xfId="0" applyNumberFormat="1" applyFont="1" applyFill="1" applyBorder="1" applyAlignment="1" applyProtection="1">
      <alignment horizontal="right" vertical="center"/>
      <protection locked="0"/>
    </xf>
    <xf numFmtId="164" fontId="6" fillId="0" borderId="6" xfId="20" applyNumberFormat="1" applyFont="1" applyFill="1" applyBorder="1" applyAlignment="1" applyProtection="1">
      <alignment vertical="center" wrapText="1"/>
      <protection locked="0"/>
    </xf>
    <xf numFmtId="164" fontId="9" fillId="0" borderId="39" xfId="20" applyNumberFormat="1" applyFont="1" applyFill="1" applyBorder="1" applyAlignment="1" applyProtection="1">
      <alignment horizontal="left" vertical="center" wrapText="1"/>
      <protection locked="0"/>
    </xf>
    <xf numFmtId="3" fontId="23" fillId="0" borderId="63" xfId="0" applyNumberFormat="1" applyFont="1" applyFill="1" applyBorder="1" applyAlignment="1" applyProtection="1">
      <alignment horizontal="right" vertical="center"/>
      <protection locked="0"/>
    </xf>
    <xf numFmtId="164" fontId="16" fillId="0" borderId="41" xfId="0" applyNumberFormat="1" applyFont="1" applyFill="1" applyBorder="1" applyAlignment="1" applyProtection="1">
      <alignment horizontal="right" vertical="center"/>
      <protection locked="0"/>
    </xf>
    <xf numFmtId="164" fontId="16" fillId="0" borderId="40" xfId="0" applyNumberFormat="1" applyFont="1" applyFill="1" applyBorder="1" applyAlignment="1" applyProtection="1">
      <alignment horizontal="right" vertical="center"/>
      <protection locked="0"/>
    </xf>
    <xf numFmtId="1" fontId="9" fillId="0" borderId="52" xfId="0" applyNumberFormat="1" applyFont="1" applyBorder="1" applyAlignment="1">
      <alignment horizontal="centerContinuous" vertical="center"/>
    </xf>
    <xf numFmtId="1" fontId="6" fillId="0" borderId="58" xfId="0" applyNumberFormat="1" applyFont="1" applyBorder="1" applyAlignment="1">
      <alignment horizontal="centerContinuous" vertical="center"/>
    </xf>
    <xf numFmtId="3" fontId="6" fillId="0" borderId="6" xfId="0" applyNumberFormat="1" applyFont="1" applyFill="1" applyBorder="1" applyAlignment="1" applyProtection="1">
      <alignment horizontal="right" vertical="center"/>
      <protection locked="0"/>
    </xf>
    <xf numFmtId="1" fontId="6" fillId="0" borderId="24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19" xfId="0" applyNumberFormat="1" applyFont="1" applyFill="1" applyBorder="1" applyAlignment="1" applyProtection="1">
      <alignment horizontal="right" vertical="center"/>
      <protection locked="0"/>
    </xf>
    <xf numFmtId="1" fontId="9" fillId="0" borderId="7" xfId="0" applyNumberFormat="1" applyFont="1" applyFill="1" applyBorder="1" applyAlignment="1" applyProtection="1">
      <alignment horizontal="centerContinuous" vertical="center"/>
      <protection locked="0"/>
    </xf>
    <xf numFmtId="3" fontId="23" fillId="0" borderId="7" xfId="0" applyNumberFormat="1" applyFont="1" applyFill="1" applyBorder="1" applyAlignment="1" applyProtection="1">
      <alignment vertical="center"/>
      <protection locked="0"/>
    </xf>
    <xf numFmtId="3" fontId="23" fillId="0" borderId="73" xfId="0" applyNumberFormat="1" applyFont="1" applyFill="1" applyBorder="1" applyAlignment="1" applyProtection="1">
      <alignment vertical="center"/>
      <protection locked="0"/>
    </xf>
    <xf numFmtId="164" fontId="17" fillId="0" borderId="8" xfId="0" applyNumberFormat="1" applyFont="1" applyFill="1" applyBorder="1" applyAlignment="1" applyProtection="1">
      <alignment horizontal="right" vertical="center"/>
      <protection locked="0"/>
    </xf>
    <xf numFmtId="164" fontId="21" fillId="0" borderId="8" xfId="0" applyNumberFormat="1" applyFont="1" applyFill="1" applyBorder="1" applyAlignment="1" applyProtection="1">
      <alignment vertical="center"/>
      <protection locked="0"/>
    </xf>
    <xf numFmtId="164" fontId="7" fillId="0" borderId="8" xfId="0" applyNumberFormat="1" applyFont="1" applyFill="1" applyBorder="1" applyAlignment="1" applyProtection="1">
      <alignment vertical="center"/>
      <protection locked="0"/>
    </xf>
    <xf numFmtId="164" fontId="8" fillId="0" borderId="11" xfId="0" applyNumberFormat="1" applyFont="1" applyFill="1" applyBorder="1" applyAlignment="1" applyProtection="1">
      <alignment vertical="center"/>
      <protection locked="0"/>
    </xf>
    <xf numFmtId="164" fontId="7" fillId="0" borderId="45" xfId="0" applyNumberFormat="1" applyFont="1" applyFill="1" applyBorder="1" applyAlignment="1" applyProtection="1">
      <alignment vertical="center"/>
      <protection locked="0"/>
    </xf>
    <xf numFmtId="164" fontId="7" fillId="0" borderId="53" xfId="0" applyNumberFormat="1" applyFont="1" applyFill="1" applyBorder="1" applyAlignment="1" applyProtection="1">
      <alignment vertical="center"/>
      <protection locked="0"/>
    </xf>
    <xf numFmtId="164" fontId="7" fillId="0" borderId="16" xfId="0" applyNumberFormat="1" applyFont="1" applyFill="1" applyBorder="1" applyAlignment="1" applyProtection="1">
      <alignment vertical="center"/>
      <protection locked="0"/>
    </xf>
    <xf numFmtId="164" fontId="25" fillId="0" borderId="45" xfId="0" applyNumberFormat="1" applyFont="1" applyFill="1" applyBorder="1" applyAlignment="1" applyProtection="1">
      <alignment vertical="center"/>
      <protection locked="0"/>
    </xf>
    <xf numFmtId="164" fontId="23" fillId="0" borderId="45" xfId="0" applyNumberFormat="1" applyFont="1" applyFill="1" applyBorder="1" applyAlignment="1" applyProtection="1">
      <alignment vertical="center"/>
      <protection locked="0"/>
    </xf>
    <xf numFmtId="164" fontId="23" fillId="0" borderId="54" xfId="0" applyNumberFormat="1" applyFont="1" applyFill="1" applyBorder="1" applyAlignment="1" applyProtection="1">
      <alignment vertical="center"/>
      <protection locked="0"/>
    </xf>
    <xf numFmtId="1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6" fillId="0" borderId="15" xfId="0" applyNumberFormat="1" applyFont="1" applyFill="1" applyBorder="1" applyAlignment="1" applyProtection="1">
      <alignment horizontal="centerContinuous" vertical="center"/>
      <protection locked="0"/>
    </xf>
    <xf numFmtId="0" fontId="6" fillId="0" borderId="52" xfId="0" applyNumberFormat="1" applyFont="1" applyFill="1" applyBorder="1" applyAlignment="1" applyProtection="1">
      <alignment horizontal="centerContinuous" vertical="center"/>
      <protection locked="0"/>
    </xf>
    <xf numFmtId="1" fontId="9" fillId="0" borderId="47" xfId="0" applyNumberFormat="1" applyFont="1" applyFill="1" applyBorder="1" applyAlignment="1" applyProtection="1">
      <alignment horizontal="center" vertical="center"/>
      <protection locked="0"/>
    </xf>
    <xf numFmtId="164" fontId="9" fillId="0" borderId="46" xfId="20" applyNumberFormat="1" applyFont="1" applyFill="1" applyBorder="1" applyAlignment="1" applyProtection="1">
      <alignment vertical="center" wrapText="1"/>
      <protection locked="0"/>
    </xf>
    <xf numFmtId="164" fontId="19" fillId="0" borderId="60" xfId="0" applyNumberFormat="1" applyFont="1" applyFill="1" applyBorder="1" applyAlignment="1" applyProtection="1">
      <alignment horizontal="right" vertical="center"/>
      <protection locked="0"/>
    </xf>
    <xf numFmtId="164" fontId="7" fillId="0" borderId="56" xfId="0" applyNumberFormat="1" applyFont="1" applyFill="1" applyBorder="1" applyAlignment="1" applyProtection="1">
      <alignment vertical="center"/>
      <protection locked="0"/>
    </xf>
    <xf numFmtId="164" fontId="12" fillId="0" borderId="45" xfId="0" applyNumberFormat="1" applyFont="1" applyFill="1" applyBorder="1" applyAlignment="1" applyProtection="1">
      <alignment vertical="center"/>
      <protection locked="0"/>
    </xf>
    <xf numFmtId="3" fontId="23" fillId="0" borderId="0" xfId="0" applyNumberFormat="1" applyFont="1" applyFill="1" applyBorder="1" applyAlignment="1" applyProtection="1">
      <alignment vertical="center"/>
      <protection locked="0"/>
    </xf>
    <xf numFmtId="164" fontId="28" fillId="0" borderId="16" xfId="0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4" fontId="7" fillId="0" borderId="16" xfId="0" applyNumberFormat="1" applyFont="1" applyFill="1" applyBorder="1" applyAlignment="1" applyProtection="1">
      <alignment horizontal="right" vertical="center"/>
      <protection locked="0"/>
    </xf>
    <xf numFmtId="164" fontId="19" fillId="0" borderId="0" xfId="0" applyNumberFormat="1" applyFont="1" applyFill="1" applyBorder="1" applyAlignment="1" applyProtection="1">
      <alignment horizontal="right" vertical="center"/>
      <protection locked="0"/>
    </xf>
    <xf numFmtId="1" fontId="9" fillId="0" borderId="26" xfId="0" applyNumberFormat="1" applyFont="1" applyFill="1" applyBorder="1" applyAlignment="1" applyProtection="1">
      <alignment horizontal="centerContinuous" vertical="center"/>
      <protection locked="0"/>
    </xf>
    <xf numFmtId="1" fontId="9" fillId="0" borderId="16" xfId="0" applyNumberFormat="1" applyFont="1" applyFill="1" applyBorder="1" applyAlignment="1" applyProtection="1">
      <alignment vertical="center" wrapText="1"/>
      <protection locked="0"/>
    </xf>
    <xf numFmtId="164" fontId="28" fillId="0" borderId="16" xfId="0" applyNumberFormat="1" applyFont="1" applyFill="1" applyBorder="1" applyAlignment="1" applyProtection="1">
      <alignment horizontal="right" vertical="center"/>
      <protection locked="0"/>
    </xf>
    <xf numFmtId="164" fontId="28" fillId="0" borderId="0" xfId="0" applyNumberFormat="1" applyFont="1" applyFill="1" applyBorder="1" applyAlignment="1" applyProtection="1">
      <alignment horizontal="right" vertical="center"/>
      <protection locked="0"/>
    </xf>
    <xf numFmtId="164" fontId="19" fillId="0" borderId="74" xfId="0" applyNumberFormat="1" applyFont="1" applyFill="1" applyBorder="1" applyAlignment="1" applyProtection="1">
      <alignment horizontal="right" vertical="center"/>
      <protection locked="0"/>
    </xf>
    <xf numFmtId="164" fontId="19" fillId="0" borderId="13" xfId="0" applyNumberFormat="1" applyFont="1" applyFill="1" applyBorder="1" applyAlignment="1" applyProtection="1">
      <alignment horizontal="right" vertical="center"/>
      <protection locked="0"/>
    </xf>
    <xf numFmtId="164" fontId="8" fillId="0" borderId="14" xfId="0" applyNumberFormat="1" applyFont="1" applyFill="1" applyBorder="1" applyAlignment="1" applyProtection="1">
      <alignment vertical="center"/>
      <protection locked="0"/>
    </xf>
    <xf numFmtId="164" fontId="19" fillId="0" borderId="68" xfId="0" applyNumberFormat="1" applyFont="1" applyFill="1" applyBorder="1" applyAlignment="1" applyProtection="1">
      <alignment horizontal="right" vertical="center"/>
      <protection locked="0"/>
    </xf>
    <xf numFmtId="164" fontId="17" fillId="0" borderId="41" xfId="0" applyNumberFormat="1" applyFont="1" applyFill="1" applyBorder="1" applyAlignment="1" applyProtection="1">
      <alignment vertical="center"/>
      <protection locked="0"/>
    </xf>
    <xf numFmtId="164" fontId="19" fillId="0" borderId="34" xfId="0" applyNumberFormat="1" applyFont="1" applyFill="1" applyBorder="1" applyAlignment="1" applyProtection="1">
      <alignment horizontal="right" vertical="center"/>
      <protection locked="0"/>
    </xf>
    <xf numFmtId="164" fontId="6" fillId="0" borderId="57" xfId="20" applyNumberFormat="1" applyFont="1" applyFill="1" applyBorder="1" applyAlignment="1" applyProtection="1">
      <alignment vertical="center" wrapText="1"/>
      <protection locked="0"/>
    </xf>
    <xf numFmtId="164" fontId="19" fillId="0" borderId="4" xfId="0" applyNumberFormat="1" applyFont="1" applyFill="1" applyBorder="1" applyAlignment="1" applyProtection="1">
      <alignment horizontal="right" vertical="center"/>
      <protection locked="0"/>
    </xf>
    <xf numFmtId="164" fontId="6" fillId="0" borderId="50" xfId="20" applyNumberFormat="1" applyFont="1" applyFill="1" applyBorder="1" applyAlignment="1" applyProtection="1">
      <alignment vertical="center" wrapText="1"/>
      <protection locked="0"/>
    </xf>
    <xf numFmtId="164" fontId="19" fillId="0" borderId="67" xfId="0" applyNumberFormat="1" applyFont="1" applyFill="1" applyBorder="1" applyAlignment="1" applyProtection="1">
      <alignment horizontal="right" vertical="center"/>
      <protection locked="0"/>
    </xf>
    <xf numFmtId="1" fontId="6" fillId="0" borderId="58" xfId="0" applyNumberFormat="1" applyFont="1" applyFill="1" applyBorder="1" applyAlignment="1" applyProtection="1">
      <alignment horizontal="center" vertical="center"/>
      <protection locked="0"/>
    </xf>
    <xf numFmtId="164" fontId="7" fillId="0" borderId="54" xfId="0" applyNumberFormat="1" applyFont="1" applyFill="1" applyBorder="1" applyAlignment="1" applyProtection="1">
      <alignment vertical="center"/>
      <protection locked="0"/>
    </xf>
    <xf numFmtId="3" fontId="23" fillId="0" borderId="69" xfId="0" applyNumberFormat="1" applyFont="1" applyFill="1" applyBorder="1" applyAlignment="1" applyProtection="1">
      <alignment vertical="center"/>
      <protection locked="0"/>
    </xf>
    <xf numFmtId="3" fontId="23" fillId="0" borderId="57" xfId="0" applyNumberFormat="1" applyFont="1" applyFill="1" applyBorder="1" applyAlignment="1" applyProtection="1">
      <alignment vertical="center"/>
      <protection locked="0"/>
    </xf>
    <xf numFmtId="164" fontId="21" fillId="0" borderId="56" xfId="0" applyNumberFormat="1" applyFont="1" applyFill="1" applyBorder="1" applyAlignment="1" applyProtection="1">
      <alignment vertical="center"/>
      <protection locked="0"/>
    </xf>
    <xf numFmtId="3" fontId="23" fillId="0" borderId="58" xfId="0" applyNumberFormat="1" applyFont="1" applyFill="1" applyBorder="1" applyAlignment="1" applyProtection="1">
      <alignment vertical="center"/>
      <protection locked="0"/>
    </xf>
    <xf numFmtId="164" fontId="7" fillId="0" borderId="61" xfId="0" applyNumberFormat="1" applyFont="1" applyFill="1" applyBorder="1" applyAlignment="1" applyProtection="1">
      <alignment vertical="center"/>
      <protection locked="0"/>
    </xf>
    <xf numFmtId="164" fontId="7" fillId="0" borderId="27" xfId="0" applyNumberFormat="1" applyFont="1" applyFill="1" applyBorder="1" applyAlignment="1" applyProtection="1">
      <alignment vertical="center"/>
      <protection locked="0"/>
    </xf>
    <xf numFmtId="164" fontId="7" fillId="0" borderId="51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Fill="1" applyBorder="1" applyAlignment="1" applyProtection="1">
      <alignment horizontal="right" vertical="center"/>
      <protection locked="0"/>
    </xf>
    <xf numFmtId="164" fontId="6" fillId="0" borderId="25" xfId="20" applyNumberFormat="1" applyFont="1" applyFill="1" applyBorder="1" applyAlignment="1" applyProtection="1">
      <alignment vertical="center" wrapText="1"/>
      <protection locked="0"/>
    </xf>
    <xf numFmtId="1" fontId="23" fillId="0" borderId="42" xfId="0" applyNumberFormat="1" applyFont="1" applyFill="1" applyBorder="1" applyAlignment="1" applyProtection="1">
      <alignment horizontal="centerContinuous" vertical="center"/>
      <protection locked="0"/>
    </xf>
    <xf numFmtId="164" fontId="23" fillId="0" borderId="39" xfId="20" applyNumberFormat="1" applyFont="1" applyFill="1" applyBorder="1" applyAlignment="1" applyProtection="1">
      <alignment vertical="center" wrapText="1"/>
      <protection locked="0"/>
    </xf>
    <xf numFmtId="3" fontId="23" fillId="0" borderId="0" xfId="0" applyNumberFormat="1" applyFont="1" applyBorder="1" applyAlignment="1">
      <alignment/>
    </xf>
    <xf numFmtId="164" fontId="23" fillId="0" borderId="0" xfId="0" applyNumberFormat="1" applyFont="1" applyBorder="1" applyAlignment="1">
      <alignment/>
    </xf>
    <xf numFmtId="164" fontId="9" fillId="0" borderId="32" xfId="20" applyNumberFormat="1" applyFont="1" applyFill="1" applyBorder="1" applyAlignment="1" applyProtection="1">
      <alignment vertical="center" wrapText="1"/>
      <protection locked="0"/>
    </xf>
    <xf numFmtId="164" fontId="19" fillId="0" borderId="14" xfId="0" applyNumberFormat="1" applyFont="1" applyFill="1" applyBorder="1" applyAlignment="1" applyProtection="1">
      <alignment vertical="center"/>
      <protection locked="0"/>
    </xf>
    <xf numFmtId="164" fontId="8" fillId="0" borderId="14" xfId="0" applyNumberFormat="1" applyFont="1" applyFill="1" applyBorder="1" applyAlignment="1" applyProtection="1">
      <alignment horizontal="right" vertical="center"/>
      <protection locked="0"/>
    </xf>
    <xf numFmtId="164" fontId="19" fillId="0" borderId="27" xfId="0" applyNumberFormat="1" applyFont="1" applyFill="1" applyBorder="1" applyAlignment="1" applyProtection="1">
      <alignment vertical="center"/>
      <protection locked="0"/>
    </xf>
    <xf numFmtId="164" fontId="9" fillId="0" borderId="50" xfId="20" applyNumberFormat="1" applyFont="1" applyFill="1" applyBorder="1" applyAlignment="1" applyProtection="1">
      <alignment vertical="center" wrapText="1"/>
      <protection locked="0"/>
    </xf>
    <xf numFmtId="164" fontId="28" fillId="0" borderId="67" xfId="0" applyNumberFormat="1" applyFont="1" applyFill="1" applyBorder="1" applyAlignment="1" applyProtection="1">
      <alignment horizontal="right" vertical="center"/>
      <protection locked="0"/>
    </xf>
    <xf numFmtId="164" fontId="19" fillId="0" borderId="51" xfId="0" applyNumberFormat="1" applyFont="1" applyFill="1" applyBorder="1" applyAlignment="1" applyProtection="1">
      <alignment vertical="center"/>
      <protection locked="0"/>
    </xf>
    <xf numFmtId="164" fontId="9" fillId="0" borderId="53" xfId="20" applyNumberFormat="1" applyFont="1" applyFill="1" applyBorder="1" applyAlignment="1" applyProtection="1">
      <alignment vertical="center" wrapText="1"/>
      <protection locked="0"/>
    </xf>
    <xf numFmtId="164" fontId="28" fillId="0" borderId="66" xfId="0" applyNumberFormat="1" applyFont="1" applyFill="1" applyBorder="1" applyAlignment="1" applyProtection="1">
      <alignment horizontal="right" vertical="center"/>
      <protection locked="0"/>
    </xf>
    <xf numFmtId="164" fontId="21" fillId="0" borderId="54" xfId="0" applyNumberFormat="1" applyFont="1" applyFill="1" applyBorder="1" applyAlignment="1" applyProtection="1">
      <alignment vertical="center"/>
      <protection locked="0"/>
    </xf>
    <xf numFmtId="164" fontId="19" fillId="0" borderId="64" xfId="0" applyNumberFormat="1" applyFont="1" applyFill="1" applyBorder="1" applyAlignment="1" applyProtection="1">
      <alignment horizontal="right" vertical="center"/>
      <protection locked="0"/>
    </xf>
    <xf numFmtId="164" fontId="19" fillId="0" borderId="49" xfId="0" applyNumberFormat="1" applyFont="1" applyFill="1" applyBorder="1" applyAlignment="1" applyProtection="1">
      <alignment horizontal="right" vertical="center"/>
      <protection locked="0"/>
    </xf>
    <xf numFmtId="164" fontId="19" fillId="0" borderId="53" xfId="0" applyNumberFormat="1" applyFont="1" applyFill="1" applyBorder="1" applyAlignment="1" applyProtection="1">
      <alignment vertical="center"/>
      <protection locked="0"/>
    </xf>
    <xf numFmtId="164" fontId="19" fillId="0" borderId="66" xfId="0" applyNumberFormat="1" applyFont="1" applyFill="1" applyBorder="1" applyAlignment="1" applyProtection="1">
      <alignment horizontal="right" vertical="center"/>
      <protection locked="0"/>
    </xf>
    <xf numFmtId="164" fontId="21" fillId="0" borderId="51" xfId="0" applyNumberFormat="1" applyFont="1" applyFill="1" applyBorder="1" applyAlignment="1" applyProtection="1">
      <alignment horizontal="right" vertical="center"/>
      <protection locked="0"/>
    </xf>
    <xf numFmtId="164" fontId="6" fillId="0" borderId="46" xfId="20" applyNumberFormat="1" applyFont="1" applyFill="1" applyBorder="1" applyAlignment="1" applyProtection="1">
      <alignment vertical="center" wrapText="1"/>
      <protection locked="0"/>
    </xf>
    <xf numFmtId="164" fontId="25" fillId="0" borderId="6" xfId="20" applyNumberFormat="1" applyFont="1" applyFill="1" applyBorder="1" applyAlignment="1" applyProtection="1">
      <alignment vertical="center" wrapText="1"/>
      <protection locked="0"/>
    </xf>
    <xf numFmtId="164" fontId="25" fillId="0" borderId="4" xfId="0" applyNumberFormat="1" applyFont="1" applyFill="1" applyBorder="1" applyAlignment="1" applyProtection="1">
      <alignment horizontal="right" vertical="center"/>
      <protection locked="0"/>
    </xf>
    <xf numFmtId="164" fontId="25" fillId="0" borderId="27" xfId="0" applyNumberFormat="1" applyFont="1" applyFill="1" applyBorder="1" applyAlignment="1" applyProtection="1">
      <alignment horizontal="right" vertical="center"/>
      <protection locked="0"/>
    </xf>
    <xf numFmtId="164" fontId="25" fillId="0" borderId="16" xfId="0" applyNumberFormat="1" applyFont="1" applyFill="1" applyBorder="1" applyAlignment="1" applyProtection="1">
      <alignment horizontal="right" vertical="center"/>
      <protection locked="0"/>
    </xf>
    <xf numFmtId="164" fontId="25" fillId="0" borderId="27" xfId="0" applyNumberFormat="1" applyFont="1" applyFill="1" applyBorder="1" applyAlignment="1" applyProtection="1">
      <alignment vertical="center"/>
      <protection locked="0"/>
    </xf>
    <xf numFmtId="3" fontId="25" fillId="0" borderId="0" xfId="0" applyNumberFormat="1" applyFont="1" applyBorder="1" applyAlignment="1">
      <alignment/>
    </xf>
    <xf numFmtId="1" fontId="25" fillId="0" borderId="0" xfId="0" applyNumberFormat="1" applyFont="1" applyBorder="1" applyAlignment="1">
      <alignment/>
    </xf>
    <xf numFmtId="164" fontId="25" fillId="0" borderId="0" xfId="0" applyNumberFormat="1" applyFont="1" applyBorder="1" applyAlignment="1">
      <alignment/>
    </xf>
    <xf numFmtId="164" fontId="18" fillId="0" borderId="16" xfId="0" applyNumberFormat="1" applyFont="1" applyFill="1" applyBorder="1" applyAlignment="1" applyProtection="1">
      <alignment horizontal="right" vertical="center"/>
      <protection locked="0"/>
    </xf>
    <xf numFmtId="164" fontId="17" fillId="0" borderId="54" xfId="0" applyNumberFormat="1" applyFont="1" applyFill="1" applyBorder="1" applyAlignment="1" applyProtection="1">
      <alignment vertical="center"/>
      <protection locked="0"/>
    </xf>
    <xf numFmtId="164" fontId="25" fillId="0" borderId="16" xfId="0" applyNumberFormat="1" applyFont="1" applyFill="1" applyBorder="1" applyAlignment="1" applyProtection="1">
      <alignment vertical="center"/>
      <protection locked="0"/>
    </xf>
    <xf numFmtId="164" fontId="19" fillId="0" borderId="45" xfId="0" applyNumberFormat="1" applyFont="1" applyFill="1" applyBorder="1" applyAlignment="1" applyProtection="1">
      <alignment vertical="center"/>
      <protection locked="0"/>
    </xf>
    <xf numFmtId="3" fontId="23" fillId="0" borderId="44" xfId="0" applyNumberFormat="1" applyFont="1" applyFill="1" applyBorder="1" applyAlignment="1" applyProtection="1">
      <alignment horizontal="right" vertical="center"/>
      <protection locked="0"/>
    </xf>
    <xf numFmtId="164" fontId="9" fillId="0" borderId="6" xfId="20" applyNumberFormat="1" applyFont="1" applyFill="1" applyBorder="1" applyAlignment="1" applyProtection="1">
      <alignment vertical="center" wrapText="1"/>
      <protection locked="0"/>
    </xf>
    <xf numFmtId="164" fontId="12" fillId="0" borderId="0" xfId="0" applyNumberFormat="1" applyFont="1" applyFill="1" applyBorder="1" applyAlignment="1" applyProtection="1">
      <alignment horizontal="right" vertical="center"/>
      <protection locked="0"/>
    </xf>
    <xf numFmtId="3" fontId="23" fillId="0" borderId="26" xfId="0" applyNumberFormat="1" applyFont="1" applyFill="1" applyBorder="1" applyAlignment="1" applyProtection="1">
      <alignment vertical="center"/>
      <protection locked="0"/>
    </xf>
    <xf numFmtId="164" fontId="16" fillId="0" borderId="27" xfId="0" applyNumberFormat="1" applyFont="1" applyFill="1" applyBorder="1" applyAlignment="1" applyProtection="1">
      <alignment horizontal="right" vertical="center"/>
      <protection locked="0"/>
    </xf>
    <xf numFmtId="164" fontId="9" fillId="0" borderId="30" xfId="20" applyNumberFormat="1" applyFont="1" applyFill="1" applyBorder="1" applyAlignment="1" applyProtection="1">
      <alignment vertical="center" wrapText="1"/>
      <protection locked="0"/>
    </xf>
    <xf numFmtId="164" fontId="28" fillId="0" borderId="74" xfId="0" applyNumberFormat="1" applyFont="1" applyFill="1" applyBorder="1" applyAlignment="1" applyProtection="1">
      <alignment horizontal="right" vertical="center"/>
      <protection locked="0"/>
    </xf>
    <xf numFmtId="164" fontId="21" fillId="0" borderId="40" xfId="0" applyNumberFormat="1" applyFont="1" applyFill="1" applyBorder="1" applyAlignment="1" applyProtection="1">
      <alignment horizontal="right" vertical="center"/>
      <protection locked="0"/>
    </xf>
    <xf numFmtId="164" fontId="12" fillId="0" borderId="54" xfId="0" applyNumberFormat="1" applyFont="1" applyFill="1" applyBorder="1" applyAlignment="1" applyProtection="1">
      <alignment vertical="center"/>
      <protection locked="0"/>
    </xf>
    <xf numFmtId="164" fontId="28" fillId="0" borderId="54" xfId="0" applyNumberFormat="1" applyFont="1" applyFill="1" applyBorder="1" applyAlignment="1" applyProtection="1">
      <alignment vertical="center"/>
      <protection locked="0"/>
    </xf>
    <xf numFmtId="164" fontId="25" fillId="0" borderId="16" xfId="20" applyNumberFormat="1" applyFont="1" applyFill="1" applyBorder="1" applyAlignment="1" applyProtection="1">
      <alignment vertical="center" wrapText="1"/>
      <protection locked="0"/>
    </xf>
    <xf numFmtId="164" fontId="28" fillId="0" borderId="27" xfId="0" applyNumberFormat="1" applyFont="1" applyFill="1" applyBorder="1" applyAlignment="1" applyProtection="1">
      <alignment vertical="center"/>
      <protection locked="0"/>
    </xf>
    <xf numFmtId="3" fontId="25" fillId="0" borderId="0" xfId="0" applyNumberFormat="1" applyFont="1" applyFill="1" applyBorder="1" applyAlignment="1" applyProtection="1">
      <alignment vertical="center"/>
      <protection locked="0"/>
    </xf>
    <xf numFmtId="3" fontId="25" fillId="0" borderId="26" xfId="0" applyNumberFormat="1" applyFont="1" applyFill="1" applyBorder="1" applyAlignment="1" applyProtection="1">
      <alignment vertical="center"/>
      <protection locked="0"/>
    </xf>
    <xf numFmtId="164" fontId="10" fillId="0" borderId="4" xfId="20" applyNumberFormat="1" applyFont="1" applyFill="1" applyBorder="1" applyAlignment="1" applyProtection="1">
      <alignment vertical="center" wrapText="1"/>
      <protection locked="0"/>
    </xf>
    <xf numFmtId="1" fontId="9" fillId="0" borderId="42" xfId="0" applyNumberFormat="1" applyFont="1" applyFill="1" applyBorder="1" applyAlignment="1" applyProtection="1">
      <alignment horizontal="center" vertical="center"/>
      <protection locked="0"/>
    </xf>
    <xf numFmtId="164" fontId="7" fillId="0" borderId="40" xfId="0" applyNumberFormat="1" applyFont="1" applyFill="1" applyBorder="1" applyAlignment="1" applyProtection="1">
      <alignment vertical="center"/>
      <protection locked="0"/>
    </xf>
    <xf numFmtId="3" fontId="10" fillId="0" borderId="60" xfId="0" applyNumberFormat="1" applyFont="1" applyFill="1" applyBorder="1" applyAlignment="1" applyProtection="1">
      <alignment vertical="center"/>
      <protection locked="0"/>
    </xf>
    <xf numFmtId="3" fontId="23" fillId="0" borderId="67" xfId="0" applyNumberFormat="1" applyFont="1" applyFill="1" applyBorder="1" applyAlignment="1" applyProtection="1">
      <alignment vertical="center"/>
      <protection locked="0"/>
    </xf>
    <xf numFmtId="164" fontId="19" fillId="0" borderId="56" xfId="0" applyNumberFormat="1" applyFont="1" applyFill="1" applyBorder="1" applyAlignment="1" applyProtection="1">
      <alignment vertical="center"/>
      <protection locked="0"/>
    </xf>
    <xf numFmtId="0" fontId="9" fillId="0" borderId="15" xfId="0" applyNumberFormat="1" applyFont="1" applyFill="1" applyBorder="1" applyAlignment="1" applyProtection="1">
      <alignment horizontal="centerContinuous" vertical="center"/>
      <protection locked="0"/>
    </xf>
    <xf numFmtId="0" fontId="9" fillId="0" borderId="4" xfId="0" applyFont="1" applyBorder="1" applyAlignment="1">
      <alignment horizontal="left" vertical="center" wrapText="1"/>
    </xf>
    <xf numFmtId="164" fontId="12" fillId="0" borderId="27" xfId="0" applyNumberFormat="1" applyFont="1" applyFill="1" applyBorder="1" applyAlignment="1" applyProtection="1">
      <alignment horizontal="right" vertical="center"/>
      <protection locked="0"/>
    </xf>
    <xf numFmtId="3" fontId="23" fillId="0" borderId="6" xfId="0" applyNumberFormat="1" applyFont="1" applyBorder="1" applyAlignment="1">
      <alignment horizontal="right" vertical="center"/>
    </xf>
    <xf numFmtId="164" fontId="12" fillId="0" borderId="16" xfId="0" applyNumberFormat="1" applyFont="1" applyFill="1" applyBorder="1" applyAlignment="1" applyProtection="1">
      <alignment horizontal="right" vertical="center"/>
      <protection locked="0"/>
    </xf>
    <xf numFmtId="3" fontId="10" fillId="0" borderId="6" xfId="0" applyNumberFormat="1" applyFont="1" applyBorder="1" applyAlignment="1">
      <alignment horizontal="right" vertical="center"/>
    </xf>
    <xf numFmtId="0" fontId="6" fillId="0" borderId="4" xfId="0" applyFont="1" applyBorder="1" applyAlignment="1">
      <alignment horizontal="left" vertical="center" wrapText="1"/>
    </xf>
    <xf numFmtId="0" fontId="9" fillId="0" borderId="66" xfId="0" applyFont="1" applyBorder="1" applyAlignment="1">
      <alignment horizontal="left" vertical="center" wrapText="1"/>
    </xf>
    <xf numFmtId="164" fontId="6" fillId="0" borderId="64" xfId="20" applyNumberFormat="1" applyFont="1" applyFill="1" applyBorder="1" applyAlignment="1" applyProtection="1">
      <alignment horizontal="left" vertical="center" wrapText="1"/>
      <protection locked="0"/>
    </xf>
    <xf numFmtId="3" fontId="6" fillId="0" borderId="15" xfId="0" applyNumberFormat="1" applyFont="1" applyFill="1" applyBorder="1" applyAlignment="1" applyProtection="1">
      <alignment horizontal="right" vertical="center"/>
      <protection locked="0"/>
    </xf>
    <xf numFmtId="3" fontId="6" fillId="0" borderId="3" xfId="0" applyNumberFormat="1" applyFont="1" applyFill="1" applyBorder="1" applyAlignment="1" applyProtection="1">
      <alignment horizontal="right" vertical="center"/>
      <protection locked="0"/>
    </xf>
    <xf numFmtId="3" fontId="10" fillId="0" borderId="3" xfId="0" applyNumberFormat="1" applyFont="1" applyBorder="1" applyAlignment="1">
      <alignment horizontal="right" vertical="center"/>
    </xf>
    <xf numFmtId="3" fontId="23" fillId="0" borderId="13" xfId="0" applyNumberFormat="1" applyFont="1" applyFill="1" applyBorder="1" applyAlignment="1" applyProtection="1">
      <alignment vertical="center"/>
      <protection locked="0"/>
    </xf>
    <xf numFmtId="1" fontId="24" fillId="0" borderId="47" xfId="0" applyNumberFormat="1" applyFont="1" applyFill="1" applyBorder="1" applyAlignment="1" applyProtection="1">
      <alignment horizontal="centerContinuous" vertical="center"/>
      <protection locked="0"/>
    </xf>
    <xf numFmtId="164" fontId="24" fillId="0" borderId="66" xfId="20" applyNumberFormat="1" applyFont="1" applyFill="1" applyBorder="1" applyAlignment="1" applyProtection="1">
      <alignment vertical="center" wrapText="1"/>
      <protection locked="0"/>
    </xf>
    <xf numFmtId="3" fontId="25" fillId="0" borderId="47" xfId="0" applyNumberFormat="1" applyFont="1" applyFill="1" applyBorder="1" applyAlignment="1" applyProtection="1">
      <alignment vertical="center"/>
      <protection locked="0"/>
    </xf>
    <xf numFmtId="3" fontId="25" fillId="0" borderId="46" xfId="0" applyNumberFormat="1" applyFont="1" applyFill="1" applyBorder="1" applyAlignment="1" applyProtection="1">
      <alignment vertical="center"/>
      <protection locked="0"/>
    </xf>
    <xf numFmtId="3" fontId="25" fillId="0" borderId="59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164" fontId="7" fillId="0" borderId="53" xfId="0" applyNumberFormat="1" applyFont="1" applyFill="1" applyBorder="1" applyAlignment="1" applyProtection="1">
      <alignment horizontal="right" vertical="center"/>
      <protection locked="0"/>
    </xf>
    <xf numFmtId="164" fontId="18" fillId="0" borderId="16" xfId="20" applyNumberFormat="1" applyFont="1" applyFill="1" applyBorder="1" applyAlignment="1" applyProtection="1">
      <alignment vertical="center" wrapText="1"/>
      <protection locked="0"/>
    </xf>
    <xf numFmtId="3" fontId="23" fillId="0" borderId="39" xfId="0" applyNumberFormat="1" applyFont="1" applyFill="1" applyBorder="1" applyAlignment="1" applyProtection="1">
      <alignment vertical="center"/>
      <protection locked="0"/>
    </xf>
    <xf numFmtId="1" fontId="23" fillId="0" borderId="0" xfId="0" applyNumberFormat="1" applyFont="1" applyBorder="1" applyAlignment="1">
      <alignment/>
    </xf>
    <xf numFmtId="1" fontId="23" fillId="0" borderId="12" xfId="0" applyNumberFormat="1" applyFont="1" applyFill="1" applyBorder="1" applyAlignment="1" applyProtection="1">
      <alignment horizontal="centerContinuous" vertical="center"/>
      <protection locked="0"/>
    </xf>
    <xf numFmtId="1" fontId="23" fillId="0" borderId="13" xfId="0" applyNumberFormat="1" applyFont="1" applyFill="1" applyBorder="1" applyAlignment="1" applyProtection="1">
      <alignment horizontal="left" vertical="center" wrapText="1"/>
      <protection locked="0"/>
    </xf>
    <xf numFmtId="164" fontId="28" fillId="0" borderId="34" xfId="0" applyNumberFormat="1" applyFont="1" applyFill="1" applyBorder="1" applyAlignment="1" applyProtection="1">
      <alignment horizontal="right" vertical="center"/>
      <protection locked="0"/>
    </xf>
    <xf numFmtId="164" fontId="21" fillId="0" borderId="14" xfId="0" applyNumberFormat="1" applyFont="1" applyFill="1" applyBorder="1" applyAlignment="1" applyProtection="1">
      <alignment horizontal="right" vertical="center"/>
      <protection locked="0"/>
    </xf>
    <xf numFmtId="1" fontId="25" fillId="0" borderId="26" xfId="0" applyNumberFormat="1" applyFont="1" applyFill="1" applyBorder="1" applyAlignment="1" applyProtection="1">
      <alignment horizontal="centerContinuous" vertical="center"/>
      <protection locked="0"/>
    </xf>
    <xf numFmtId="1" fontId="25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0" xfId="0" applyNumberFormat="1" applyFont="1" applyFill="1" applyBorder="1" applyAlignment="1" applyProtection="1">
      <alignment horizontal="right" vertical="center"/>
      <protection locked="0"/>
    </xf>
    <xf numFmtId="3" fontId="20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164" fontId="20" fillId="0" borderId="0" xfId="0" applyNumberFormat="1" applyFont="1" applyBorder="1" applyAlignment="1">
      <alignment/>
    </xf>
    <xf numFmtId="1" fontId="18" fillId="0" borderId="26" xfId="0" applyNumberFormat="1" applyFont="1" applyFill="1" applyBorder="1" applyAlignment="1" applyProtection="1">
      <alignment horizontal="centerContinuous" vertical="center"/>
      <protection locked="0"/>
    </xf>
    <xf numFmtId="1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26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8" fillId="0" borderId="27" xfId="0" applyFont="1" applyBorder="1" applyAlignment="1">
      <alignment vertical="center" wrapText="1"/>
    </xf>
    <xf numFmtId="1" fontId="25" fillId="0" borderId="27" xfId="0" applyNumberFormat="1" applyFont="1" applyFill="1" applyBorder="1" applyAlignment="1" applyProtection="1">
      <alignment horizontal="left" vertical="center" wrapText="1"/>
      <protection locked="0"/>
    </xf>
    <xf numFmtId="164" fontId="25" fillId="0" borderId="0" xfId="0" applyNumberFormat="1" applyFont="1" applyFill="1" applyBorder="1" applyAlignment="1" applyProtection="1">
      <alignment horizontal="right" vertical="center"/>
      <protection locked="0"/>
    </xf>
    <xf numFmtId="1" fontId="25" fillId="0" borderId="17" xfId="0" applyNumberFormat="1" applyFont="1" applyFill="1" applyBorder="1" applyAlignment="1" applyProtection="1">
      <alignment horizontal="centerContinuous" vertical="center"/>
      <protection locked="0"/>
    </xf>
    <xf numFmtId="0" fontId="25" fillId="0" borderId="19" xfId="0" applyFont="1" applyBorder="1" applyAlignment="1">
      <alignment vertical="center" wrapText="1"/>
    </xf>
    <xf numFmtId="3" fontId="25" fillId="0" borderId="24" xfId="0" applyNumberFormat="1" applyFont="1" applyFill="1" applyBorder="1" applyAlignment="1" applyProtection="1">
      <alignment vertical="center"/>
      <protection locked="0"/>
    </xf>
    <xf numFmtId="3" fontId="25" fillId="0" borderId="62" xfId="0" applyNumberFormat="1" applyFont="1" applyFill="1" applyBorder="1" applyAlignment="1" applyProtection="1">
      <alignment vertical="center"/>
      <protection locked="0"/>
    </xf>
    <xf numFmtId="164" fontId="17" fillId="0" borderId="18" xfId="0" applyNumberFormat="1" applyFont="1" applyFill="1" applyBorder="1" applyAlignment="1" applyProtection="1">
      <alignment horizontal="right" vertical="center"/>
      <protection locked="0"/>
    </xf>
    <xf numFmtId="3" fontId="25" fillId="0" borderId="18" xfId="0" applyNumberFormat="1" applyFont="1" applyFill="1" applyBorder="1" applyAlignment="1" applyProtection="1">
      <alignment vertical="center"/>
      <protection locked="0"/>
    </xf>
    <xf numFmtId="164" fontId="17" fillId="0" borderId="25" xfId="0" applyNumberFormat="1" applyFont="1" applyFill="1" applyBorder="1" applyAlignment="1" applyProtection="1">
      <alignment horizontal="right" vertical="center"/>
      <protection locked="0"/>
    </xf>
    <xf numFmtId="3" fontId="24" fillId="0" borderId="62" xfId="0" applyNumberFormat="1" applyFont="1" applyFill="1" applyBorder="1" applyAlignment="1" applyProtection="1">
      <alignment vertical="center"/>
      <protection locked="0"/>
    </xf>
    <xf numFmtId="164" fontId="21" fillId="0" borderId="19" xfId="0" applyNumberFormat="1" applyFont="1" applyFill="1" applyBorder="1" applyAlignment="1" applyProtection="1">
      <alignment horizontal="right" vertical="center"/>
      <protection locked="0"/>
    </xf>
    <xf numFmtId="164" fontId="21" fillId="0" borderId="25" xfId="0" applyNumberFormat="1" applyFont="1" applyFill="1" applyBorder="1" applyAlignment="1" applyProtection="1">
      <alignment horizontal="right" vertical="center"/>
      <protection locked="0"/>
    </xf>
    <xf numFmtId="4" fontId="25" fillId="0" borderId="0" xfId="0" applyNumberFormat="1" applyFont="1" applyFill="1" applyBorder="1" applyAlignment="1" applyProtection="1">
      <alignment vertical="center"/>
      <protection locked="0"/>
    </xf>
    <xf numFmtId="3" fontId="24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75" xfId="0" applyFont="1" applyBorder="1" applyAlignment="1">
      <alignment horizontal="center" vertical="center" wrapText="1"/>
    </xf>
    <xf numFmtId="3" fontId="11" fillId="0" borderId="76" xfId="0" applyNumberFormat="1" applyFont="1" applyBorder="1" applyAlignment="1">
      <alignment horizontal="center" vertical="center"/>
    </xf>
    <xf numFmtId="3" fontId="11" fillId="0" borderId="7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78" xfId="0" applyFont="1" applyBorder="1" applyAlignment="1">
      <alignment horizontal="center" vertical="center" wrapText="1"/>
    </xf>
    <xf numFmtId="3" fontId="6" fillId="0" borderId="79" xfId="0" applyNumberFormat="1" applyFont="1" applyBorder="1" applyAlignment="1">
      <alignment horizontal="center" vertical="center"/>
    </xf>
    <xf numFmtId="3" fontId="6" fillId="0" borderId="8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81" xfId="0" applyFont="1" applyBorder="1" applyAlignment="1">
      <alignment vertical="center" wrapText="1"/>
    </xf>
    <xf numFmtId="4" fontId="11" fillId="0" borderId="50" xfId="0" applyNumberFormat="1" applyFont="1" applyBorder="1" applyAlignment="1">
      <alignment vertical="center"/>
    </xf>
    <xf numFmtId="4" fontId="11" fillId="0" borderId="82" xfId="0" applyNumberFormat="1" applyFont="1" applyBorder="1" applyAlignment="1">
      <alignment vertical="center"/>
    </xf>
    <xf numFmtId="0" fontId="10" fillId="0" borderId="83" xfId="0" applyFont="1" applyBorder="1" applyAlignment="1">
      <alignment vertical="center" wrapText="1"/>
    </xf>
    <xf numFmtId="0" fontId="11" fillId="0" borderId="83" xfId="0" applyFont="1" applyBorder="1" applyAlignment="1">
      <alignment vertical="center" wrapText="1"/>
    </xf>
    <xf numFmtId="4" fontId="11" fillId="0" borderId="46" xfId="0" applyNumberFormat="1" applyFont="1" applyBorder="1" applyAlignment="1">
      <alignment vertical="center"/>
    </xf>
    <xf numFmtId="4" fontId="11" fillId="0" borderId="84" xfId="0" applyNumberFormat="1" applyFont="1" applyBorder="1" applyAlignment="1">
      <alignment vertical="center"/>
    </xf>
    <xf numFmtId="4" fontId="10" fillId="0" borderId="46" xfId="0" applyNumberFormat="1" applyFont="1" applyBorder="1" applyAlignment="1">
      <alignment vertical="center"/>
    </xf>
    <xf numFmtId="4" fontId="10" fillId="0" borderId="84" xfId="0" applyNumberFormat="1" applyFont="1" applyBorder="1" applyAlignment="1">
      <alignment vertical="center"/>
    </xf>
    <xf numFmtId="0" fontId="13" fillId="0" borderId="83" xfId="0" applyFont="1" applyBorder="1" applyAlignment="1">
      <alignment vertical="center" wrapText="1"/>
    </xf>
    <xf numFmtId="4" fontId="13" fillId="0" borderId="46" xfId="0" applyNumberFormat="1" applyFont="1" applyBorder="1" applyAlignment="1">
      <alignment vertical="center"/>
    </xf>
    <xf numFmtId="4" fontId="13" fillId="0" borderId="84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3" fontId="10" fillId="0" borderId="84" xfId="0" applyNumberFormat="1" applyFont="1" applyBorder="1" applyAlignment="1">
      <alignment vertical="center"/>
    </xf>
    <xf numFmtId="164" fontId="10" fillId="0" borderId="83" xfId="0" applyNumberFormat="1" applyFont="1" applyBorder="1" applyAlignment="1">
      <alignment vertical="center" wrapText="1"/>
    </xf>
    <xf numFmtId="3" fontId="10" fillId="0" borderId="46" xfId="0" applyNumberFormat="1" applyFont="1" applyBorder="1" applyAlignment="1">
      <alignment vertical="center"/>
    </xf>
    <xf numFmtId="0" fontId="10" fillId="0" borderId="78" xfId="0" applyFont="1" applyBorder="1" applyAlignment="1">
      <alignment vertical="center" wrapText="1"/>
    </xf>
    <xf numFmtId="3" fontId="10" fillId="0" borderId="79" xfId="0" applyNumberFormat="1" applyFont="1" applyBorder="1" applyAlignment="1">
      <alignment vertical="center"/>
    </xf>
    <xf numFmtId="3" fontId="10" fillId="0" borderId="80" xfId="0" applyNumberFormat="1" applyFont="1" applyBorder="1" applyAlignment="1">
      <alignment vertical="center"/>
    </xf>
    <xf numFmtId="0" fontId="10" fillId="0" borderId="0" xfId="0" applyFont="1" applyAlignment="1">
      <alignment vertical="center" wrapText="1"/>
    </xf>
    <xf numFmtId="4" fontId="10" fillId="0" borderId="50" xfId="0" applyNumberFormat="1" applyFont="1" applyBorder="1" applyAlignment="1">
      <alignment vertical="center"/>
    </xf>
    <xf numFmtId="4" fontId="10" fillId="0" borderId="82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8"/>
  <sheetViews>
    <sheetView zoomScale="85" zoomScaleNormal="85" workbookViewId="0" topLeftCell="A351">
      <selection activeCell="D351" sqref="D351"/>
    </sheetView>
  </sheetViews>
  <sheetFormatPr defaultColWidth="9.00390625" defaultRowHeight="12.75"/>
  <cols>
    <col min="1" max="1" width="4.75390625" style="8" customWidth="1"/>
    <col min="2" max="2" width="24.875" style="8" customWidth="1"/>
    <col min="3" max="3" width="11.00390625" style="8" customWidth="1"/>
    <col min="4" max="4" width="11.375" style="8" customWidth="1"/>
    <col min="5" max="5" width="10.375" style="8" customWidth="1"/>
    <col min="6" max="6" width="5.625" style="8" customWidth="1"/>
    <col min="7" max="7" width="9.25390625" style="8" customWidth="1"/>
    <col min="8" max="8" width="9.625" style="8" customWidth="1"/>
    <col min="9" max="9" width="5.875" style="8" customWidth="1"/>
    <col min="10" max="10" width="9.375" style="8" customWidth="1"/>
    <col min="11" max="11" width="8.75390625" style="8" customWidth="1"/>
    <col min="12" max="12" width="5.00390625" style="474" customWidth="1"/>
    <col min="13" max="13" width="9.75390625" style="8" customWidth="1"/>
    <col min="14" max="14" width="8.75390625" style="8" customWidth="1"/>
    <col min="15" max="15" width="6.00390625" style="8" customWidth="1"/>
    <col min="16" max="16" width="7.625" style="8" customWidth="1"/>
    <col min="17" max="17" width="8.125" style="8" customWidth="1"/>
    <col min="18" max="18" width="5.875" style="474" customWidth="1"/>
    <col min="19" max="19" width="0" style="8" hidden="1" customWidth="1"/>
    <col min="20" max="16384" width="9.125" style="8" customWidth="1"/>
  </cols>
  <sheetData>
    <row r="1" spans="1:18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3"/>
      <c r="N1" s="3"/>
      <c r="O1" s="5"/>
      <c r="P1" s="6"/>
      <c r="Q1" s="7"/>
      <c r="R1" s="4"/>
    </row>
    <row r="2" spans="1:18" ht="16.5" thickBot="1">
      <c r="A2" s="9" t="s">
        <v>313</v>
      </c>
      <c r="B2" s="10"/>
      <c r="C2" s="11"/>
      <c r="D2" s="11"/>
      <c r="E2" s="11"/>
      <c r="F2" s="12"/>
      <c r="G2" s="13"/>
      <c r="H2" s="14"/>
      <c r="I2" s="15"/>
      <c r="J2" s="13"/>
      <c r="K2" s="14"/>
      <c r="L2" s="16"/>
      <c r="M2" s="17"/>
      <c r="N2" s="18"/>
      <c r="O2" s="19"/>
      <c r="P2" s="20"/>
      <c r="Q2" s="21"/>
      <c r="R2" s="22"/>
    </row>
    <row r="3" spans="1:18" ht="15.75" thickTop="1">
      <c r="A3" s="23" t="s">
        <v>900</v>
      </c>
      <c r="B3" s="24" t="s">
        <v>160</v>
      </c>
      <c r="C3" s="25" t="s">
        <v>895</v>
      </c>
      <c r="D3" s="26"/>
      <c r="E3" s="26"/>
      <c r="F3" s="27"/>
      <c r="G3" s="28" t="s">
        <v>901</v>
      </c>
      <c r="H3" s="29"/>
      <c r="I3" s="29"/>
      <c r="J3" s="29"/>
      <c r="K3" s="29"/>
      <c r="L3" s="30"/>
      <c r="M3" s="31" t="s">
        <v>902</v>
      </c>
      <c r="N3" s="32"/>
      <c r="O3" s="32"/>
      <c r="P3" s="32"/>
      <c r="Q3" s="32"/>
      <c r="R3" s="33"/>
    </row>
    <row r="4" spans="1:18" ht="27.75" customHeight="1" thickBot="1">
      <c r="A4" s="34"/>
      <c r="B4" s="35"/>
      <c r="C4" s="36"/>
      <c r="D4" s="37"/>
      <c r="E4" s="37"/>
      <c r="F4" s="38"/>
      <c r="G4" s="39" t="s">
        <v>903</v>
      </c>
      <c r="H4" s="40"/>
      <c r="I4" s="41"/>
      <c r="J4" s="39" t="s">
        <v>314</v>
      </c>
      <c r="K4" s="42"/>
      <c r="L4" s="43"/>
      <c r="M4" s="39" t="s">
        <v>903</v>
      </c>
      <c r="N4" s="40"/>
      <c r="O4" s="41"/>
      <c r="P4" s="39" t="s">
        <v>314</v>
      </c>
      <c r="Q4" s="42"/>
      <c r="R4" s="44"/>
    </row>
    <row r="5" spans="1:18" ht="28.5" thickBot="1" thickTop="1">
      <c r="A5" s="45"/>
      <c r="B5" s="46"/>
      <c r="C5" s="47" t="s">
        <v>904</v>
      </c>
      <c r="D5" s="48" t="s">
        <v>315</v>
      </c>
      <c r="E5" s="48" t="s">
        <v>163</v>
      </c>
      <c r="F5" s="49" t="s">
        <v>905</v>
      </c>
      <c r="G5" s="50" t="s">
        <v>165</v>
      </c>
      <c r="H5" s="51" t="s">
        <v>163</v>
      </c>
      <c r="I5" s="52" t="s">
        <v>905</v>
      </c>
      <c r="J5" s="50" t="s">
        <v>316</v>
      </c>
      <c r="K5" s="51" t="s">
        <v>163</v>
      </c>
      <c r="L5" s="52" t="s">
        <v>905</v>
      </c>
      <c r="M5" s="50" t="s">
        <v>165</v>
      </c>
      <c r="N5" s="51" t="s">
        <v>163</v>
      </c>
      <c r="O5" s="52" t="s">
        <v>905</v>
      </c>
      <c r="P5" s="50" t="s">
        <v>165</v>
      </c>
      <c r="Q5" s="51" t="s">
        <v>163</v>
      </c>
      <c r="R5" s="52" t="s">
        <v>905</v>
      </c>
    </row>
    <row r="6" spans="1:18" ht="11.25" customHeight="1" thickBot="1" thickTop="1">
      <c r="A6" s="53">
        <v>1</v>
      </c>
      <c r="B6" s="54">
        <v>2</v>
      </c>
      <c r="C6" s="53">
        <v>3</v>
      </c>
      <c r="D6" s="55">
        <v>4</v>
      </c>
      <c r="E6" s="55">
        <v>5</v>
      </c>
      <c r="F6" s="56">
        <v>6</v>
      </c>
      <c r="G6" s="57">
        <v>7</v>
      </c>
      <c r="H6" s="55">
        <v>8</v>
      </c>
      <c r="I6" s="58">
        <v>9</v>
      </c>
      <c r="J6" s="57">
        <v>10</v>
      </c>
      <c r="K6" s="55">
        <v>11</v>
      </c>
      <c r="L6" s="59">
        <v>12</v>
      </c>
      <c r="M6" s="57">
        <v>13</v>
      </c>
      <c r="N6" s="55">
        <v>14</v>
      </c>
      <c r="O6" s="58">
        <v>15</v>
      </c>
      <c r="P6" s="57">
        <v>16</v>
      </c>
      <c r="Q6" s="55">
        <v>17</v>
      </c>
      <c r="R6" s="59">
        <v>18</v>
      </c>
    </row>
    <row r="7" spans="1:18" s="72" customFormat="1" ht="23.25" customHeight="1" thickBot="1" thickTop="1">
      <c r="A7" s="60" t="s">
        <v>168</v>
      </c>
      <c r="B7" s="61" t="s">
        <v>906</v>
      </c>
      <c r="C7" s="62"/>
      <c r="D7" s="63">
        <f>G7+J7+M7+P7</f>
        <v>0</v>
      </c>
      <c r="E7" s="64">
        <f>E8</f>
        <v>0</v>
      </c>
      <c r="F7" s="65" t="e">
        <f>E7/D7*100</f>
        <v>#DIV/0!</v>
      </c>
      <c r="G7" s="66"/>
      <c r="H7" s="67"/>
      <c r="I7" s="68"/>
      <c r="J7" s="69">
        <f>J8</f>
        <v>0</v>
      </c>
      <c r="K7" s="64">
        <f>K8</f>
        <v>0</v>
      </c>
      <c r="L7" s="70" t="e">
        <f>K7/J7*100</f>
        <v>#DIV/0!</v>
      </c>
      <c r="M7" s="66"/>
      <c r="N7" s="67"/>
      <c r="O7" s="68"/>
      <c r="P7" s="66"/>
      <c r="Q7" s="67"/>
      <c r="R7" s="71"/>
    </row>
    <row r="8" spans="1:18" s="72" customFormat="1" ht="15" customHeight="1" thickTop="1">
      <c r="A8" s="73" t="s">
        <v>212</v>
      </c>
      <c r="B8" s="74" t="s">
        <v>213</v>
      </c>
      <c r="C8" s="75"/>
      <c r="D8" s="76">
        <f>D9</f>
        <v>0</v>
      </c>
      <c r="E8" s="77">
        <f>E9</f>
        <v>0</v>
      </c>
      <c r="F8" s="78" t="e">
        <f>E8/D8*100</f>
        <v>#DIV/0!</v>
      </c>
      <c r="G8" s="79"/>
      <c r="H8" s="80"/>
      <c r="I8" s="81"/>
      <c r="J8" s="82">
        <f>J9</f>
        <v>0</v>
      </c>
      <c r="K8" s="77">
        <f>K9</f>
        <v>0</v>
      </c>
      <c r="L8" s="83" t="e">
        <f>K8/J8*100</f>
        <v>#DIV/0!</v>
      </c>
      <c r="M8" s="79"/>
      <c r="N8" s="80"/>
      <c r="O8" s="81"/>
      <c r="P8" s="79"/>
      <c r="Q8" s="80"/>
      <c r="R8" s="84"/>
    </row>
    <row r="9" spans="1:18" ht="48.75" customHeight="1" thickBot="1">
      <c r="A9" s="85" t="s">
        <v>907</v>
      </c>
      <c r="B9" s="86" t="s">
        <v>908</v>
      </c>
      <c r="C9" s="87"/>
      <c r="D9" s="88">
        <f>G9+J9+M9+P9</f>
        <v>0</v>
      </c>
      <c r="E9" s="89">
        <f>H9+K9+N9+Q9</f>
        <v>0</v>
      </c>
      <c r="F9" s="90"/>
      <c r="G9" s="91"/>
      <c r="H9" s="92"/>
      <c r="I9" s="93"/>
      <c r="J9" s="94"/>
      <c r="K9" s="95"/>
      <c r="L9" s="96"/>
      <c r="M9" s="91"/>
      <c r="N9" s="92"/>
      <c r="O9" s="93"/>
      <c r="P9" s="91"/>
      <c r="Q9" s="92"/>
      <c r="R9" s="93"/>
    </row>
    <row r="10" spans="1:18" ht="20.25" customHeight="1" thickBot="1" thickTop="1">
      <c r="A10" s="97" t="s">
        <v>909</v>
      </c>
      <c r="B10" s="98" t="s">
        <v>910</v>
      </c>
      <c r="C10" s="99">
        <f>C13+C24+C33+C29</f>
        <v>16762468</v>
      </c>
      <c r="D10" s="100">
        <f>G10+J10+M10+P10</f>
        <v>18288238</v>
      </c>
      <c r="E10" s="101">
        <f>E11+E13+E24+E33+E29+E27</f>
        <v>593985</v>
      </c>
      <c r="F10" s="102">
        <f>E10/D10*100</f>
        <v>3.2479072068069104</v>
      </c>
      <c r="G10" s="101">
        <f>G13+G24+G29+G33</f>
        <v>8720468</v>
      </c>
      <c r="H10" s="101">
        <f>H11+H13+H24+H29+H33+H27</f>
        <v>42216</v>
      </c>
      <c r="I10" s="103">
        <f>H10/G10*100</f>
        <v>0.4841024587212521</v>
      </c>
      <c r="J10" s="104"/>
      <c r="K10" s="101"/>
      <c r="L10" s="105"/>
      <c r="M10" s="101">
        <f>M13+M24+M29+M33</f>
        <v>9567770</v>
      </c>
      <c r="N10" s="101">
        <f>N13+N24+N29+N33</f>
        <v>551769</v>
      </c>
      <c r="O10" s="106">
        <f>N10/M10*100</f>
        <v>5.7669551003002795</v>
      </c>
      <c r="P10" s="104"/>
      <c r="Q10" s="101"/>
      <c r="R10" s="106"/>
    </row>
    <row r="11" spans="1:18" ht="24.75" customHeight="1" thickTop="1">
      <c r="A11" s="107" t="s">
        <v>317</v>
      </c>
      <c r="B11" s="108" t="s">
        <v>318</v>
      </c>
      <c r="C11" s="109"/>
      <c r="D11" s="110"/>
      <c r="E11" s="111">
        <f>E12</f>
        <v>32982</v>
      </c>
      <c r="F11" s="112"/>
      <c r="G11" s="113"/>
      <c r="H11" s="111">
        <f>H12</f>
        <v>32982</v>
      </c>
      <c r="I11" s="114"/>
      <c r="J11" s="115"/>
      <c r="K11" s="111"/>
      <c r="L11" s="116"/>
      <c r="M11" s="113"/>
      <c r="N11" s="111"/>
      <c r="O11" s="117"/>
      <c r="P11" s="115"/>
      <c r="Q11" s="111"/>
      <c r="R11" s="117"/>
    </row>
    <row r="12" spans="1:18" ht="61.5" customHeight="1">
      <c r="A12" s="118" t="s">
        <v>319</v>
      </c>
      <c r="B12" s="119" t="s">
        <v>320</v>
      </c>
      <c r="C12" s="120"/>
      <c r="D12" s="89"/>
      <c r="E12" s="121">
        <f>H12</f>
        <v>32982</v>
      </c>
      <c r="F12" s="122"/>
      <c r="G12" s="123"/>
      <c r="H12" s="121">
        <v>32982</v>
      </c>
      <c r="I12" s="124"/>
      <c r="J12" s="125"/>
      <c r="K12" s="121"/>
      <c r="L12" s="126"/>
      <c r="M12" s="123"/>
      <c r="N12" s="121"/>
      <c r="O12" s="127"/>
      <c r="P12" s="125"/>
      <c r="Q12" s="121"/>
      <c r="R12" s="127"/>
    </row>
    <row r="13" spans="1:18" ht="23.25" customHeight="1">
      <c r="A13" s="128" t="s">
        <v>911</v>
      </c>
      <c r="B13" s="129" t="s">
        <v>220</v>
      </c>
      <c r="C13" s="130">
        <f>C14+C16+C17+C20</f>
        <v>8067000</v>
      </c>
      <c r="D13" s="131">
        <f>M13+P13</f>
        <v>9567770</v>
      </c>
      <c r="E13" s="131">
        <f>N13+Q13</f>
        <v>551769</v>
      </c>
      <c r="F13" s="132">
        <f>E13/D13*100</f>
        <v>5.7669551003002795</v>
      </c>
      <c r="G13" s="133"/>
      <c r="H13" s="134"/>
      <c r="I13" s="132"/>
      <c r="J13" s="133"/>
      <c r="K13" s="134"/>
      <c r="L13" s="135"/>
      <c r="M13" s="136">
        <f>M14+M16+M17+M20+M15</f>
        <v>9567770</v>
      </c>
      <c r="N13" s="131">
        <f>N14+N16+N17+N20+N15</f>
        <v>551769</v>
      </c>
      <c r="O13" s="137">
        <f>N13/M13*100</f>
        <v>5.7669551003002795</v>
      </c>
      <c r="P13" s="133"/>
      <c r="Q13" s="134"/>
      <c r="R13" s="137"/>
    </row>
    <row r="14" spans="1:18" ht="36.75" customHeight="1">
      <c r="A14" s="118" t="s">
        <v>912</v>
      </c>
      <c r="B14" s="86" t="s">
        <v>913</v>
      </c>
      <c r="C14" s="138">
        <v>2000</v>
      </c>
      <c r="D14" s="89">
        <f>G14+J14+M14</f>
        <v>12000</v>
      </c>
      <c r="E14" s="89">
        <f>H14+K14+N14+Q14</f>
        <v>0</v>
      </c>
      <c r="F14" s="122"/>
      <c r="G14" s="125"/>
      <c r="H14" s="121"/>
      <c r="I14" s="124"/>
      <c r="J14" s="125"/>
      <c r="K14" s="121"/>
      <c r="L14" s="126"/>
      <c r="M14" s="125">
        <f>2000+10000</f>
        <v>12000</v>
      </c>
      <c r="N14" s="121"/>
      <c r="O14" s="127">
        <f>N14/M14*100</f>
        <v>0</v>
      </c>
      <c r="P14" s="125"/>
      <c r="Q14" s="121"/>
      <c r="R14" s="127"/>
    </row>
    <row r="15" spans="1:18" ht="29.25" customHeight="1">
      <c r="A15" s="118" t="s">
        <v>914</v>
      </c>
      <c r="B15" s="86" t="s">
        <v>964</v>
      </c>
      <c r="C15" s="138"/>
      <c r="D15" s="89">
        <f>M15</f>
        <v>551770</v>
      </c>
      <c r="E15" s="89">
        <f>N15</f>
        <v>551769</v>
      </c>
      <c r="F15" s="122">
        <f>E15/D15*100</f>
        <v>99.99981876506516</v>
      </c>
      <c r="G15" s="125"/>
      <c r="H15" s="121"/>
      <c r="I15" s="124"/>
      <c r="J15" s="125"/>
      <c r="K15" s="121"/>
      <c r="L15" s="126"/>
      <c r="M15" s="125">
        <v>551770</v>
      </c>
      <c r="N15" s="121">
        <v>551769</v>
      </c>
      <c r="O15" s="127">
        <f>N15/M15*100</f>
        <v>99.99981876506516</v>
      </c>
      <c r="P15" s="125"/>
      <c r="Q15" s="121"/>
      <c r="R15" s="127"/>
    </row>
    <row r="16" spans="1:18" ht="15.75" customHeight="1">
      <c r="A16" s="118" t="s">
        <v>920</v>
      </c>
      <c r="B16" s="86" t="s">
        <v>940</v>
      </c>
      <c r="C16" s="138">
        <v>1000</v>
      </c>
      <c r="D16" s="89">
        <f>G16+J16+M16</f>
        <v>1000</v>
      </c>
      <c r="E16" s="89">
        <f>H16+K16+N16+Q16</f>
        <v>0</v>
      </c>
      <c r="F16" s="122">
        <f>E16/D16*100</f>
        <v>0</v>
      </c>
      <c r="G16" s="125"/>
      <c r="H16" s="121"/>
      <c r="I16" s="124"/>
      <c r="J16" s="125"/>
      <c r="K16" s="121"/>
      <c r="L16" s="126"/>
      <c r="M16" s="125">
        <v>1000</v>
      </c>
      <c r="N16" s="121"/>
      <c r="O16" s="127">
        <f>N16/M16*100</f>
        <v>0</v>
      </c>
      <c r="P16" s="125"/>
      <c r="Q16" s="121"/>
      <c r="R16" s="127"/>
    </row>
    <row r="17" spans="1:18" s="139" customFormat="1" ht="39.75" customHeight="1">
      <c r="A17" s="118" t="s">
        <v>916</v>
      </c>
      <c r="B17" s="119" t="s">
        <v>321</v>
      </c>
      <c r="C17" s="138">
        <f>SUM(C18:C19)</f>
        <v>4200000</v>
      </c>
      <c r="D17" s="89">
        <f>M17</f>
        <v>4200000</v>
      </c>
      <c r="E17" s="89"/>
      <c r="F17" s="122"/>
      <c r="G17" s="125"/>
      <c r="H17" s="121"/>
      <c r="I17" s="124"/>
      <c r="J17" s="125"/>
      <c r="K17" s="121"/>
      <c r="L17" s="126"/>
      <c r="M17" s="125">
        <f>SUM(M18:M19)</f>
        <v>4200000</v>
      </c>
      <c r="N17" s="121"/>
      <c r="O17" s="127"/>
      <c r="P17" s="125"/>
      <c r="Q17" s="121"/>
      <c r="R17" s="127"/>
    </row>
    <row r="18" spans="1:18" s="152" customFormat="1" ht="35.25" customHeight="1">
      <c r="A18" s="140"/>
      <c r="B18" s="141" t="s">
        <v>322</v>
      </c>
      <c r="C18" s="142">
        <v>4000000</v>
      </c>
      <c r="D18" s="143">
        <f>M18</f>
        <v>4000000</v>
      </c>
      <c r="E18" s="143"/>
      <c r="F18" s="144"/>
      <c r="G18" s="145"/>
      <c r="H18" s="146"/>
      <c r="I18" s="147"/>
      <c r="J18" s="145"/>
      <c r="K18" s="146"/>
      <c r="L18" s="148"/>
      <c r="M18" s="145">
        <v>4000000</v>
      </c>
      <c r="N18" s="149"/>
      <c r="O18" s="150"/>
      <c r="P18" s="151"/>
      <c r="Q18" s="149"/>
      <c r="R18" s="150"/>
    </row>
    <row r="19" spans="1:18" s="152" customFormat="1" ht="15" customHeight="1">
      <c r="A19" s="153"/>
      <c r="B19" s="154" t="s">
        <v>323</v>
      </c>
      <c r="C19" s="155">
        <v>200000</v>
      </c>
      <c r="D19" s="156">
        <f>M19</f>
        <v>200000</v>
      </c>
      <c r="E19" s="156"/>
      <c r="F19" s="157"/>
      <c r="G19" s="158"/>
      <c r="H19" s="159"/>
      <c r="I19" s="160"/>
      <c r="J19" s="158"/>
      <c r="K19" s="159"/>
      <c r="L19" s="161"/>
      <c r="M19" s="158">
        <v>200000</v>
      </c>
      <c r="N19" s="162"/>
      <c r="O19" s="163"/>
      <c r="P19" s="164"/>
      <c r="Q19" s="162"/>
      <c r="R19" s="163"/>
    </row>
    <row r="20" spans="1:18" s="139" customFormat="1" ht="51.75" customHeight="1">
      <c r="A20" s="118" t="s">
        <v>324</v>
      </c>
      <c r="B20" s="119" t="s">
        <v>325</v>
      </c>
      <c r="C20" s="138">
        <f>SUM(C21:C23)</f>
        <v>3864000</v>
      </c>
      <c r="D20" s="89">
        <f>SUM(D21:D23)</f>
        <v>4803000</v>
      </c>
      <c r="E20" s="89"/>
      <c r="F20" s="122"/>
      <c r="G20" s="125"/>
      <c r="H20" s="121"/>
      <c r="I20" s="124"/>
      <c r="J20" s="125"/>
      <c r="K20" s="121"/>
      <c r="L20" s="126"/>
      <c r="M20" s="125">
        <f>SUM(M21:M23)</f>
        <v>4803000</v>
      </c>
      <c r="N20" s="121"/>
      <c r="O20" s="127"/>
      <c r="P20" s="125"/>
      <c r="Q20" s="121"/>
      <c r="R20" s="127"/>
    </row>
    <row r="21" spans="1:18" s="169" customFormat="1" ht="12.75" customHeight="1">
      <c r="A21" s="165"/>
      <c r="B21" s="141" t="s">
        <v>326</v>
      </c>
      <c r="C21" s="142">
        <v>939000</v>
      </c>
      <c r="D21" s="143">
        <f>M21</f>
        <v>1878000</v>
      </c>
      <c r="E21" s="143"/>
      <c r="F21" s="166"/>
      <c r="G21" s="145"/>
      <c r="H21" s="146"/>
      <c r="I21" s="167"/>
      <c r="J21" s="145"/>
      <c r="K21" s="146"/>
      <c r="L21" s="168"/>
      <c r="M21" s="145">
        <f>939000+939000</f>
        <v>1878000</v>
      </c>
      <c r="N21" s="146"/>
      <c r="O21" s="150"/>
      <c r="P21" s="145"/>
      <c r="Q21" s="146"/>
      <c r="R21" s="150"/>
    </row>
    <row r="22" spans="1:18" s="169" customFormat="1" ht="12.75" customHeight="1">
      <c r="A22" s="165"/>
      <c r="B22" s="141" t="s">
        <v>327</v>
      </c>
      <c r="C22" s="142">
        <v>175000</v>
      </c>
      <c r="D22" s="143">
        <f>M22</f>
        <v>175000</v>
      </c>
      <c r="E22" s="143"/>
      <c r="F22" s="166"/>
      <c r="G22" s="145"/>
      <c r="H22" s="146"/>
      <c r="I22" s="167"/>
      <c r="J22" s="145"/>
      <c r="K22" s="146"/>
      <c r="L22" s="168"/>
      <c r="M22" s="145">
        <v>175000</v>
      </c>
      <c r="N22" s="146"/>
      <c r="O22" s="150"/>
      <c r="P22" s="145"/>
      <c r="Q22" s="146"/>
      <c r="R22" s="150"/>
    </row>
    <row r="23" spans="1:18" s="169" customFormat="1" ht="12" customHeight="1">
      <c r="A23" s="170"/>
      <c r="B23" s="154" t="s">
        <v>328</v>
      </c>
      <c r="C23" s="155">
        <v>2750000</v>
      </c>
      <c r="D23" s="156">
        <f>M23</f>
        <v>2750000</v>
      </c>
      <c r="E23" s="156"/>
      <c r="F23" s="171"/>
      <c r="G23" s="158"/>
      <c r="H23" s="159"/>
      <c r="I23" s="172"/>
      <c r="J23" s="158"/>
      <c r="K23" s="159"/>
      <c r="L23" s="173"/>
      <c r="M23" s="158">
        <v>2750000</v>
      </c>
      <c r="N23" s="159"/>
      <c r="O23" s="163"/>
      <c r="P23" s="158"/>
      <c r="Q23" s="159"/>
      <c r="R23" s="163"/>
    </row>
    <row r="24" spans="1:18" ht="17.25" customHeight="1">
      <c r="A24" s="128" t="s">
        <v>917</v>
      </c>
      <c r="B24" s="129" t="s">
        <v>918</v>
      </c>
      <c r="C24" s="130">
        <f>SUM(C25:C26)</f>
        <v>2000</v>
      </c>
      <c r="D24" s="131">
        <f>SUM(D25:D26)</f>
        <v>27000</v>
      </c>
      <c r="E24" s="131">
        <f>SUM(E25:E26)</f>
        <v>9231</v>
      </c>
      <c r="F24" s="174">
        <f aca="true" t="shared" si="0" ref="F24:F82">E24/D24*100</f>
        <v>34.18888888888889</v>
      </c>
      <c r="G24" s="133">
        <f>SUM(G25:G26)</f>
        <v>27000</v>
      </c>
      <c r="H24" s="134">
        <f>SUM(H25:H26)</f>
        <v>9231</v>
      </c>
      <c r="I24" s="132">
        <f aca="true" t="shared" si="1" ref="I24:I37">H24/G24*100</f>
        <v>34.18888888888889</v>
      </c>
      <c r="J24" s="133"/>
      <c r="K24" s="134"/>
      <c r="L24" s="135"/>
      <c r="M24" s="133"/>
      <c r="N24" s="134"/>
      <c r="O24" s="137"/>
      <c r="P24" s="133"/>
      <c r="Q24" s="134"/>
      <c r="R24" s="137"/>
    </row>
    <row r="25" spans="1:18" s="139" customFormat="1" ht="33" customHeight="1">
      <c r="A25" s="175" t="s">
        <v>912</v>
      </c>
      <c r="B25" s="176" t="s">
        <v>919</v>
      </c>
      <c r="C25" s="177"/>
      <c r="D25" s="178">
        <f>G25+J25</f>
        <v>15000</v>
      </c>
      <c r="E25" s="178">
        <f>H25+K25</f>
        <v>0</v>
      </c>
      <c r="F25" s="179">
        <f t="shared" si="0"/>
        <v>0</v>
      </c>
      <c r="G25" s="180">
        <v>15000</v>
      </c>
      <c r="H25" s="181"/>
      <c r="I25" s="179">
        <f t="shared" si="1"/>
        <v>0</v>
      </c>
      <c r="J25" s="180"/>
      <c r="K25" s="181"/>
      <c r="L25" s="182"/>
      <c r="M25" s="180"/>
      <c r="N25" s="181"/>
      <c r="O25" s="183"/>
      <c r="P25" s="180"/>
      <c r="Q25" s="181"/>
      <c r="R25" s="183"/>
    </row>
    <row r="26" spans="1:18" s="139" customFormat="1" ht="17.25" customHeight="1">
      <c r="A26" s="118" t="s">
        <v>920</v>
      </c>
      <c r="B26" s="86" t="s">
        <v>915</v>
      </c>
      <c r="C26" s="138">
        <v>2000</v>
      </c>
      <c r="D26" s="89">
        <f>G26+J26</f>
        <v>12000</v>
      </c>
      <c r="E26" s="89">
        <f>H26+K26</f>
        <v>9231</v>
      </c>
      <c r="F26" s="124">
        <f t="shared" si="0"/>
        <v>76.925</v>
      </c>
      <c r="G26" s="125">
        <f>2000+10000</f>
        <v>12000</v>
      </c>
      <c r="H26" s="121">
        <v>9231</v>
      </c>
      <c r="I26" s="124">
        <f t="shared" si="1"/>
        <v>76.925</v>
      </c>
      <c r="J26" s="125"/>
      <c r="K26" s="121"/>
      <c r="L26" s="126"/>
      <c r="M26" s="125"/>
      <c r="N26" s="121"/>
      <c r="O26" s="127"/>
      <c r="P26" s="125"/>
      <c r="Q26" s="121"/>
      <c r="R26" s="127"/>
    </row>
    <row r="27" spans="1:18" ht="18" customHeight="1">
      <c r="A27" s="128" t="s">
        <v>329</v>
      </c>
      <c r="B27" s="129" t="s">
        <v>244</v>
      </c>
      <c r="C27" s="130"/>
      <c r="D27" s="131"/>
      <c r="E27" s="131">
        <f>E28</f>
        <v>0</v>
      </c>
      <c r="F27" s="132"/>
      <c r="G27" s="133"/>
      <c r="H27" s="134">
        <f>H28</f>
        <v>0</v>
      </c>
      <c r="I27" s="132"/>
      <c r="J27" s="133"/>
      <c r="K27" s="134"/>
      <c r="L27" s="135"/>
      <c r="M27" s="133"/>
      <c r="N27" s="134"/>
      <c r="O27" s="137"/>
      <c r="P27" s="133"/>
      <c r="Q27" s="134"/>
      <c r="R27" s="137"/>
    </row>
    <row r="28" spans="1:18" ht="37.5" customHeight="1">
      <c r="A28" s="118" t="s">
        <v>912</v>
      </c>
      <c r="B28" s="184" t="s">
        <v>919</v>
      </c>
      <c r="C28" s="138"/>
      <c r="D28" s="89"/>
      <c r="E28" s="89">
        <f>H28</f>
        <v>0</v>
      </c>
      <c r="F28" s="124"/>
      <c r="G28" s="125"/>
      <c r="H28" s="121"/>
      <c r="I28" s="124"/>
      <c r="J28" s="125"/>
      <c r="K28" s="121"/>
      <c r="L28" s="126"/>
      <c r="M28" s="125"/>
      <c r="N28" s="121"/>
      <c r="O28" s="127"/>
      <c r="P28" s="125"/>
      <c r="Q28" s="121"/>
      <c r="R28" s="127"/>
    </row>
    <row r="29" spans="1:18" ht="22.5" customHeight="1">
      <c r="A29" s="128" t="s">
        <v>921</v>
      </c>
      <c r="B29" s="129" t="s">
        <v>922</v>
      </c>
      <c r="C29" s="130">
        <f>C30</f>
        <v>8693438</v>
      </c>
      <c r="D29" s="131">
        <f>D30</f>
        <v>8693438</v>
      </c>
      <c r="E29" s="131">
        <f>E32</f>
        <v>0</v>
      </c>
      <c r="F29" s="185"/>
      <c r="G29" s="133">
        <f>G30</f>
        <v>8693438</v>
      </c>
      <c r="H29" s="134">
        <f>H32</f>
        <v>0</v>
      </c>
      <c r="I29" s="132"/>
      <c r="J29" s="133"/>
      <c r="K29" s="134"/>
      <c r="L29" s="135"/>
      <c r="M29" s="133"/>
      <c r="N29" s="134"/>
      <c r="O29" s="137"/>
      <c r="P29" s="133"/>
      <c r="Q29" s="134"/>
      <c r="R29" s="137"/>
    </row>
    <row r="30" spans="1:18" ht="38.25" customHeight="1">
      <c r="A30" s="118" t="s">
        <v>916</v>
      </c>
      <c r="B30" s="119" t="s">
        <v>321</v>
      </c>
      <c r="C30" s="138">
        <f>SUM(C31:C32)</f>
        <v>8693438</v>
      </c>
      <c r="D30" s="89">
        <f>SUM(D31:D32)</f>
        <v>8693438</v>
      </c>
      <c r="E30" s="89"/>
      <c r="F30" s="124"/>
      <c r="G30" s="125">
        <f>SUM(G31:G32)</f>
        <v>8693438</v>
      </c>
      <c r="H30" s="186"/>
      <c r="I30" s="187"/>
      <c r="J30" s="188"/>
      <c r="K30" s="186"/>
      <c r="L30" s="189"/>
      <c r="M30" s="188"/>
      <c r="N30" s="186"/>
      <c r="O30" s="190"/>
      <c r="P30" s="188"/>
      <c r="Q30" s="186"/>
      <c r="R30" s="190"/>
    </row>
    <row r="31" spans="1:18" s="197" customFormat="1" ht="24.75" customHeight="1">
      <c r="A31" s="140"/>
      <c r="B31" s="141" t="s">
        <v>330</v>
      </c>
      <c r="C31" s="191">
        <v>1406198</v>
      </c>
      <c r="D31" s="192">
        <f>G31</f>
        <v>1406198</v>
      </c>
      <c r="E31" s="192"/>
      <c r="F31" s="167"/>
      <c r="G31" s="193">
        <v>1406198</v>
      </c>
      <c r="H31" s="194"/>
      <c r="I31" s="195"/>
      <c r="J31" s="193"/>
      <c r="K31" s="194"/>
      <c r="L31" s="196"/>
      <c r="M31" s="193"/>
      <c r="N31" s="194"/>
      <c r="O31" s="196"/>
      <c r="P31" s="193"/>
      <c r="Q31" s="194"/>
      <c r="R31" s="196"/>
    </row>
    <row r="32" spans="1:18" s="197" customFormat="1" ht="15.75" customHeight="1">
      <c r="A32" s="153"/>
      <c r="B32" s="198" t="s">
        <v>331</v>
      </c>
      <c r="C32" s="199">
        <v>7287240</v>
      </c>
      <c r="D32" s="200">
        <f>G32</f>
        <v>7287240</v>
      </c>
      <c r="E32" s="200">
        <f>H32+K32</f>
        <v>0</v>
      </c>
      <c r="F32" s="167"/>
      <c r="G32" s="151">
        <v>7287240</v>
      </c>
      <c r="H32" s="149"/>
      <c r="I32" s="167"/>
      <c r="J32" s="151"/>
      <c r="K32" s="149"/>
      <c r="L32" s="150"/>
      <c r="M32" s="151"/>
      <c r="N32" s="149"/>
      <c r="O32" s="150"/>
      <c r="P32" s="151"/>
      <c r="Q32" s="149"/>
      <c r="R32" s="150"/>
    </row>
    <row r="33" spans="1:18" ht="16.5" customHeight="1">
      <c r="A33" s="128" t="s">
        <v>923</v>
      </c>
      <c r="B33" s="129" t="s">
        <v>213</v>
      </c>
      <c r="C33" s="130">
        <f>C34</f>
        <v>30</v>
      </c>
      <c r="D33" s="131">
        <f>D34</f>
        <v>30</v>
      </c>
      <c r="E33" s="131">
        <f>E34</f>
        <v>3</v>
      </c>
      <c r="F33" s="132">
        <f t="shared" si="0"/>
        <v>10</v>
      </c>
      <c r="G33" s="133">
        <f>G34</f>
        <v>30</v>
      </c>
      <c r="H33" s="134">
        <f>H34</f>
        <v>3</v>
      </c>
      <c r="I33" s="132">
        <f t="shared" si="1"/>
        <v>10</v>
      </c>
      <c r="J33" s="133"/>
      <c r="K33" s="134"/>
      <c r="L33" s="135"/>
      <c r="M33" s="133"/>
      <c r="N33" s="134"/>
      <c r="O33" s="137"/>
      <c r="P33" s="133"/>
      <c r="Q33" s="134"/>
      <c r="R33" s="137"/>
    </row>
    <row r="34" spans="1:18" ht="14.25" customHeight="1" thickBot="1">
      <c r="A34" s="175" t="s">
        <v>920</v>
      </c>
      <c r="B34" s="176" t="s">
        <v>915</v>
      </c>
      <c r="C34" s="177">
        <v>30</v>
      </c>
      <c r="D34" s="178">
        <f aca="true" t="shared" si="2" ref="D34:E37">G34+J34+M34+P34</f>
        <v>30</v>
      </c>
      <c r="E34" s="178">
        <f t="shared" si="2"/>
        <v>3</v>
      </c>
      <c r="F34" s="179">
        <f t="shared" si="0"/>
        <v>10</v>
      </c>
      <c r="G34" s="180">
        <v>30</v>
      </c>
      <c r="H34" s="181">
        <v>3</v>
      </c>
      <c r="I34" s="179">
        <f t="shared" si="1"/>
        <v>10</v>
      </c>
      <c r="J34" s="180"/>
      <c r="K34" s="181"/>
      <c r="L34" s="182"/>
      <c r="M34" s="180"/>
      <c r="N34" s="181"/>
      <c r="O34" s="183"/>
      <c r="P34" s="180"/>
      <c r="Q34" s="181"/>
      <c r="R34" s="183"/>
    </row>
    <row r="35" spans="1:18" ht="29.25" customHeight="1" thickBot="1" thickTop="1">
      <c r="A35" s="97" t="s">
        <v>925</v>
      </c>
      <c r="B35" s="201" t="s">
        <v>601</v>
      </c>
      <c r="C35" s="99">
        <f>C36+C47</f>
        <v>25529000</v>
      </c>
      <c r="D35" s="100">
        <f t="shared" si="2"/>
        <v>25529000</v>
      </c>
      <c r="E35" s="101">
        <f t="shared" si="2"/>
        <v>6724905</v>
      </c>
      <c r="F35" s="102">
        <f t="shared" si="0"/>
        <v>26.34221865329625</v>
      </c>
      <c r="G35" s="104">
        <f>G36+G47</f>
        <v>24501000</v>
      </c>
      <c r="H35" s="101">
        <f>H36</f>
        <v>6649162</v>
      </c>
      <c r="I35" s="103">
        <f t="shared" si="1"/>
        <v>27.13832904779397</v>
      </c>
      <c r="J35" s="104"/>
      <c r="K35" s="101"/>
      <c r="L35" s="105"/>
      <c r="M35" s="104">
        <f>M36</f>
        <v>1000000</v>
      </c>
      <c r="N35" s="101">
        <f>N36</f>
        <v>68744</v>
      </c>
      <c r="O35" s="103">
        <f>N35/M35*100</f>
        <v>6.8744</v>
      </c>
      <c r="P35" s="104">
        <f>P36</f>
        <v>28000</v>
      </c>
      <c r="Q35" s="101">
        <f>Q36</f>
        <v>6999</v>
      </c>
      <c r="R35" s="103">
        <f>Q35/P35*100</f>
        <v>24.996428571428574</v>
      </c>
    </row>
    <row r="36" spans="1:18" ht="25.5" customHeight="1" thickTop="1">
      <c r="A36" s="202" t="s">
        <v>926</v>
      </c>
      <c r="B36" s="203" t="s">
        <v>605</v>
      </c>
      <c r="C36" s="204">
        <f>SUM(C37:C46)</f>
        <v>25229000</v>
      </c>
      <c r="D36" s="205">
        <f t="shared" si="2"/>
        <v>25229000</v>
      </c>
      <c r="E36" s="205">
        <f t="shared" si="2"/>
        <v>6724905</v>
      </c>
      <c r="F36" s="206">
        <f t="shared" si="0"/>
        <v>26.65545602283087</v>
      </c>
      <c r="G36" s="207">
        <f>SUM(G37:G44)</f>
        <v>24201000</v>
      </c>
      <c r="H36" s="111">
        <f>SUM(H37:H44)</f>
        <v>6649162</v>
      </c>
      <c r="I36" s="206">
        <f t="shared" si="1"/>
        <v>27.47474071319367</v>
      </c>
      <c r="J36" s="208"/>
      <c r="K36" s="209"/>
      <c r="L36" s="210"/>
      <c r="M36" s="208">
        <f>SUM(M37:M46)</f>
        <v>1000000</v>
      </c>
      <c r="N36" s="209">
        <f>SUM(N37:N46)</f>
        <v>68744</v>
      </c>
      <c r="O36" s="206">
        <f>N36/M36*100</f>
        <v>6.8744</v>
      </c>
      <c r="P36" s="211">
        <f>P45</f>
        <v>28000</v>
      </c>
      <c r="Q36" s="205">
        <f>Q45</f>
        <v>6999</v>
      </c>
      <c r="R36" s="206">
        <f>Q36/P36*100</f>
        <v>24.996428571428574</v>
      </c>
    </row>
    <row r="37" spans="1:18" ht="36.75" customHeight="1">
      <c r="A37" s="212" t="s">
        <v>927</v>
      </c>
      <c r="B37" s="184" t="s">
        <v>928</v>
      </c>
      <c r="C37" s="213">
        <v>6100000</v>
      </c>
      <c r="D37" s="214">
        <f t="shared" si="2"/>
        <v>6100000</v>
      </c>
      <c r="E37" s="214">
        <f t="shared" si="2"/>
        <v>3238125</v>
      </c>
      <c r="F37" s="185">
        <f t="shared" si="0"/>
        <v>53.084016393442624</v>
      </c>
      <c r="G37" s="215">
        <v>6100000</v>
      </c>
      <c r="H37" s="216">
        <v>3238125</v>
      </c>
      <c r="I37" s="185">
        <f t="shared" si="1"/>
        <v>53.084016393442624</v>
      </c>
      <c r="J37" s="215"/>
      <c r="K37" s="216"/>
      <c r="L37" s="217"/>
      <c r="M37" s="215"/>
      <c r="N37" s="216"/>
      <c r="O37" s="185"/>
      <c r="P37" s="215"/>
      <c r="Q37" s="216"/>
      <c r="R37" s="185"/>
    </row>
    <row r="38" spans="1:18" s="139" customFormat="1" ht="38.25" customHeight="1">
      <c r="A38" s="118" t="s">
        <v>912</v>
      </c>
      <c r="B38" s="86" t="s">
        <v>919</v>
      </c>
      <c r="C38" s="138"/>
      <c r="D38" s="89"/>
      <c r="E38" s="89">
        <f>H38+K38+N38+Q38</f>
        <v>560</v>
      </c>
      <c r="F38" s="124"/>
      <c r="G38" s="125"/>
      <c r="H38" s="121">
        <v>560</v>
      </c>
      <c r="I38" s="124"/>
      <c r="J38" s="125"/>
      <c r="K38" s="121"/>
      <c r="L38" s="126"/>
      <c r="M38" s="125"/>
      <c r="N38" s="121"/>
      <c r="O38" s="124"/>
      <c r="P38" s="125"/>
      <c r="Q38" s="121"/>
      <c r="R38" s="124"/>
    </row>
    <row r="39" spans="1:18" s="139" customFormat="1" ht="48.75" customHeight="1">
      <c r="A39" s="118" t="s">
        <v>929</v>
      </c>
      <c r="B39" s="86" t="s">
        <v>332</v>
      </c>
      <c r="C39" s="138">
        <v>475000</v>
      </c>
      <c r="D39" s="89">
        <f>G39+J39</f>
        <v>475000</v>
      </c>
      <c r="E39" s="89">
        <f aca="true" t="shared" si="3" ref="E39:E46">H39+K39+N39+Q39</f>
        <v>678100</v>
      </c>
      <c r="F39" s="124">
        <f t="shared" si="0"/>
        <v>142.7578947368421</v>
      </c>
      <c r="G39" s="125">
        <v>475000</v>
      </c>
      <c r="H39" s="121">
        <v>678100</v>
      </c>
      <c r="I39" s="124">
        <f>H39/G39*100</f>
        <v>142.7578947368421</v>
      </c>
      <c r="J39" s="125"/>
      <c r="K39" s="121"/>
      <c r="L39" s="126"/>
      <c r="M39" s="125"/>
      <c r="N39" s="121"/>
      <c r="O39" s="124"/>
      <c r="P39" s="125"/>
      <c r="Q39" s="121"/>
      <c r="R39" s="124"/>
    </row>
    <row r="40" spans="1:18" s="139" customFormat="1" ht="62.25" customHeight="1">
      <c r="A40" s="118" t="s">
        <v>930</v>
      </c>
      <c r="B40" s="86" t="s">
        <v>931</v>
      </c>
      <c r="C40" s="138">
        <v>851000</v>
      </c>
      <c r="D40" s="89">
        <f>G40+J40+M40+P40</f>
        <v>851000</v>
      </c>
      <c r="E40" s="89">
        <f t="shared" si="3"/>
        <v>232051</v>
      </c>
      <c r="F40" s="124">
        <f t="shared" si="0"/>
        <v>27.26803760282021</v>
      </c>
      <c r="G40" s="125">
        <v>851000</v>
      </c>
      <c r="H40" s="121">
        <v>232051</v>
      </c>
      <c r="I40" s="124">
        <f>H40/G40*100</f>
        <v>27.26803760282021</v>
      </c>
      <c r="J40" s="125"/>
      <c r="K40" s="121"/>
      <c r="L40" s="126"/>
      <c r="M40" s="125"/>
      <c r="N40" s="121"/>
      <c r="O40" s="124"/>
      <c r="P40" s="125"/>
      <c r="Q40" s="121"/>
      <c r="R40" s="124"/>
    </row>
    <row r="41" spans="1:18" s="139" customFormat="1" ht="51.75" customHeight="1">
      <c r="A41" s="118" t="s">
        <v>932</v>
      </c>
      <c r="B41" s="86" t="s">
        <v>933</v>
      </c>
      <c r="C41" s="138">
        <v>600000</v>
      </c>
      <c r="D41" s="89">
        <f>G41+J41</f>
        <v>600000</v>
      </c>
      <c r="E41" s="89">
        <f t="shared" si="3"/>
        <v>183823</v>
      </c>
      <c r="F41" s="124">
        <f t="shared" si="0"/>
        <v>30.637166666666666</v>
      </c>
      <c r="G41" s="125">
        <v>600000</v>
      </c>
      <c r="H41" s="121">
        <v>183823</v>
      </c>
      <c r="I41" s="124">
        <f>H41/G41*100</f>
        <v>30.637166666666666</v>
      </c>
      <c r="J41" s="125"/>
      <c r="K41" s="121"/>
      <c r="L41" s="126"/>
      <c r="M41" s="125"/>
      <c r="N41" s="121"/>
      <c r="O41" s="124"/>
      <c r="P41" s="125"/>
      <c r="Q41" s="121"/>
      <c r="R41" s="124"/>
    </row>
    <row r="42" spans="1:18" s="139" customFormat="1" ht="51.75" customHeight="1">
      <c r="A42" s="118" t="s">
        <v>934</v>
      </c>
      <c r="B42" s="86" t="s">
        <v>935</v>
      </c>
      <c r="C42" s="138">
        <v>15925000</v>
      </c>
      <c r="D42" s="89">
        <f>G42+J42+M42+P42</f>
        <v>15925000</v>
      </c>
      <c r="E42" s="89">
        <f t="shared" si="3"/>
        <v>2253920</v>
      </c>
      <c r="F42" s="124">
        <f t="shared" si="0"/>
        <v>14.153343799058085</v>
      </c>
      <c r="G42" s="125">
        <v>15925000</v>
      </c>
      <c r="H42" s="121">
        <v>2253920</v>
      </c>
      <c r="I42" s="124">
        <f>H42/G42*100</f>
        <v>14.153343799058085</v>
      </c>
      <c r="J42" s="125"/>
      <c r="K42" s="121"/>
      <c r="L42" s="126"/>
      <c r="M42" s="125"/>
      <c r="N42" s="121"/>
      <c r="O42" s="218"/>
      <c r="P42" s="125"/>
      <c r="Q42" s="121"/>
      <c r="R42" s="124"/>
    </row>
    <row r="43" spans="1:18" s="139" customFormat="1" ht="30" customHeight="1">
      <c r="A43" s="118" t="s">
        <v>1012</v>
      </c>
      <c r="B43" s="86" t="s">
        <v>1013</v>
      </c>
      <c r="C43" s="138"/>
      <c r="D43" s="89"/>
      <c r="E43" s="89">
        <f t="shared" si="3"/>
        <v>37274</v>
      </c>
      <c r="F43" s="124"/>
      <c r="G43" s="125"/>
      <c r="H43" s="121">
        <v>37274</v>
      </c>
      <c r="I43" s="124"/>
      <c r="J43" s="125"/>
      <c r="K43" s="121"/>
      <c r="L43" s="126"/>
      <c r="M43" s="125"/>
      <c r="N43" s="121"/>
      <c r="O43" s="218"/>
      <c r="P43" s="125"/>
      <c r="Q43" s="121"/>
      <c r="R43" s="124"/>
    </row>
    <row r="44" spans="1:18" s="139" customFormat="1" ht="14.25" customHeight="1">
      <c r="A44" s="118" t="s">
        <v>920</v>
      </c>
      <c r="B44" s="86" t="s">
        <v>333</v>
      </c>
      <c r="C44" s="138">
        <v>250000</v>
      </c>
      <c r="D44" s="89">
        <f>G44+J44</f>
        <v>250000</v>
      </c>
      <c r="E44" s="89">
        <f t="shared" si="3"/>
        <v>25309</v>
      </c>
      <c r="F44" s="124">
        <f t="shared" si="0"/>
        <v>10.123600000000001</v>
      </c>
      <c r="G44" s="125">
        <v>250000</v>
      </c>
      <c r="H44" s="121">
        <v>25309</v>
      </c>
      <c r="I44" s="124">
        <f>H44/G44*100</f>
        <v>10.123600000000001</v>
      </c>
      <c r="J44" s="125"/>
      <c r="K44" s="121"/>
      <c r="L44" s="126"/>
      <c r="M44" s="125"/>
      <c r="N44" s="121"/>
      <c r="O44" s="124"/>
      <c r="P44" s="125"/>
      <c r="Q44" s="121"/>
      <c r="R44" s="124"/>
    </row>
    <row r="45" spans="1:18" s="139" customFormat="1" ht="72.75" customHeight="1">
      <c r="A45" s="118" t="s">
        <v>936</v>
      </c>
      <c r="B45" s="219" t="s">
        <v>937</v>
      </c>
      <c r="C45" s="138">
        <v>28000</v>
      </c>
      <c r="D45" s="89">
        <f>G45+J45+M45+P45</f>
        <v>28000</v>
      </c>
      <c r="E45" s="89">
        <f t="shared" si="3"/>
        <v>6999</v>
      </c>
      <c r="F45" s="124">
        <f t="shared" si="0"/>
        <v>24.996428571428574</v>
      </c>
      <c r="G45" s="125"/>
      <c r="H45" s="121"/>
      <c r="I45" s="124"/>
      <c r="J45" s="125"/>
      <c r="K45" s="121"/>
      <c r="L45" s="126"/>
      <c r="M45" s="125"/>
      <c r="N45" s="121"/>
      <c r="O45" s="124"/>
      <c r="P45" s="125">
        <v>28000</v>
      </c>
      <c r="Q45" s="121">
        <v>6999</v>
      </c>
      <c r="R45" s="124">
        <f>Q45/P45*100</f>
        <v>24.996428571428574</v>
      </c>
    </row>
    <row r="46" spans="1:18" ht="59.25" customHeight="1">
      <c r="A46" s="220" t="s">
        <v>938</v>
      </c>
      <c r="B46" s="221" t="s">
        <v>334</v>
      </c>
      <c r="C46" s="222">
        <v>1000000</v>
      </c>
      <c r="D46" s="223">
        <f>G46+J46+M46+P46</f>
        <v>1000000</v>
      </c>
      <c r="E46" s="223">
        <f t="shared" si="3"/>
        <v>68744</v>
      </c>
      <c r="F46" s="224">
        <f t="shared" si="0"/>
        <v>6.8744</v>
      </c>
      <c r="G46" s="225"/>
      <c r="H46" s="226"/>
      <c r="I46" s="224"/>
      <c r="J46" s="225"/>
      <c r="K46" s="226"/>
      <c r="L46" s="227"/>
      <c r="M46" s="225">
        <v>1000000</v>
      </c>
      <c r="N46" s="226">
        <v>68744</v>
      </c>
      <c r="O46" s="224">
        <f>N46/M46*100</f>
        <v>6.8744</v>
      </c>
      <c r="P46" s="225"/>
      <c r="Q46" s="226"/>
      <c r="R46" s="224"/>
    </row>
    <row r="47" spans="1:18" ht="19.5" customHeight="1">
      <c r="A47" s="128" t="s">
        <v>939</v>
      </c>
      <c r="B47" s="228" t="s">
        <v>213</v>
      </c>
      <c r="C47" s="130">
        <f>C48</f>
        <v>300000</v>
      </c>
      <c r="D47" s="131">
        <f>D48</f>
        <v>300000</v>
      </c>
      <c r="E47" s="131"/>
      <c r="F47" s="229"/>
      <c r="G47" s="230">
        <f>G48</f>
        <v>300000</v>
      </c>
      <c r="H47" s="134"/>
      <c r="I47" s="132"/>
      <c r="J47" s="133"/>
      <c r="K47" s="134"/>
      <c r="L47" s="135"/>
      <c r="M47" s="133"/>
      <c r="N47" s="134"/>
      <c r="O47" s="132"/>
      <c r="P47" s="133"/>
      <c r="Q47" s="134"/>
      <c r="R47" s="132"/>
    </row>
    <row r="48" spans="1:18" ht="49.5" customHeight="1" thickBot="1">
      <c r="A48" s="118" t="s">
        <v>1035</v>
      </c>
      <c r="B48" s="119" t="s">
        <v>335</v>
      </c>
      <c r="C48" s="138">
        <v>300000</v>
      </c>
      <c r="D48" s="89">
        <f>G48</f>
        <v>300000</v>
      </c>
      <c r="E48" s="89"/>
      <c r="F48" s="122"/>
      <c r="G48" s="123">
        <v>300000</v>
      </c>
      <c r="H48" s="121"/>
      <c r="I48" s="124"/>
      <c r="J48" s="125"/>
      <c r="K48" s="121"/>
      <c r="L48" s="126"/>
      <c r="M48" s="125"/>
      <c r="N48" s="121"/>
      <c r="O48" s="124"/>
      <c r="P48" s="125"/>
      <c r="Q48" s="121"/>
      <c r="R48" s="124"/>
    </row>
    <row r="49" spans="1:18" ht="23.25" customHeight="1" thickBot="1" thickTop="1">
      <c r="A49" s="97" t="s">
        <v>941</v>
      </c>
      <c r="B49" s="201" t="s">
        <v>621</v>
      </c>
      <c r="C49" s="231">
        <f>C52+C54+C56+C58+C60</f>
        <v>2041600</v>
      </c>
      <c r="D49" s="100">
        <f>G49+J49+M49+P49</f>
        <v>2045791</v>
      </c>
      <c r="E49" s="100">
        <f>H49+K49+N49+Q49</f>
        <v>396299</v>
      </c>
      <c r="F49" s="102">
        <f t="shared" si="0"/>
        <v>19.37143139255183</v>
      </c>
      <c r="G49" s="100">
        <f>G52+G54+G56+G58+G60</f>
        <v>1600000</v>
      </c>
      <c r="H49" s="100">
        <f>H50+H52+H54+H56+H58+H60</f>
        <v>217385</v>
      </c>
      <c r="I49" s="103">
        <f>H49/G49*100</f>
        <v>13.5865625</v>
      </c>
      <c r="J49" s="104">
        <f>J58</f>
        <v>16600</v>
      </c>
      <c r="K49" s="101">
        <f>K58</f>
        <v>4149</v>
      </c>
      <c r="L49" s="106">
        <f>K49/J49*100</f>
        <v>24.99397590361446</v>
      </c>
      <c r="M49" s="232"/>
      <c r="N49" s="100"/>
      <c r="O49" s="103"/>
      <c r="P49" s="232">
        <f>P52+P54+P56</f>
        <v>429191</v>
      </c>
      <c r="Q49" s="100">
        <f>Q52+Q54+Q56</f>
        <v>174765</v>
      </c>
      <c r="R49" s="103">
        <f aca="true" t="shared" si="4" ref="R49:R57">Q49/P49*100</f>
        <v>40.719632983916256</v>
      </c>
    </row>
    <row r="50" spans="1:18" s="139" customFormat="1" ht="25.5" customHeight="1" thickTop="1">
      <c r="A50" s="107" t="s">
        <v>336</v>
      </c>
      <c r="B50" s="233" t="s">
        <v>622</v>
      </c>
      <c r="C50" s="234"/>
      <c r="D50" s="110"/>
      <c r="E50" s="110">
        <f>E51</f>
        <v>0</v>
      </c>
      <c r="F50" s="112"/>
      <c r="G50" s="235"/>
      <c r="H50" s="110">
        <f>H51</f>
        <v>0</v>
      </c>
      <c r="I50" s="114"/>
      <c r="J50" s="115"/>
      <c r="K50" s="111"/>
      <c r="L50" s="117"/>
      <c r="M50" s="234"/>
      <c r="N50" s="110"/>
      <c r="O50" s="114"/>
      <c r="P50" s="234"/>
      <c r="Q50" s="110"/>
      <c r="R50" s="114"/>
    </row>
    <row r="51" spans="1:18" s="139" customFormat="1" ht="36.75" customHeight="1">
      <c r="A51" s="118" t="s">
        <v>912</v>
      </c>
      <c r="B51" s="86" t="s">
        <v>919</v>
      </c>
      <c r="C51" s="236"/>
      <c r="D51" s="223"/>
      <c r="E51" s="89">
        <f>H51</f>
        <v>0</v>
      </c>
      <c r="F51" s="122"/>
      <c r="G51" s="237"/>
      <c r="H51" s="89"/>
      <c r="I51" s="124"/>
      <c r="J51" s="125"/>
      <c r="K51" s="121"/>
      <c r="L51" s="127"/>
      <c r="M51" s="238"/>
      <c r="N51" s="89"/>
      <c r="O51" s="124"/>
      <c r="P51" s="238"/>
      <c r="Q51" s="89"/>
      <c r="R51" s="124"/>
    </row>
    <row r="52" spans="1:18" ht="19.5" customHeight="1">
      <c r="A52" s="128" t="s">
        <v>942</v>
      </c>
      <c r="B52" s="129" t="s">
        <v>943</v>
      </c>
      <c r="C52" s="136">
        <f>SUM(C53:C53)</f>
        <v>76000</v>
      </c>
      <c r="D52" s="239">
        <f>D53</f>
        <v>76000</v>
      </c>
      <c r="E52" s="131">
        <f>E53</f>
        <v>76000</v>
      </c>
      <c r="F52" s="229">
        <f t="shared" si="0"/>
        <v>100</v>
      </c>
      <c r="G52" s="133"/>
      <c r="H52" s="134"/>
      <c r="I52" s="185"/>
      <c r="J52" s="133"/>
      <c r="K52" s="134"/>
      <c r="L52" s="135"/>
      <c r="M52" s="133"/>
      <c r="N52" s="134"/>
      <c r="O52" s="132"/>
      <c r="P52" s="136">
        <f>SUM(P53:P53)</f>
        <v>76000</v>
      </c>
      <c r="Q52" s="131">
        <f>SUM(Q53:Q53)</f>
        <v>76000</v>
      </c>
      <c r="R52" s="132">
        <f t="shared" si="4"/>
        <v>100</v>
      </c>
    </row>
    <row r="53" spans="1:18" s="139" customFormat="1" ht="63" customHeight="1">
      <c r="A53" s="212" t="s">
        <v>936</v>
      </c>
      <c r="B53" s="240" t="s">
        <v>937</v>
      </c>
      <c r="C53" s="213">
        <v>76000</v>
      </c>
      <c r="D53" s="214">
        <f>G53+J53+M53+P53</f>
        <v>76000</v>
      </c>
      <c r="E53" s="214">
        <f>H53+K53+N53+Q53</f>
        <v>76000</v>
      </c>
      <c r="F53" s="241">
        <f>E53/D53*100</f>
        <v>100</v>
      </c>
      <c r="G53" s="215"/>
      <c r="H53" s="216"/>
      <c r="I53" s="185"/>
      <c r="J53" s="215"/>
      <c r="K53" s="216"/>
      <c r="L53" s="217"/>
      <c r="M53" s="215"/>
      <c r="N53" s="216"/>
      <c r="O53" s="185"/>
      <c r="P53" s="215">
        <v>76000</v>
      </c>
      <c r="Q53" s="216">
        <v>76000</v>
      </c>
      <c r="R53" s="185">
        <f>Q53/P53*100</f>
        <v>100</v>
      </c>
    </row>
    <row r="54" spans="1:18" ht="24.75" customHeight="1">
      <c r="A54" s="128" t="s">
        <v>944</v>
      </c>
      <c r="B54" s="129" t="s">
        <v>625</v>
      </c>
      <c r="C54" s="130">
        <f>SUM(C55)</f>
        <v>19000</v>
      </c>
      <c r="D54" s="131">
        <f>D55</f>
        <v>19000</v>
      </c>
      <c r="E54" s="131">
        <f>E55</f>
        <v>0</v>
      </c>
      <c r="F54" s="229"/>
      <c r="G54" s="133"/>
      <c r="H54" s="134"/>
      <c r="I54" s="185"/>
      <c r="J54" s="133"/>
      <c r="K54" s="134"/>
      <c r="L54" s="135"/>
      <c r="M54" s="133"/>
      <c r="N54" s="134"/>
      <c r="O54" s="132"/>
      <c r="P54" s="133">
        <f>P55</f>
        <v>19000</v>
      </c>
      <c r="Q54" s="134">
        <f>Q55</f>
        <v>0</v>
      </c>
      <c r="R54" s="132">
        <f t="shared" si="4"/>
        <v>0</v>
      </c>
    </row>
    <row r="55" spans="1:18" ht="66" customHeight="1">
      <c r="A55" s="175" t="s">
        <v>936</v>
      </c>
      <c r="B55" s="242" t="s">
        <v>937</v>
      </c>
      <c r="C55" s="177">
        <v>19000</v>
      </c>
      <c r="D55" s="178">
        <f>G55+J55+M55+P55</f>
        <v>19000</v>
      </c>
      <c r="E55" s="178">
        <f>H55+K55+N55+Q55</f>
        <v>0</v>
      </c>
      <c r="F55" s="243">
        <f t="shared" si="0"/>
        <v>0</v>
      </c>
      <c r="G55" s="180"/>
      <c r="H55" s="181"/>
      <c r="I55" s="179"/>
      <c r="J55" s="180"/>
      <c r="K55" s="181"/>
      <c r="L55" s="182"/>
      <c r="M55" s="180"/>
      <c r="N55" s="181"/>
      <c r="O55" s="179"/>
      <c r="P55" s="180">
        <v>19000</v>
      </c>
      <c r="Q55" s="181"/>
      <c r="R55" s="179">
        <f t="shared" si="4"/>
        <v>0</v>
      </c>
    </row>
    <row r="56" spans="1:18" ht="13.5" customHeight="1">
      <c r="A56" s="128" t="s">
        <v>945</v>
      </c>
      <c r="B56" s="129" t="s">
        <v>946</v>
      </c>
      <c r="C56" s="130">
        <f>SUM(C57:C57)</f>
        <v>330000</v>
      </c>
      <c r="D56" s="130">
        <f>SUM(D57:D57)</f>
        <v>334191</v>
      </c>
      <c r="E56" s="131">
        <f>E57</f>
        <v>98765</v>
      </c>
      <c r="F56" s="229">
        <f t="shared" si="0"/>
        <v>29.553458950121335</v>
      </c>
      <c r="G56" s="133"/>
      <c r="H56" s="134"/>
      <c r="I56" s="185"/>
      <c r="J56" s="133"/>
      <c r="K56" s="134"/>
      <c r="L56" s="217"/>
      <c r="M56" s="133"/>
      <c r="N56" s="134"/>
      <c r="O56" s="185"/>
      <c r="P56" s="136">
        <f>SUM(P57:P57)</f>
        <v>334191</v>
      </c>
      <c r="Q56" s="131">
        <f>SUM(Q57:Q57)</f>
        <v>98765</v>
      </c>
      <c r="R56" s="132">
        <f t="shared" si="4"/>
        <v>29.553458950121335</v>
      </c>
    </row>
    <row r="57" spans="1:18" ht="61.5" customHeight="1">
      <c r="A57" s="212" t="s">
        <v>936</v>
      </c>
      <c r="B57" s="240" t="s">
        <v>937</v>
      </c>
      <c r="C57" s="213">
        <v>330000</v>
      </c>
      <c r="D57" s="214">
        <f>G57+J57+M57+P57</f>
        <v>334191</v>
      </c>
      <c r="E57" s="214">
        <f>H57+K57+N57+Q57</f>
        <v>98765</v>
      </c>
      <c r="F57" s="241">
        <f t="shared" si="0"/>
        <v>29.553458950121335</v>
      </c>
      <c r="G57" s="215"/>
      <c r="H57" s="216"/>
      <c r="I57" s="185"/>
      <c r="J57" s="215"/>
      <c r="K57" s="216"/>
      <c r="L57" s="217"/>
      <c r="M57" s="215"/>
      <c r="N57" s="216"/>
      <c r="O57" s="185"/>
      <c r="P57" s="215">
        <f>330000+4191</f>
        <v>334191</v>
      </c>
      <c r="Q57" s="216">
        <v>98765</v>
      </c>
      <c r="R57" s="185">
        <f t="shared" si="4"/>
        <v>29.553458950121335</v>
      </c>
    </row>
    <row r="58" spans="1:18" ht="13.5" customHeight="1">
      <c r="A58" s="128" t="s">
        <v>951</v>
      </c>
      <c r="B58" s="228" t="s">
        <v>629</v>
      </c>
      <c r="C58" s="130">
        <f>SUM(C59:C59)</f>
        <v>16600</v>
      </c>
      <c r="D58" s="131">
        <f>J58</f>
        <v>16600</v>
      </c>
      <c r="E58" s="131">
        <f>K58</f>
        <v>4149</v>
      </c>
      <c r="F58" s="229">
        <f t="shared" si="0"/>
        <v>24.99397590361446</v>
      </c>
      <c r="G58" s="244"/>
      <c r="H58" s="245"/>
      <c r="I58" s="246"/>
      <c r="J58" s="133">
        <f>SUM(J59:J59)</f>
        <v>16600</v>
      </c>
      <c r="K58" s="134">
        <f>SUM(K59:K59)</f>
        <v>4149</v>
      </c>
      <c r="L58" s="132">
        <f>K58/J58*100</f>
        <v>24.99397590361446</v>
      </c>
      <c r="M58" s="133"/>
      <c r="N58" s="134"/>
      <c r="O58" s="132"/>
      <c r="P58" s="133"/>
      <c r="Q58" s="134"/>
      <c r="R58" s="132"/>
    </row>
    <row r="59" spans="1:18" ht="60.75" customHeight="1">
      <c r="A59" s="212" t="s">
        <v>952</v>
      </c>
      <c r="B59" s="247" t="s">
        <v>953</v>
      </c>
      <c r="C59" s="213">
        <v>16600</v>
      </c>
      <c r="D59" s="214">
        <f>J59</f>
        <v>16600</v>
      </c>
      <c r="E59" s="214">
        <f>K59</f>
        <v>4149</v>
      </c>
      <c r="F59" s="241">
        <f t="shared" si="0"/>
        <v>24.99397590361446</v>
      </c>
      <c r="G59" s="244"/>
      <c r="H59" s="245"/>
      <c r="I59" s="246"/>
      <c r="J59" s="215">
        <v>16600</v>
      </c>
      <c r="K59" s="216">
        <v>4149</v>
      </c>
      <c r="L59" s="185">
        <f>K59/J59*100</f>
        <v>24.99397590361446</v>
      </c>
      <c r="M59" s="215"/>
      <c r="N59" s="216"/>
      <c r="O59" s="185"/>
      <c r="P59" s="215"/>
      <c r="Q59" s="216"/>
      <c r="R59" s="185"/>
    </row>
    <row r="60" spans="1:18" s="248" customFormat="1" ht="14.25" customHeight="1">
      <c r="A60" s="128" t="s">
        <v>1036</v>
      </c>
      <c r="B60" s="129" t="s">
        <v>213</v>
      </c>
      <c r="C60" s="130">
        <f>C61</f>
        <v>1600000</v>
      </c>
      <c r="D60" s="131">
        <f>G60+J60+M60+P60</f>
        <v>1600000</v>
      </c>
      <c r="E60" s="131">
        <f>H60+K60+N60+Q60</f>
        <v>217385</v>
      </c>
      <c r="F60" s="229">
        <f t="shared" si="0"/>
        <v>13.5865625</v>
      </c>
      <c r="G60" s="133">
        <f>G61</f>
        <v>1600000</v>
      </c>
      <c r="H60" s="134">
        <f>H61</f>
        <v>217385</v>
      </c>
      <c r="I60" s="132">
        <f>H60/G60*100</f>
        <v>13.5865625</v>
      </c>
      <c r="J60" s="133"/>
      <c r="K60" s="134"/>
      <c r="L60" s="135"/>
      <c r="M60" s="133"/>
      <c r="N60" s="134"/>
      <c r="O60" s="132"/>
      <c r="P60" s="133"/>
      <c r="Q60" s="134"/>
      <c r="R60" s="132"/>
    </row>
    <row r="61" spans="1:18" ht="24" customHeight="1" thickBot="1">
      <c r="A61" s="118" t="s">
        <v>1068</v>
      </c>
      <c r="B61" s="86" t="s">
        <v>337</v>
      </c>
      <c r="C61" s="138">
        <v>1600000</v>
      </c>
      <c r="D61" s="89">
        <f>G61+J61+M61+P61</f>
        <v>1600000</v>
      </c>
      <c r="E61" s="89">
        <f>H61+K61+N61+Q61</f>
        <v>217385</v>
      </c>
      <c r="F61" s="122">
        <f t="shared" si="0"/>
        <v>13.5865625</v>
      </c>
      <c r="G61" s="125">
        <v>1600000</v>
      </c>
      <c r="H61" s="121">
        <v>217385</v>
      </c>
      <c r="I61" s="124">
        <f>H61/G61*100</f>
        <v>13.5865625</v>
      </c>
      <c r="J61" s="125"/>
      <c r="K61" s="121"/>
      <c r="L61" s="126"/>
      <c r="M61" s="125"/>
      <c r="N61" s="121"/>
      <c r="O61" s="124"/>
      <c r="P61" s="125"/>
      <c r="Q61" s="121"/>
      <c r="R61" s="124"/>
    </row>
    <row r="62" spans="1:18" ht="19.5" customHeight="1" thickBot="1" thickTop="1">
      <c r="A62" s="97" t="s">
        <v>954</v>
      </c>
      <c r="B62" s="201" t="s">
        <v>955</v>
      </c>
      <c r="C62" s="232">
        <f>C63+C67+C69+C74+C81+C77</f>
        <v>1434842</v>
      </c>
      <c r="D62" s="100">
        <f>D63+D67+D69+D74+D81+D77</f>
        <v>1488982</v>
      </c>
      <c r="E62" s="100">
        <f>E63+E67+E69+E74+E81+E77</f>
        <v>525978</v>
      </c>
      <c r="F62" s="103">
        <f t="shared" si="0"/>
        <v>35.32467148696223</v>
      </c>
      <c r="G62" s="232">
        <f>G63+G67+G69+G74+G81+G77</f>
        <v>443182</v>
      </c>
      <c r="H62" s="100">
        <f>H63+H67+H69+H74+H81+H77</f>
        <v>170806</v>
      </c>
      <c r="I62" s="103">
        <f>H62/G62*100</f>
        <v>38.54082521402042</v>
      </c>
      <c r="J62" s="232">
        <f>J63+J67+J69+J74+J81</f>
        <v>757900</v>
      </c>
      <c r="K62" s="100">
        <f>K63+K67+K69+K74+K81</f>
        <v>235360</v>
      </c>
      <c r="L62" s="103">
        <f>K62/J62*100</f>
        <v>31.054228790077847</v>
      </c>
      <c r="M62" s="232">
        <f>M63+M67+M74</f>
        <v>2200</v>
      </c>
      <c r="N62" s="100">
        <f>N63+N67+N74</f>
        <v>410</v>
      </c>
      <c r="O62" s="103">
        <f>N62/M62*100</f>
        <v>18.636363636363637</v>
      </c>
      <c r="P62" s="232">
        <f>P63+P74</f>
        <v>285700</v>
      </c>
      <c r="Q62" s="100">
        <f>Q63+Q74</f>
        <v>119402</v>
      </c>
      <c r="R62" s="103">
        <f>Q62/P62*100</f>
        <v>41.792789639481974</v>
      </c>
    </row>
    <row r="63" spans="1:18" ht="18" customHeight="1" thickTop="1">
      <c r="A63" s="202" t="s">
        <v>956</v>
      </c>
      <c r="B63" s="203" t="s">
        <v>957</v>
      </c>
      <c r="C63" s="211">
        <f>SUM(C64:C65)</f>
        <v>999100</v>
      </c>
      <c r="D63" s="205">
        <f>SUM(D64:D65)</f>
        <v>999100</v>
      </c>
      <c r="E63" s="205">
        <f>SUM(E64:E66)</f>
        <v>310509</v>
      </c>
      <c r="F63" s="249">
        <f t="shared" si="0"/>
        <v>31.078870983885498</v>
      </c>
      <c r="G63" s="208">
        <f>SUM(G64:G65)</f>
        <v>0</v>
      </c>
      <c r="H63" s="209">
        <f>SUM(H64:H66)</f>
        <v>247</v>
      </c>
      <c r="I63" s="250" t="e">
        <f>H63/G63*100</f>
        <v>#DIV/0!</v>
      </c>
      <c r="J63" s="208">
        <f>J64</f>
        <v>757900</v>
      </c>
      <c r="K63" s="209">
        <f>K64</f>
        <v>235360</v>
      </c>
      <c r="L63" s="206">
        <f>K63/J63*100</f>
        <v>31.054228790077847</v>
      </c>
      <c r="M63" s="208"/>
      <c r="N63" s="209"/>
      <c r="O63" s="206"/>
      <c r="P63" s="208">
        <f>P65</f>
        <v>241200</v>
      </c>
      <c r="Q63" s="209">
        <f>SUM(Q64:Q65)</f>
        <v>74902</v>
      </c>
      <c r="R63" s="206">
        <f>Q63/P63*100</f>
        <v>31.053897180762853</v>
      </c>
    </row>
    <row r="64" spans="1:18" s="139" customFormat="1" ht="48.75" customHeight="1">
      <c r="A64" s="175" t="s">
        <v>907</v>
      </c>
      <c r="B64" s="176" t="s">
        <v>908</v>
      </c>
      <c r="C64" s="177">
        <v>757900</v>
      </c>
      <c r="D64" s="178">
        <f>G64+J64+M64+P64</f>
        <v>757900</v>
      </c>
      <c r="E64" s="178">
        <f>H64+K64+N64+Q64</f>
        <v>235360</v>
      </c>
      <c r="F64" s="179">
        <f t="shared" si="0"/>
        <v>31.054228790077847</v>
      </c>
      <c r="G64" s="180"/>
      <c r="H64" s="181"/>
      <c r="I64" s="179"/>
      <c r="J64" s="180">
        <v>757900</v>
      </c>
      <c r="K64" s="181">
        <v>235360</v>
      </c>
      <c r="L64" s="179">
        <f>K64/J64*100</f>
        <v>31.054228790077847</v>
      </c>
      <c r="M64" s="180"/>
      <c r="N64" s="181"/>
      <c r="O64" s="179"/>
      <c r="P64" s="180"/>
      <c r="Q64" s="181"/>
      <c r="R64" s="179"/>
    </row>
    <row r="65" spans="1:18" s="139" customFormat="1" ht="63.75" customHeight="1">
      <c r="A65" s="118" t="s">
        <v>936</v>
      </c>
      <c r="B65" s="219" t="s">
        <v>937</v>
      </c>
      <c r="C65" s="138">
        <v>241200</v>
      </c>
      <c r="D65" s="89">
        <f>G65+J65+M65+P65</f>
        <v>241200</v>
      </c>
      <c r="E65" s="89">
        <f>H65+K65+N65+Q65</f>
        <v>74902</v>
      </c>
      <c r="F65" s="124">
        <f t="shared" si="0"/>
        <v>31.053897180762853</v>
      </c>
      <c r="G65" s="125"/>
      <c r="H65" s="121"/>
      <c r="I65" s="124"/>
      <c r="J65" s="125"/>
      <c r="K65" s="121"/>
      <c r="L65" s="218"/>
      <c r="M65" s="125"/>
      <c r="N65" s="121"/>
      <c r="O65" s="124"/>
      <c r="P65" s="125">
        <v>241200</v>
      </c>
      <c r="Q65" s="121">
        <v>74902</v>
      </c>
      <c r="R65" s="124">
        <f>Q65/P65*100</f>
        <v>31.053897180762853</v>
      </c>
    </row>
    <row r="66" spans="1:18" s="139" customFormat="1" ht="54" customHeight="1">
      <c r="A66" s="118" t="s">
        <v>938</v>
      </c>
      <c r="B66" s="221" t="s">
        <v>338</v>
      </c>
      <c r="C66" s="138"/>
      <c r="D66" s="89"/>
      <c r="E66" s="89">
        <f>H66</f>
        <v>247</v>
      </c>
      <c r="F66" s="122"/>
      <c r="G66" s="125"/>
      <c r="H66" s="121">
        <v>247</v>
      </c>
      <c r="I66" s="124"/>
      <c r="J66" s="125"/>
      <c r="K66" s="121"/>
      <c r="L66" s="218"/>
      <c r="M66" s="125"/>
      <c r="N66" s="121"/>
      <c r="O66" s="124"/>
      <c r="P66" s="125"/>
      <c r="Q66" s="121"/>
      <c r="R66" s="124"/>
    </row>
    <row r="67" spans="1:18" ht="15" customHeight="1">
      <c r="A67" s="128" t="s">
        <v>958</v>
      </c>
      <c r="B67" s="129" t="s">
        <v>632</v>
      </c>
      <c r="C67" s="130">
        <f>SUM(C68:C68)</f>
        <v>2200</v>
      </c>
      <c r="D67" s="131">
        <f>SUM(D68:D68)</f>
        <v>2200</v>
      </c>
      <c r="E67" s="131">
        <f>SUM(E68:E68)</f>
        <v>410</v>
      </c>
      <c r="F67" s="229">
        <f t="shared" si="0"/>
        <v>18.636363636363637</v>
      </c>
      <c r="G67" s="133"/>
      <c r="H67" s="134"/>
      <c r="I67" s="185"/>
      <c r="J67" s="133"/>
      <c r="K67" s="134"/>
      <c r="L67" s="135"/>
      <c r="M67" s="133">
        <f>M68</f>
        <v>2200</v>
      </c>
      <c r="N67" s="134">
        <f>SUM(N68:N68)</f>
        <v>410</v>
      </c>
      <c r="O67" s="132">
        <f>N67/M67*100</f>
        <v>18.636363636363637</v>
      </c>
      <c r="P67" s="133"/>
      <c r="Q67" s="134"/>
      <c r="R67" s="132"/>
    </row>
    <row r="68" spans="1:18" ht="25.5" customHeight="1">
      <c r="A68" s="220" t="s">
        <v>929</v>
      </c>
      <c r="B68" s="251" t="s">
        <v>1037</v>
      </c>
      <c r="C68" s="222">
        <v>2200</v>
      </c>
      <c r="D68" s="223">
        <f>G68+J68+M68+P68</f>
        <v>2200</v>
      </c>
      <c r="E68" s="223">
        <f>H68+K68+N68+Q68</f>
        <v>410</v>
      </c>
      <c r="F68" s="252">
        <f t="shared" si="0"/>
        <v>18.636363636363637</v>
      </c>
      <c r="G68" s="225"/>
      <c r="H68" s="226"/>
      <c r="I68" s="224"/>
      <c r="J68" s="225"/>
      <c r="K68" s="226"/>
      <c r="L68" s="227"/>
      <c r="M68" s="225">
        <v>2200</v>
      </c>
      <c r="N68" s="226">
        <v>410</v>
      </c>
      <c r="O68" s="224">
        <f>N68/M68*100</f>
        <v>18.636363636363637</v>
      </c>
      <c r="P68" s="225"/>
      <c r="Q68" s="226"/>
      <c r="R68" s="224"/>
    </row>
    <row r="69" spans="1:18" ht="16.5" customHeight="1">
      <c r="A69" s="128" t="s">
        <v>961</v>
      </c>
      <c r="B69" s="129" t="s">
        <v>962</v>
      </c>
      <c r="C69" s="130">
        <f>SUM(C71:C73)</f>
        <v>77000</v>
      </c>
      <c r="D69" s="131">
        <f>SUM(D71:D73)</f>
        <v>77000</v>
      </c>
      <c r="E69" s="131">
        <f>SUM(E70:E73)</f>
        <v>12840</v>
      </c>
      <c r="F69" s="229">
        <f t="shared" si="0"/>
        <v>16.675324675324678</v>
      </c>
      <c r="G69" s="134">
        <f>SUM(G70:G73)</f>
        <v>77000</v>
      </c>
      <c r="H69" s="134">
        <f>SUM(H70:H73)</f>
        <v>12840</v>
      </c>
      <c r="I69" s="132">
        <f>H69/G69*100</f>
        <v>16.675324675324678</v>
      </c>
      <c r="J69" s="133"/>
      <c r="K69" s="134"/>
      <c r="L69" s="135"/>
      <c r="M69" s="133"/>
      <c r="N69" s="134"/>
      <c r="O69" s="132"/>
      <c r="P69" s="133"/>
      <c r="Q69" s="134"/>
      <c r="R69" s="132"/>
    </row>
    <row r="70" spans="1:18" s="139" customFormat="1" ht="37.5" customHeight="1">
      <c r="A70" s="175" t="s">
        <v>912</v>
      </c>
      <c r="B70" s="176" t="s">
        <v>919</v>
      </c>
      <c r="C70" s="177"/>
      <c r="D70" s="178"/>
      <c r="E70" s="178">
        <f aca="true" t="shared" si="5" ref="D70:E72">H70+K70+N70+Q70</f>
        <v>0</v>
      </c>
      <c r="F70" s="179"/>
      <c r="G70" s="180"/>
      <c r="H70" s="181"/>
      <c r="I70" s="179"/>
      <c r="J70" s="180"/>
      <c r="K70" s="181"/>
      <c r="L70" s="182"/>
      <c r="M70" s="180"/>
      <c r="N70" s="181"/>
      <c r="O70" s="179"/>
      <c r="P70" s="180"/>
      <c r="Q70" s="181"/>
      <c r="R70" s="179"/>
    </row>
    <row r="71" spans="1:18" s="139" customFormat="1" ht="24.75" customHeight="1">
      <c r="A71" s="220" t="s">
        <v>929</v>
      </c>
      <c r="B71" s="251" t="s">
        <v>339</v>
      </c>
      <c r="C71" s="222"/>
      <c r="D71" s="223"/>
      <c r="E71" s="223">
        <f t="shared" si="5"/>
        <v>1675</v>
      </c>
      <c r="F71" s="224"/>
      <c r="G71" s="236"/>
      <c r="H71" s="226">
        <v>1675</v>
      </c>
      <c r="I71" s="224"/>
      <c r="J71" s="225"/>
      <c r="K71" s="226"/>
      <c r="L71" s="227"/>
      <c r="M71" s="225"/>
      <c r="N71" s="226"/>
      <c r="O71" s="224"/>
      <c r="P71" s="225"/>
      <c r="Q71" s="226"/>
      <c r="R71" s="224"/>
    </row>
    <row r="72" spans="1:18" s="139" customFormat="1" ht="52.5" customHeight="1">
      <c r="A72" s="118" t="s">
        <v>930</v>
      </c>
      <c r="B72" s="86" t="s">
        <v>963</v>
      </c>
      <c r="C72" s="138">
        <v>60000</v>
      </c>
      <c r="D72" s="89">
        <f t="shared" si="5"/>
        <v>60000</v>
      </c>
      <c r="E72" s="89">
        <f t="shared" si="5"/>
        <v>9508</v>
      </c>
      <c r="F72" s="124">
        <f t="shared" si="0"/>
        <v>15.846666666666668</v>
      </c>
      <c r="G72" s="238">
        <v>60000</v>
      </c>
      <c r="H72" s="121">
        <v>9508</v>
      </c>
      <c r="I72" s="124">
        <f>H72/G72*100</f>
        <v>15.846666666666668</v>
      </c>
      <c r="J72" s="125"/>
      <c r="K72" s="121"/>
      <c r="L72" s="126"/>
      <c r="M72" s="125"/>
      <c r="N72" s="121"/>
      <c r="O72" s="124"/>
      <c r="P72" s="125"/>
      <c r="Q72" s="121"/>
      <c r="R72" s="124"/>
    </row>
    <row r="73" spans="1:18" ht="34.5" customHeight="1">
      <c r="A73" s="220" t="s">
        <v>920</v>
      </c>
      <c r="B73" s="251" t="s">
        <v>340</v>
      </c>
      <c r="C73" s="222">
        <v>17000</v>
      </c>
      <c r="D73" s="223">
        <f>G73+J73+M73+P73</f>
        <v>17000</v>
      </c>
      <c r="E73" s="223">
        <f>H73+K73+N73+Q73</f>
        <v>1657</v>
      </c>
      <c r="F73" s="224">
        <f t="shared" si="0"/>
        <v>9.74705882352941</v>
      </c>
      <c r="G73" s="236">
        <v>17000</v>
      </c>
      <c r="H73" s="226">
        <v>1657</v>
      </c>
      <c r="I73" s="224">
        <f>H73/G73*100</f>
        <v>9.74705882352941</v>
      </c>
      <c r="J73" s="225"/>
      <c r="K73" s="226"/>
      <c r="L73" s="227"/>
      <c r="M73" s="225"/>
      <c r="N73" s="226"/>
      <c r="O73" s="224"/>
      <c r="P73" s="225"/>
      <c r="Q73" s="226"/>
      <c r="R73" s="224"/>
    </row>
    <row r="74" spans="1:18" ht="15.75" customHeight="1">
      <c r="A74" s="128" t="s">
        <v>965</v>
      </c>
      <c r="B74" s="129" t="s">
        <v>341</v>
      </c>
      <c r="C74" s="130">
        <f>C75+C76</f>
        <v>44500</v>
      </c>
      <c r="D74" s="131">
        <f>SUM(D75:D76)</f>
        <v>44500</v>
      </c>
      <c r="E74" s="131">
        <f>SUM(E75:E76)</f>
        <v>44500</v>
      </c>
      <c r="F74" s="249">
        <f t="shared" si="0"/>
        <v>100</v>
      </c>
      <c r="G74" s="133"/>
      <c r="H74" s="134"/>
      <c r="I74" s="185"/>
      <c r="J74" s="133"/>
      <c r="K74" s="134"/>
      <c r="L74" s="217"/>
      <c r="M74" s="133"/>
      <c r="N74" s="134"/>
      <c r="O74" s="253"/>
      <c r="P74" s="133">
        <f>SUM(P75:P76)</f>
        <v>44500</v>
      </c>
      <c r="Q74" s="134">
        <f>SUM(Q75:Q76)</f>
        <v>44500</v>
      </c>
      <c r="R74" s="132">
        <f>Q74/P74*100</f>
        <v>100</v>
      </c>
    </row>
    <row r="75" spans="1:18" s="139" customFormat="1" ht="61.5" customHeight="1">
      <c r="A75" s="175" t="s">
        <v>936</v>
      </c>
      <c r="B75" s="242" t="s">
        <v>937</v>
      </c>
      <c r="C75" s="177">
        <v>39000</v>
      </c>
      <c r="D75" s="178">
        <f>G75+J75+M75+P75</f>
        <v>39000</v>
      </c>
      <c r="E75" s="178">
        <f>H75+K75+N75+Q75</f>
        <v>39000</v>
      </c>
      <c r="F75" s="243">
        <f t="shared" si="0"/>
        <v>100</v>
      </c>
      <c r="G75" s="180"/>
      <c r="H75" s="181"/>
      <c r="I75" s="179"/>
      <c r="J75" s="180"/>
      <c r="K75" s="181"/>
      <c r="L75" s="182"/>
      <c r="M75" s="180"/>
      <c r="N75" s="181"/>
      <c r="O75" s="179"/>
      <c r="P75" s="180">
        <v>39000</v>
      </c>
      <c r="Q75" s="181">
        <v>39000</v>
      </c>
      <c r="R75" s="179">
        <f>Q75/P75*100</f>
        <v>100</v>
      </c>
    </row>
    <row r="76" spans="1:18" s="139" customFormat="1" ht="63.75" customHeight="1">
      <c r="A76" s="220" t="s">
        <v>966</v>
      </c>
      <c r="B76" s="221" t="s">
        <v>967</v>
      </c>
      <c r="C76" s="222">
        <v>5500</v>
      </c>
      <c r="D76" s="223">
        <f>G76+J76+M76+P76</f>
        <v>5500</v>
      </c>
      <c r="E76" s="223">
        <f>H76+K76+N76+Q76</f>
        <v>5500</v>
      </c>
      <c r="F76" s="252">
        <f t="shared" si="0"/>
        <v>100</v>
      </c>
      <c r="G76" s="225"/>
      <c r="H76" s="226"/>
      <c r="I76" s="224"/>
      <c r="J76" s="225"/>
      <c r="K76" s="226"/>
      <c r="L76" s="227"/>
      <c r="M76" s="225"/>
      <c r="N76" s="226"/>
      <c r="O76" s="224"/>
      <c r="P76" s="225">
        <v>5500</v>
      </c>
      <c r="Q76" s="226">
        <v>5500</v>
      </c>
      <c r="R76" s="224">
        <f>Q76/P76*100</f>
        <v>100</v>
      </c>
    </row>
    <row r="77" spans="1:18" s="255" customFormat="1" ht="24" customHeight="1">
      <c r="A77" s="202" t="s">
        <v>968</v>
      </c>
      <c r="B77" s="254" t="s">
        <v>667</v>
      </c>
      <c r="C77" s="204">
        <f>C78</f>
        <v>62042</v>
      </c>
      <c r="D77" s="205">
        <f>D78</f>
        <v>116182</v>
      </c>
      <c r="E77" s="205">
        <f>SUM(E78:E78)</f>
        <v>0</v>
      </c>
      <c r="F77" s="249">
        <f t="shared" si="0"/>
        <v>0</v>
      </c>
      <c r="G77" s="208">
        <f>G78</f>
        <v>116182</v>
      </c>
      <c r="H77" s="209">
        <f>SUM(H78:H78)</f>
        <v>0</v>
      </c>
      <c r="I77" s="206">
        <f>H77/G77*100</f>
        <v>0</v>
      </c>
      <c r="J77" s="208"/>
      <c r="K77" s="209"/>
      <c r="L77" s="210"/>
      <c r="M77" s="208"/>
      <c r="N77" s="209"/>
      <c r="O77" s="206"/>
      <c r="P77" s="208"/>
      <c r="Q77" s="209"/>
      <c r="R77" s="132"/>
    </row>
    <row r="78" spans="1:18" s="139" customFormat="1" ht="42" customHeight="1">
      <c r="A78" s="118" t="s">
        <v>924</v>
      </c>
      <c r="B78" s="86" t="s">
        <v>342</v>
      </c>
      <c r="C78" s="138">
        <v>62042</v>
      </c>
      <c r="D78" s="89">
        <f>G78</f>
        <v>116182</v>
      </c>
      <c r="E78" s="89">
        <f>H78</f>
        <v>0</v>
      </c>
      <c r="F78" s="122"/>
      <c r="G78" s="125">
        <f>G79+G80</f>
        <v>116182</v>
      </c>
      <c r="H78" s="121"/>
      <c r="I78" s="124">
        <f>H78/G78*100</f>
        <v>0</v>
      </c>
      <c r="J78" s="125"/>
      <c r="K78" s="121"/>
      <c r="L78" s="126"/>
      <c r="M78" s="125"/>
      <c r="N78" s="121"/>
      <c r="O78" s="124"/>
      <c r="P78" s="125"/>
      <c r="Q78" s="121"/>
      <c r="R78" s="124"/>
    </row>
    <row r="79" spans="1:18" s="259" customFormat="1" ht="24" customHeight="1">
      <c r="A79" s="256"/>
      <c r="B79" s="257" t="s">
        <v>343</v>
      </c>
      <c r="C79" s="191">
        <v>62042</v>
      </c>
      <c r="D79" s="192">
        <f>G79</f>
        <v>62042</v>
      </c>
      <c r="E79" s="192"/>
      <c r="F79" s="258"/>
      <c r="G79" s="193">
        <v>62042</v>
      </c>
      <c r="H79" s="194"/>
      <c r="I79" s="195"/>
      <c r="J79" s="193"/>
      <c r="K79" s="194"/>
      <c r="L79" s="196"/>
      <c r="M79" s="193"/>
      <c r="N79" s="194"/>
      <c r="O79" s="195"/>
      <c r="P79" s="193"/>
      <c r="Q79" s="194"/>
      <c r="R79" s="195"/>
    </row>
    <row r="80" spans="1:18" s="259" customFormat="1" ht="47.25" customHeight="1">
      <c r="A80" s="260"/>
      <c r="B80" s="261" t="s">
        <v>344</v>
      </c>
      <c r="C80" s="262"/>
      <c r="D80" s="263">
        <f>G80</f>
        <v>54140</v>
      </c>
      <c r="E80" s="263"/>
      <c r="F80" s="264"/>
      <c r="G80" s="265">
        <v>54140</v>
      </c>
      <c r="H80" s="266"/>
      <c r="I80" s="267"/>
      <c r="J80" s="265"/>
      <c r="K80" s="266"/>
      <c r="L80" s="268"/>
      <c r="M80" s="265"/>
      <c r="N80" s="266"/>
      <c r="O80" s="267"/>
      <c r="P80" s="265"/>
      <c r="Q80" s="266"/>
      <c r="R80" s="267"/>
    </row>
    <row r="81" spans="1:18" ht="15.75" customHeight="1">
      <c r="A81" s="128" t="s">
        <v>969</v>
      </c>
      <c r="B81" s="129" t="s">
        <v>213</v>
      </c>
      <c r="C81" s="130">
        <f>SUM(C82:C82)</f>
        <v>250000</v>
      </c>
      <c r="D81" s="131">
        <f>SUM(D82:D82)</f>
        <v>250000</v>
      </c>
      <c r="E81" s="131">
        <f>SUM(E82:E83)</f>
        <v>157719</v>
      </c>
      <c r="F81" s="132">
        <f t="shared" si="0"/>
        <v>63.0876</v>
      </c>
      <c r="G81" s="133">
        <f>SUM(G82:G82)</f>
        <v>250000</v>
      </c>
      <c r="H81" s="134">
        <f>SUM(H82:H83)</f>
        <v>157719</v>
      </c>
      <c r="I81" s="132">
        <f>H81/G81*100</f>
        <v>63.0876</v>
      </c>
      <c r="J81" s="133"/>
      <c r="K81" s="134"/>
      <c r="L81" s="135"/>
      <c r="M81" s="133"/>
      <c r="N81" s="134"/>
      <c r="O81" s="132"/>
      <c r="P81" s="133"/>
      <c r="Q81" s="134"/>
      <c r="R81" s="132"/>
    </row>
    <row r="82" spans="1:18" ht="21" customHeight="1">
      <c r="A82" s="175" t="s">
        <v>970</v>
      </c>
      <c r="B82" s="176" t="s">
        <v>1038</v>
      </c>
      <c r="C82" s="177">
        <v>250000</v>
      </c>
      <c r="D82" s="178">
        <f aca="true" t="shared" si="6" ref="D82:E85">G82+J82+M82+P82</f>
        <v>250000</v>
      </c>
      <c r="E82" s="178">
        <f t="shared" si="6"/>
        <v>42625</v>
      </c>
      <c r="F82" s="179">
        <f t="shared" si="0"/>
        <v>17.05</v>
      </c>
      <c r="G82" s="269">
        <v>250000</v>
      </c>
      <c r="H82" s="181">
        <v>42625</v>
      </c>
      <c r="I82" s="179">
        <f>H82/G82*100</f>
        <v>17.05</v>
      </c>
      <c r="J82" s="180"/>
      <c r="K82" s="181"/>
      <c r="L82" s="182"/>
      <c r="M82" s="180"/>
      <c r="N82" s="181"/>
      <c r="O82" s="179"/>
      <c r="P82" s="180"/>
      <c r="Q82" s="181"/>
      <c r="R82" s="179"/>
    </row>
    <row r="83" spans="1:18" ht="38.25" customHeight="1">
      <c r="A83" s="220" t="s">
        <v>912</v>
      </c>
      <c r="B83" s="251" t="s">
        <v>919</v>
      </c>
      <c r="C83" s="222"/>
      <c r="D83" s="223"/>
      <c r="E83" s="223">
        <f>H83</f>
        <v>115094</v>
      </c>
      <c r="F83" s="224"/>
      <c r="G83" s="236"/>
      <c r="H83" s="226">
        <v>115094</v>
      </c>
      <c r="I83" s="224"/>
      <c r="J83" s="225"/>
      <c r="K83" s="226"/>
      <c r="L83" s="227"/>
      <c r="M83" s="225"/>
      <c r="N83" s="226"/>
      <c r="O83" s="224"/>
      <c r="P83" s="225"/>
      <c r="Q83" s="226"/>
      <c r="R83" s="224"/>
    </row>
    <row r="84" spans="1:18" ht="60.75" customHeight="1" thickBot="1">
      <c r="A84" s="270" t="s">
        <v>971</v>
      </c>
      <c r="B84" s="271" t="s">
        <v>688</v>
      </c>
      <c r="C84" s="272">
        <f>C85</f>
        <v>17977</v>
      </c>
      <c r="D84" s="273">
        <f>D85</f>
        <v>17977</v>
      </c>
      <c r="E84" s="273">
        <f>E85</f>
        <v>4494</v>
      </c>
      <c r="F84" s="274">
        <f aca="true" t="shared" si="7" ref="F84:F147">E84/D84*100</f>
        <v>24.99860933414919</v>
      </c>
      <c r="G84" s="275"/>
      <c r="H84" s="276"/>
      <c r="I84" s="277"/>
      <c r="J84" s="278">
        <f>J85</f>
        <v>17977</v>
      </c>
      <c r="K84" s="276">
        <f>K85</f>
        <v>4494</v>
      </c>
      <c r="L84" s="279">
        <f>K84/J84*100</f>
        <v>24.99860933414919</v>
      </c>
      <c r="M84" s="278"/>
      <c r="N84" s="276"/>
      <c r="O84" s="277"/>
      <c r="P84" s="278"/>
      <c r="Q84" s="276"/>
      <c r="R84" s="280"/>
    </row>
    <row r="85" spans="1:18" ht="42" customHeight="1" thickTop="1">
      <c r="A85" s="202" t="s">
        <v>972</v>
      </c>
      <c r="B85" s="203" t="s">
        <v>689</v>
      </c>
      <c r="C85" s="204">
        <f>SUM(C86)</f>
        <v>17977</v>
      </c>
      <c r="D85" s="205">
        <f t="shared" si="6"/>
        <v>17977</v>
      </c>
      <c r="E85" s="205">
        <f t="shared" si="6"/>
        <v>4494</v>
      </c>
      <c r="F85" s="281">
        <f t="shared" si="7"/>
        <v>24.99860933414919</v>
      </c>
      <c r="G85" s="211"/>
      <c r="H85" s="209"/>
      <c r="I85" s="282"/>
      <c r="J85" s="208">
        <f>J86</f>
        <v>17977</v>
      </c>
      <c r="K85" s="209">
        <f>K86</f>
        <v>4494</v>
      </c>
      <c r="L85" s="283">
        <f>K85/J85*100</f>
        <v>24.99860933414919</v>
      </c>
      <c r="M85" s="208"/>
      <c r="N85" s="209"/>
      <c r="O85" s="282"/>
      <c r="P85" s="208"/>
      <c r="Q85" s="209"/>
      <c r="R85" s="206"/>
    </row>
    <row r="86" spans="1:18" ht="53.25" customHeight="1" thickBot="1">
      <c r="A86" s="175" t="s">
        <v>907</v>
      </c>
      <c r="B86" s="176" t="s">
        <v>908</v>
      </c>
      <c r="C86" s="177">
        <v>17977</v>
      </c>
      <c r="D86" s="178">
        <f>G86+J86+M86+P86</f>
        <v>17977</v>
      </c>
      <c r="E86" s="178">
        <f>H86+K86+N86+Q86</f>
        <v>4494</v>
      </c>
      <c r="F86" s="183"/>
      <c r="G86" s="269"/>
      <c r="H86" s="181"/>
      <c r="I86" s="179"/>
      <c r="J86" s="180">
        <v>17977</v>
      </c>
      <c r="K86" s="181">
        <v>4494</v>
      </c>
      <c r="L86" s="183"/>
      <c r="M86" s="180"/>
      <c r="N86" s="181"/>
      <c r="O86" s="179"/>
      <c r="P86" s="180"/>
      <c r="Q86" s="181"/>
      <c r="R86" s="179"/>
    </row>
    <row r="87" spans="1:18" ht="32.25" customHeight="1" thickBot="1" thickTop="1">
      <c r="A87" s="97" t="s">
        <v>973</v>
      </c>
      <c r="B87" s="201" t="s">
        <v>697</v>
      </c>
      <c r="C87" s="231">
        <f>C88+C93</f>
        <v>7931000</v>
      </c>
      <c r="D87" s="100">
        <f>G87+J87+M87+P87</f>
        <v>7931000</v>
      </c>
      <c r="E87" s="100">
        <f>H87+K87+N87+Q87</f>
        <v>2841748</v>
      </c>
      <c r="F87" s="103">
        <f t="shared" si="7"/>
        <v>35.830891438658426</v>
      </c>
      <c r="G87" s="104"/>
      <c r="H87" s="101"/>
      <c r="I87" s="284"/>
      <c r="J87" s="104">
        <f>J88+J93</f>
        <v>10000</v>
      </c>
      <c r="K87" s="101">
        <f>K88+K93</f>
        <v>2499</v>
      </c>
      <c r="L87" s="285">
        <f>K87/J87*100</f>
        <v>24.990000000000002</v>
      </c>
      <c r="M87" s="104"/>
      <c r="N87" s="101">
        <f>N88</f>
        <v>200</v>
      </c>
      <c r="O87" s="103"/>
      <c r="P87" s="104">
        <f>P88</f>
        <v>7921000</v>
      </c>
      <c r="Q87" s="101">
        <f>Q88</f>
        <v>2839049</v>
      </c>
      <c r="R87" s="103">
        <f>Q87/P87*100</f>
        <v>35.84205277111476</v>
      </c>
    </row>
    <row r="88" spans="1:18" ht="25.5" customHeight="1" thickTop="1">
      <c r="A88" s="202" t="s">
        <v>974</v>
      </c>
      <c r="B88" s="203" t="s">
        <v>975</v>
      </c>
      <c r="C88" s="204">
        <f>SUM(C90:C92)</f>
        <v>7921000</v>
      </c>
      <c r="D88" s="205">
        <f>SUM(D89:D92)</f>
        <v>7921000</v>
      </c>
      <c r="E88" s="205">
        <f>SUM(E89:E92)</f>
        <v>2839249</v>
      </c>
      <c r="F88" s="249">
        <f t="shared" si="7"/>
        <v>35.844577704835245</v>
      </c>
      <c r="G88" s="208"/>
      <c r="H88" s="209"/>
      <c r="I88" s="224"/>
      <c r="J88" s="208"/>
      <c r="K88" s="209"/>
      <c r="L88" s="250"/>
      <c r="M88" s="208"/>
      <c r="N88" s="209">
        <f>SUM(N89:N92)</f>
        <v>200</v>
      </c>
      <c r="O88" s="206"/>
      <c r="P88" s="208">
        <f>SUM(P90:P92)</f>
        <v>7921000</v>
      </c>
      <c r="Q88" s="209">
        <f>SUM(Q90:Q92)</f>
        <v>2839049</v>
      </c>
      <c r="R88" s="206">
        <f>Q88/P88*100</f>
        <v>35.84205277111476</v>
      </c>
    </row>
    <row r="89" spans="1:18" s="139" customFormat="1" ht="13.5" customHeight="1">
      <c r="A89" s="175" t="s">
        <v>947</v>
      </c>
      <c r="B89" s="176" t="s">
        <v>223</v>
      </c>
      <c r="C89" s="177"/>
      <c r="D89" s="178"/>
      <c r="E89" s="178">
        <f aca="true" t="shared" si="8" ref="D89:E92">H89+K89+N89+Q89</f>
        <v>2</v>
      </c>
      <c r="F89" s="243"/>
      <c r="G89" s="180"/>
      <c r="H89" s="181"/>
      <c r="I89" s="179"/>
      <c r="J89" s="180"/>
      <c r="K89" s="181"/>
      <c r="L89" s="286"/>
      <c r="M89" s="180"/>
      <c r="N89" s="181">
        <v>2</v>
      </c>
      <c r="O89" s="179"/>
      <c r="P89" s="180"/>
      <c r="Q89" s="181"/>
      <c r="R89" s="179"/>
    </row>
    <row r="90" spans="1:18" s="139" customFormat="1" ht="63" customHeight="1">
      <c r="A90" s="118" t="s">
        <v>936</v>
      </c>
      <c r="B90" s="219" t="s">
        <v>937</v>
      </c>
      <c r="C90" s="138">
        <v>7921000</v>
      </c>
      <c r="D90" s="89">
        <f t="shared" si="8"/>
        <v>7921000</v>
      </c>
      <c r="E90" s="89">
        <f t="shared" si="8"/>
        <v>2839049</v>
      </c>
      <c r="F90" s="122">
        <f t="shared" si="7"/>
        <v>35.84205277111476</v>
      </c>
      <c r="G90" s="125"/>
      <c r="H90" s="121"/>
      <c r="I90" s="124"/>
      <c r="J90" s="125"/>
      <c r="K90" s="121"/>
      <c r="L90" s="218"/>
      <c r="M90" s="125"/>
      <c r="N90" s="121"/>
      <c r="O90" s="124"/>
      <c r="P90" s="125">
        <v>7921000</v>
      </c>
      <c r="Q90" s="121">
        <v>2839049</v>
      </c>
      <c r="R90" s="124">
        <f>Q90/P90*100</f>
        <v>35.84205277111476</v>
      </c>
    </row>
    <row r="91" spans="1:19" s="139" customFormat="1" ht="46.5" customHeight="1">
      <c r="A91" s="118" t="s">
        <v>938</v>
      </c>
      <c r="B91" s="219" t="s">
        <v>976</v>
      </c>
      <c r="C91" s="138"/>
      <c r="D91" s="89"/>
      <c r="E91" s="89">
        <f>H91+K91+N91+Q91</f>
        <v>198</v>
      </c>
      <c r="F91" s="122"/>
      <c r="G91" s="125"/>
      <c r="H91" s="121"/>
      <c r="I91" s="124"/>
      <c r="J91" s="125"/>
      <c r="K91" s="121"/>
      <c r="L91" s="218"/>
      <c r="M91" s="125"/>
      <c r="N91" s="121">
        <v>198</v>
      </c>
      <c r="O91" s="124"/>
      <c r="P91" s="125"/>
      <c r="Q91" s="121"/>
      <c r="R91" s="124"/>
      <c r="S91" s="287"/>
    </row>
    <row r="92" spans="1:18" s="139" customFormat="1" ht="72" customHeight="1">
      <c r="A92" s="220" t="s">
        <v>949</v>
      </c>
      <c r="B92" s="251" t="s">
        <v>950</v>
      </c>
      <c r="C92" s="222"/>
      <c r="D92" s="223">
        <f t="shared" si="8"/>
        <v>0</v>
      </c>
      <c r="E92" s="223">
        <f t="shared" si="8"/>
        <v>0</v>
      </c>
      <c r="F92" s="252" t="e">
        <f t="shared" si="7"/>
        <v>#DIV/0!</v>
      </c>
      <c r="G92" s="225"/>
      <c r="H92" s="226"/>
      <c r="I92" s="224"/>
      <c r="J92" s="225"/>
      <c r="K92" s="226"/>
      <c r="L92" s="288"/>
      <c r="M92" s="225"/>
      <c r="N92" s="226"/>
      <c r="O92" s="224"/>
      <c r="P92" s="225"/>
      <c r="Q92" s="226"/>
      <c r="R92" s="224" t="e">
        <f>Q92/P92*100</f>
        <v>#DIV/0!</v>
      </c>
    </row>
    <row r="93" spans="1:18" ht="15.75" customHeight="1">
      <c r="A93" s="128" t="s">
        <v>978</v>
      </c>
      <c r="B93" s="129" t="s">
        <v>717</v>
      </c>
      <c r="C93" s="130">
        <f>C94</f>
        <v>10000</v>
      </c>
      <c r="D93" s="131">
        <f>D94</f>
        <v>10000</v>
      </c>
      <c r="E93" s="131">
        <f>E94</f>
        <v>2499</v>
      </c>
      <c r="F93" s="132">
        <f t="shared" si="7"/>
        <v>24.990000000000002</v>
      </c>
      <c r="G93" s="133"/>
      <c r="H93" s="134"/>
      <c r="I93" s="132"/>
      <c r="J93" s="133">
        <f>J94</f>
        <v>10000</v>
      </c>
      <c r="K93" s="134">
        <f>K94</f>
        <v>2499</v>
      </c>
      <c r="L93" s="253">
        <f>K93/J93*100</f>
        <v>24.990000000000002</v>
      </c>
      <c r="M93" s="133"/>
      <c r="N93" s="134"/>
      <c r="O93" s="132"/>
      <c r="P93" s="133"/>
      <c r="Q93" s="134"/>
      <c r="R93" s="132"/>
    </row>
    <row r="94" spans="1:18" ht="62.25" customHeight="1" thickBot="1">
      <c r="A94" s="175" t="s">
        <v>907</v>
      </c>
      <c r="B94" s="242" t="s">
        <v>979</v>
      </c>
      <c r="C94" s="177">
        <v>10000</v>
      </c>
      <c r="D94" s="178">
        <f>J94</f>
        <v>10000</v>
      </c>
      <c r="E94" s="178">
        <f>K94</f>
        <v>2499</v>
      </c>
      <c r="F94" s="243"/>
      <c r="G94" s="180"/>
      <c r="H94" s="181"/>
      <c r="I94" s="179"/>
      <c r="J94" s="180">
        <f>9000+1000</f>
        <v>10000</v>
      </c>
      <c r="K94" s="181">
        <v>2499</v>
      </c>
      <c r="L94" s="286">
        <f>K94/J94*100</f>
        <v>24.990000000000002</v>
      </c>
      <c r="M94" s="180"/>
      <c r="N94" s="181"/>
      <c r="O94" s="179"/>
      <c r="P94" s="180"/>
      <c r="Q94" s="181"/>
      <c r="R94" s="179"/>
    </row>
    <row r="95" spans="1:18" ht="60.75" customHeight="1" thickBot="1" thickTop="1">
      <c r="A95" s="97" t="s">
        <v>980</v>
      </c>
      <c r="B95" s="289" t="s">
        <v>981</v>
      </c>
      <c r="C95" s="104">
        <f>C96+C99+C108+C119+C133+C136+C139+C141</f>
        <v>159642057</v>
      </c>
      <c r="D95" s="290">
        <f>D96+D99+D108+D119+D133+D136+D139+D141</f>
        <v>161254299</v>
      </c>
      <c r="E95" s="290">
        <f>E96+E99+E108+E119+E133+E136+E139+E141</f>
        <v>39421143</v>
      </c>
      <c r="F95" s="291">
        <f t="shared" si="7"/>
        <v>24.44656870822402</v>
      </c>
      <c r="G95" s="290">
        <f>G96+G99+G108+G119+G133+G136+G139+G141</f>
        <v>138650524</v>
      </c>
      <c r="H95" s="290">
        <f>H96+H99+H108+H119+H133+H136+H139+H141</f>
        <v>34902055</v>
      </c>
      <c r="I95" s="291">
        <f aca="true" t="shared" si="9" ref="I95:I158">H95/G95*100</f>
        <v>25.172681640929103</v>
      </c>
      <c r="J95" s="104"/>
      <c r="K95" s="101"/>
      <c r="L95" s="106"/>
      <c r="M95" s="104">
        <f>M96+M99+M108+M119+M133+M136</f>
        <v>22603775</v>
      </c>
      <c r="N95" s="101">
        <f>N119+N136</f>
        <v>4519088</v>
      </c>
      <c r="O95" s="291">
        <f>N95/M95*100</f>
        <v>19.99262512567038</v>
      </c>
      <c r="P95" s="104"/>
      <c r="Q95" s="101"/>
      <c r="R95" s="103"/>
    </row>
    <row r="96" spans="1:18" ht="28.5" customHeight="1" thickTop="1">
      <c r="A96" s="202" t="s">
        <v>982</v>
      </c>
      <c r="B96" s="203" t="s">
        <v>983</v>
      </c>
      <c r="C96" s="204">
        <f>SUM(C97)</f>
        <v>460000</v>
      </c>
      <c r="D96" s="205">
        <f>D97</f>
        <v>460000</v>
      </c>
      <c r="E96" s="205">
        <f>SUM(E97:E98)</f>
        <v>65637</v>
      </c>
      <c r="F96" s="206">
        <f t="shared" si="7"/>
        <v>14.26891304347826</v>
      </c>
      <c r="G96" s="208">
        <f>G97</f>
        <v>460000</v>
      </c>
      <c r="H96" s="209">
        <f>SUM(H97:H98)</f>
        <v>65637</v>
      </c>
      <c r="I96" s="206">
        <f t="shared" si="9"/>
        <v>14.26891304347826</v>
      </c>
      <c r="J96" s="208"/>
      <c r="K96" s="209"/>
      <c r="L96" s="283"/>
      <c r="M96" s="208"/>
      <c r="N96" s="209"/>
      <c r="O96" s="206"/>
      <c r="P96" s="208"/>
      <c r="Q96" s="209"/>
      <c r="R96" s="206"/>
    </row>
    <row r="97" spans="1:18" s="139" customFormat="1" ht="47.25" customHeight="1">
      <c r="A97" s="175" t="s">
        <v>984</v>
      </c>
      <c r="B97" s="176" t="s">
        <v>345</v>
      </c>
      <c r="C97" s="177">
        <v>460000</v>
      </c>
      <c r="D97" s="178">
        <f>G97+J97+M97+P97</f>
        <v>460000</v>
      </c>
      <c r="E97" s="178">
        <f>H97+K97+N97+Q97</f>
        <v>64195</v>
      </c>
      <c r="F97" s="179">
        <f t="shared" si="7"/>
        <v>13.955434782608695</v>
      </c>
      <c r="G97" s="180">
        <v>460000</v>
      </c>
      <c r="H97" s="181">
        <v>64195</v>
      </c>
      <c r="I97" s="179">
        <f t="shared" si="9"/>
        <v>13.955434782608695</v>
      </c>
      <c r="J97" s="180"/>
      <c r="K97" s="181"/>
      <c r="L97" s="183"/>
      <c r="M97" s="180"/>
      <c r="N97" s="181"/>
      <c r="O97" s="179"/>
      <c r="P97" s="180"/>
      <c r="Q97" s="181"/>
      <c r="R97" s="179"/>
    </row>
    <row r="98" spans="1:18" s="139" customFormat="1" ht="30.75" customHeight="1">
      <c r="A98" s="118" t="s">
        <v>1012</v>
      </c>
      <c r="B98" s="86" t="s">
        <v>1013</v>
      </c>
      <c r="C98" s="138"/>
      <c r="D98" s="89"/>
      <c r="E98" s="89">
        <f>H98</f>
        <v>1442</v>
      </c>
      <c r="F98" s="124"/>
      <c r="G98" s="125"/>
      <c r="H98" s="121">
        <v>1442</v>
      </c>
      <c r="I98" s="124"/>
      <c r="J98" s="125"/>
      <c r="K98" s="121"/>
      <c r="L98" s="127"/>
      <c r="M98" s="125"/>
      <c r="N98" s="121"/>
      <c r="O98" s="124"/>
      <c r="P98" s="125"/>
      <c r="Q98" s="121"/>
      <c r="R98" s="124"/>
    </row>
    <row r="99" spans="1:18" ht="60" customHeight="1">
      <c r="A99" s="128" t="s">
        <v>985</v>
      </c>
      <c r="B99" s="292" t="s">
        <v>986</v>
      </c>
      <c r="C99" s="130">
        <f>SUM(C100:C105)</f>
        <v>36872794</v>
      </c>
      <c r="D99" s="131">
        <f>SUM(D100:D105)</f>
        <v>36872794</v>
      </c>
      <c r="E99" s="131">
        <f>SUM(E100:E107)</f>
        <v>10584272</v>
      </c>
      <c r="F99" s="132">
        <f t="shared" si="7"/>
        <v>28.704827738304832</v>
      </c>
      <c r="G99" s="133">
        <f>SUM(G100:G105)</f>
        <v>36872794</v>
      </c>
      <c r="H99" s="134">
        <f>SUM(H100:H107)</f>
        <v>10584272</v>
      </c>
      <c r="I99" s="132">
        <f t="shared" si="9"/>
        <v>28.704827738304832</v>
      </c>
      <c r="J99" s="133"/>
      <c r="K99" s="134"/>
      <c r="L99" s="137"/>
      <c r="M99" s="133"/>
      <c r="N99" s="134"/>
      <c r="O99" s="132"/>
      <c r="P99" s="133"/>
      <c r="Q99" s="134"/>
      <c r="R99" s="132"/>
    </row>
    <row r="100" spans="1:18" ht="15" customHeight="1">
      <c r="A100" s="175" t="s">
        <v>987</v>
      </c>
      <c r="B100" s="176" t="s">
        <v>205</v>
      </c>
      <c r="C100" s="177">
        <v>34126480</v>
      </c>
      <c r="D100" s="178">
        <f aca="true" t="shared" si="10" ref="D100:E107">G100+J100+M100+P100</f>
        <v>34126480</v>
      </c>
      <c r="E100" s="178">
        <f t="shared" si="10"/>
        <v>9526435</v>
      </c>
      <c r="F100" s="179">
        <f t="shared" si="7"/>
        <v>27.915082364193434</v>
      </c>
      <c r="G100" s="269">
        <v>34126480</v>
      </c>
      <c r="H100" s="181">
        <v>9526435</v>
      </c>
      <c r="I100" s="179">
        <f t="shared" si="9"/>
        <v>27.915082364193434</v>
      </c>
      <c r="J100" s="180"/>
      <c r="K100" s="181"/>
      <c r="L100" s="183"/>
      <c r="M100" s="180"/>
      <c r="N100" s="181"/>
      <c r="O100" s="179"/>
      <c r="P100" s="180"/>
      <c r="Q100" s="181"/>
      <c r="R100" s="179"/>
    </row>
    <row r="101" spans="1:18" ht="14.25" customHeight="1">
      <c r="A101" s="118" t="s">
        <v>988</v>
      </c>
      <c r="B101" s="86" t="s">
        <v>989</v>
      </c>
      <c r="C101" s="138">
        <v>23066</v>
      </c>
      <c r="D101" s="89">
        <f t="shared" si="10"/>
        <v>23066</v>
      </c>
      <c r="E101" s="89">
        <f t="shared" si="10"/>
        <v>7226</v>
      </c>
      <c r="F101" s="124">
        <f t="shared" si="7"/>
        <v>31.327495014306773</v>
      </c>
      <c r="G101" s="238">
        <v>23066</v>
      </c>
      <c r="H101" s="121">
        <v>7226</v>
      </c>
      <c r="I101" s="124">
        <f t="shared" si="9"/>
        <v>31.327495014306773</v>
      </c>
      <c r="J101" s="125"/>
      <c r="K101" s="121"/>
      <c r="L101" s="127"/>
      <c r="M101" s="125"/>
      <c r="N101" s="121"/>
      <c r="O101" s="124"/>
      <c r="P101" s="125"/>
      <c r="Q101" s="121"/>
      <c r="R101" s="124"/>
    </row>
    <row r="102" spans="1:18" ht="14.25" customHeight="1">
      <c r="A102" s="118" t="s">
        <v>990</v>
      </c>
      <c r="B102" s="86" t="s">
        <v>991</v>
      </c>
      <c r="C102" s="138">
        <v>40748</v>
      </c>
      <c r="D102" s="89">
        <f t="shared" si="10"/>
        <v>40748</v>
      </c>
      <c r="E102" s="89">
        <f t="shared" si="10"/>
        <v>8262</v>
      </c>
      <c r="F102" s="124">
        <f t="shared" si="7"/>
        <v>20.27584175910474</v>
      </c>
      <c r="G102" s="238">
        <v>40748</v>
      </c>
      <c r="H102" s="121">
        <v>8262</v>
      </c>
      <c r="I102" s="124">
        <f t="shared" si="9"/>
        <v>20.27584175910474</v>
      </c>
      <c r="J102" s="125"/>
      <c r="K102" s="121"/>
      <c r="L102" s="127"/>
      <c r="M102" s="125"/>
      <c r="N102" s="121"/>
      <c r="O102" s="124"/>
      <c r="P102" s="125"/>
      <c r="Q102" s="121"/>
      <c r="R102" s="124"/>
    </row>
    <row r="103" spans="1:18" ht="15.75" customHeight="1">
      <c r="A103" s="118" t="s">
        <v>992</v>
      </c>
      <c r="B103" s="86" t="s">
        <v>993</v>
      </c>
      <c r="C103" s="138">
        <v>1682500</v>
      </c>
      <c r="D103" s="89">
        <f t="shared" si="10"/>
        <v>1682500</v>
      </c>
      <c r="E103" s="89">
        <f t="shared" si="10"/>
        <v>755276</v>
      </c>
      <c r="F103" s="124">
        <f t="shared" si="7"/>
        <v>44.890104011887075</v>
      </c>
      <c r="G103" s="238">
        <v>1682500</v>
      </c>
      <c r="H103" s="121">
        <v>755276</v>
      </c>
      <c r="I103" s="124">
        <f t="shared" si="9"/>
        <v>44.890104011887075</v>
      </c>
      <c r="J103" s="125"/>
      <c r="K103" s="121"/>
      <c r="L103" s="127"/>
      <c r="M103" s="125"/>
      <c r="N103" s="121"/>
      <c r="O103" s="124"/>
      <c r="P103" s="125"/>
      <c r="Q103" s="121"/>
      <c r="R103" s="124"/>
    </row>
    <row r="104" spans="1:18" s="139" customFormat="1" ht="13.5" customHeight="1">
      <c r="A104" s="118" t="s">
        <v>994</v>
      </c>
      <c r="B104" s="86" t="s">
        <v>995</v>
      </c>
      <c r="C104" s="138">
        <v>600000</v>
      </c>
      <c r="D104" s="89">
        <f t="shared" si="10"/>
        <v>600000</v>
      </c>
      <c r="E104" s="89">
        <f t="shared" si="10"/>
        <v>96109</v>
      </c>
      <c r="F104" s="124">
        <f t="shared" si="7"/>
        <v>16.018166666666666</v>
      </c>
      <c r="G104" s="238">
        <v>600000</v>
      </c>
      <c r="H104" s="121">
        <v>96109</v>
      </c>
      <c r="I104" s="124">
        <f t="shared" si="9"/>
        <v>16.018166666666666</v>
      </c>
      <c r="J104" s="125"/>
      <c r="K104" s="121"/>
      <c r="L104" s="127"/>
      <c r="M104" s="125"/>
      <c r="N104" s="121"/>
      <c r="O104" s="124"/>
      <c r="P104" s="125"/>
      <c r="Q104" s="121"/>
      <c r="R104" s="124"/>
    </row>
    <row r="105" spans="1:18" s="139" customFormat="1" ht="24" customHeight="1">
      <c r="A105" s="118" t="s">
        <v>996</v>
      </c>
      <c r="B105" s="86" t="s">
        <v>997</v>
      </c>
      <c r="C105" s="138">
        <v>400000</v>
      </c>
      <c r="D105" s="89">
        <f t="shared" si="10"/>
        <v>400000</v>
      </c>
      <c r="E105" s="89">
        <f t="shared" si="10"/>
        <v>33713</v>
      </c>
      <c r="F105" s="124">
        <f t="shared" si="7"/>
        <v>8.42825</v>
      </c>
      <c r="G105" s="238">
        <v>400000</v>
      </c>
      <c r="H105" s="121">
        <v>33713</v>
      </c>
      <c r="I105" s="124">
        <f t="shared" si="9"/>
        <v>8.42825</v>
      </c>
      <c r="J105" s="125"/>
      <c r="K105" s="121"/>
      <c r="L105" s="127"/>
      <c r="M105" s="125"/>
      <c r="N105" s="121"/>
      <c r="O105" s="124"/>
      <c r="P105" s="125"/>
      <c r="Q105" s="121"/>
      <c r="R105" s="124"/>
    </row>
    <row r="106" spans="1:18" s="139" customFormat="1" ht="24" customHeight="1">
      <c r="A106" s="118" t="s">
        <v>1012</v>
      </c>
      <c r="B106" s="86" t="s">
        <v>1013</v>
      </c>
      <c r="C106" s="138"/>
      <c r="D106" s="89"/>
      <c r="E106" s="89">
        <f t="shared" si="10"/>
        <v>157251</v>
      </c>
      <c r="F106" s="124"/>
      <c r="G106" s="238"/>
      <c r="H106" s="121">
        <v>157251</v>
      </c>
      <c r="I106" s="124"/>
      <c r="J106" s="125"/>
      <c r="K106" s="121"/>
      <c r="L106" s="127"/>
      <c r="M106" s="125"/>
      <c r="N106" s="121"/>
      <c r="O106" s="124"/>
      <c r="P106" s="125"/>
      <c r="Q106" s="121"/>
      <c r="R106" s="124"/>
    </row>
    <row r="107" spans="1:18" s="139" customFormat="1" ht="15.75" customHeight="1">
      <c r="A107" s="220" t="s">
        <v>920</v>
      </c>
      <c r="B107" s="251" t="s">
        <v>940</v>
      </c>
      <c r="C107" s="222"/>
      <c r="D107" s="223"/>
      <c r="E107" s="223">
        <f t="shared" si="10"/>
        <v>0</v>
      </c>
      <c r="F107" s="224"/>
      <c r="G107" s="236"/>
      <c r="H107" s="226"/>
      <c r="I107" s="224"/>
      <c r="J107" s="225"/>
      <c r="K107" s="226"/>
      <c r="L107" s="293"/>
      <c r="M107" s="225"/>
      <c r="N107" s="226"/>
      <c r="O107" s="224"/>
      <c r="P107" s="225"/>
      <c r="Q107" s="226"/>
      <c r="R107" s="224"/>
    </row>
    <row r="108" spans="1:18" ht="58.5" customHeight="1">
      <c r="A108" s="128" t="s">
        <v>998</v>
      </c>
      <c r="B108" s="292" t="s">
        <v>999</v>
      </c>
      <c r="C108" s="130">
        <f>SUM(C109:C118)</f>
        <v>17611271</v>
      </c>
      <c r="D108" s="131">
        <f>SUM(D109:D118)</f>
        <v>17611271</v>
      </c>
      <c r="E108" s="131">
        <f>H108</f>
        <v>6250144</v>
      </c>
      <c r="F108" s="132">
        <f t="shared" si="7"/>
        <v>35.48945445220848</v>
      </c>
      <c r="G108" s="133">
        <f>SUM(G109:G118)</f>
        <v>17611271</v>
      </c>
      <c r="H108" s="134">
        <f>SUM(H109:H118)</f>
        <v>6250144</v>
      </c>
      <c r="I108" s="132">
        <f t="shared" si="9"/>
        <v>35.48945445220848</v>
      </c>
      <c r="J108" s="133"/>
      <c r="K108" s="134"/>
      <c r="L108" s="137"/>
      <c r="M108" s="133"/>
      <c r="N108" s="134"/>
      <c r="O108" s="132"/>
      <c r="P108" s="133"/>
      <c r="Q108" s="134"/>
      <c r="R108" s="132"/>
    </row>
    <row r="109" spans="1:18" ht="15" customHeight="1">
      <c r="A109" s="175" t="s">
        <v>987</v>
      </c>
      <c r="B109" s="176" t="s">
        <v>205</v>
      </c>
      <c r="C109" s="177">
        <v>9366710</v>
      </c>
      <c r="D109" s="178">
        <f aca="true" t="shared" si="11" ref="D109:E118">G109+J109+M109+P109</f>
        <v>9366710</v>
      </c>
      <c r="E109" s="178">
        <f t="shared" si="11"/>
        <v>3410545</v>
      </c>
      <c r="F109" s="179">
        <f t="shared" si="7"/>
        <v>36.41134400445834</v>
      </c>
      <c r="G109" s="180">
        <v>9366710</v>
      </c>
      <c r="H109" s="181">
        <v>3410545</v>
      </c>
      <c r="I109" s="124">
        <f t="shared" si="9"/>
        <v>36.41134400445834</v>
      </c>
      <c r="J109" s="180"/>
      <c r="K109" s="181"/>
      <c r="L109" s="183"/>
      <c r="M109" s="180"/>
      <c r="N109" s="181"/>
      <c r="O109" s="179"/>
      <c r="P109" s="180"/>
      <c r="Q109" s="181"/>
      <c r="R109" s="179"/>
    </row>
    <row r="110" spans="1:18" ht="15" customHeight="1">
      <c r="A110" s="118" t="s">
        <v>988</v>
      </c>
      <c r="B110" s="86" t="s">
        <v>989</v>
      </c>
      <c r="C110" s="138">
        <v>706110</v>
      </c>
      <c r="D110" s="89">
        <f t="shared" si="11"/>
        <v>706110</v>
      </c>
      <c r="E110" s="89">
        <f t="shared" si="11"/>
        <v>260456</v>
      </c>
      <c r="F110" s="124">
        <f t="shared" si="7"/>
        <v>36.88603758621178</v>
      </c>
      <c r="G110" s="125">
        <v>706110</v>
      </c>
      <c r="H110" s="121">
        <v>260456</v>
      </c>
      <c r="I110" s="124">
        <f t="shared" si="9"/>
        <v>36.88603758621178</v>
      </c>
      <c r="J110" s="125"/>
      <c r="K110" s="121"/>
      <c r="L110" s="127"/>
      <c r="M110" s="125"/>
      <c r="N110" s="121"/>
      <c r="O110" s="124"/>
      <c r="P110" s="125"/>
      <c r="Q110" s="121"/>
      <c r="R110" s="124"/>
    </row>
    <row r="111" spans="1:18" s="139" customFormat="1" ht="14.25" customHeight="1">
      <c r="A111" s="118" t="s">
        <v>990</v>
      </c>
      <c r="B111" s="86" t="s">
        <v>991</v>
      </c>
      <c r="C111" s="138">
        <v>238</v>
      </c>
      <c r="D111" s="89">
        <f t="shared" si="11"/>
        <v>238</v>
      </c>
      <c r="E111" s="89">
        <f t="shared" si="11"/>
        <v>125</v>
      </c>
      <c r="F111" s="124">
        <f t="shared" si="7"/>
        <v>52.52100840336135</v>
      </c>
      <c r="G111" s="125">
        <v>238</v>
      </c>
      <c r="H111" s="121">
        <v>125</v>
      </c>
      <c r="I111" s="124">
        <f t="shared" si="9"/>
        <v>52.52100840336135</v>
      </c>
      <c r="J111" s="125"/>
      <c r="K111" s="121"/>
      <c r="L111" s="127"/>
      <c r="M111" s="125"/>
      <c r="N111" s="121"/>
      <c r="O111" s="124"/>
      <c r="P111" s="125"/>
      <c r="Q111" s="121"/>
      <c r="R111" s="124"/>
    </row>
    <row r="112" spans="1:18" s="139" customFormat="1" ht="15.75" customHeight="1">
      <c r="A112" s="118" t="s">
        <v>992</v>
      </c>
      <c r="B112" s="86" t="s">
        <v>993</v>
      </c>
      <c r="C112" s="138">
        <v>802700</v>
      </c>
      <c r="D112" s="89">
        <f t="shared" si="11"/>
        <v>802700</v>
      </c>
      <c r="E112" s="89">
        <f t="shared" si="11"/>
        <v>274029</v>
      </c>
      <c r="F112" s="124">
        <f t="shared" si="7"/>
        <v>34.138407873427184</v>
      </c>
      <c r="G112" s="125">
        <v>802700</v>
      </c>
      <c r="H112" s="121">
        <v>274029</v>
      </c>
      <c r="I112" s="124">
        <f t="shared" si="9"/>
        <v>34.138407873427184</v>
      </c>
      <c r="J112" s="125"/>
      <c r="K112" s="121"/>
      <c r="L112" s="127"/>
      <c r="M112" s="125"/>
      <c r="N112" s="121"/>
      <c r="O112" s="124"/>
      <c r="P112" s="125"/>
      <c r="Q112" s="121"/>
      <c r="R112" s="124"/>
    </row>
    <row r="113" spans="1:18" s="139" customFormat="1" ht="18" customHeight="1">
      <c r="A113" s="118" t="s">
        <v>1000</v>
      </c>
      <c r="B113" s="86" t="s">
        <v>1001</v>
      </c>
      <c r="C113" s="138">
        <v>700000</v>
      </c>
      <c r="D113" s="89">
        <f t="shared" si="11"/>
        <v>700000</v>
      </c>
      <c r="E113" s="89">
        <f t="shared" si="11"/>
        <v>155547</v>
      </c>
      <c r="F113" s="124">
        <f t="shared" si="7"/>
        <v>22.221</v>
      </c>
      <c r="G113" s="125">
        <v>700000</v>
      </c>
      <c r="H113" s="121">
        <v>155547</v>
      </c>
      <c r="I113" s="124">
        <f t="shared" si="9"/>
        <v>22.221</v>
      </c>
      <c r="J113" s="125"/>
      <c r="K113" s="121"/>
      <c r="L113" s="127"/>
      <c r="M113" s="125"/>
      <c r="N113" s="121"/>
      <c r="O113" s="124"/>
      <c r="P113" s="125"/>
      <c r="Q113" s="121"/>
      <c r="R113" s="124"/>
    </row>
    <row r="114" spans="1:18" s="139" customFormat="1" ht="15" customHeight="1">
      <c r="A114" s="118" t="s">
        <v>994</v>
      </c>
      <c r="B114" s="86" t="s">
        <v>995</v>
      </c>
      <c r="C114" s="138">
        <v>200000</v>
      </c>
      <c r="D114" s="89">
        <f t="shared" si="11"/>
        <v>200000</v>
      </c>
      <c r="E114" s="89">
        <f t="shared" si="11"/>
        <v>24323</v>
      </c>
      <c r="F114" s="124">
        <f t="shared" si="7"/>
        <v>12.1615</v>
      </c>
      <c r="G114" s="125">
        <v>200000</v>
      </c>
      <c r="H114" s="121">
        <v>24323</v>
      </c>
      <c r="I114" s="124">
        <f t="shared" si="9"/>
        <v>12.1615</v>
      </c>
      <c r="J114" s="125"/>
      <c r="K114" s="121"/>
      <c r="L114" s="127"/>
      <c r="M114" s="125"/>
      <c r="N114" s="121"/>
      <c r="O114" s="124"/>
      <c r="P114" s="125"/>
      <c r="Q114" s="121"/>
      <c r="R114" s="124"/>
    </row>
    <row r="115" spans="1:18" s="139" customFormat="1" ht="24">
      <c r="A115" s="118" t="s">
        <v>996</v>
      </c>
      <c r="B115" s="86" t="s">
        <v>997</v>
      </c>
      <c r="C115" s="138">
        <v>5400000</v>
      </c>
      <c r="D115" s="89">
        <f t="shared" si="11"/>
        <v>5400000</v>
      </c>
      <c r="E115" s="89">
        <f t="shared" si="11"/>
        <v>2079254</v>
      </c>
      <c r="F115" s="124">
        <f t="shared" si="7"/>
        <v>38.504703703703704</v>
      </c>
      <c r="G115" s="125">
        <f>6400000-1000000</f>
        <v>5400000</v>
      </c>
      <c r="H115" s="121">
        <v>2079254</v>
      </c>
      <c r="I115" s="124">
        <f t="shared" si="9"/>
        <v>38.504703703703704</v>
      </c>
      <c r="J115" s="125"/>
      <c r="K115" s="121"/>
      <c r="L115" s="127"/>
      <c r="M115" s="125"/>
      <c r="N115" s="121"/>
      <c r="O115" s="124"/>
      <c r="P115" s="125"/>
      <c r="Q115" s="121"/>
      <c r="R115" s="124"/>
    </row>
    <row r="116" spans="1:18" s="139" customFormat="1" ht="15" customHeight="1">
      <c r="A116" s="118" t="s">
        <v>1002</v>
      </c>
      <c r="B116" s="86" t="s">
        <v>1003</v>
      </c>
      <c r="C116" s="138"/>
      <c r="D116" s="89"/>
      <c r="E116" s="89">
        <f t="shared" si="11"/>
        <v>0</v>
      </c>
      <c r="F116" s="124"/>
      <c r="G116" s="125"/>
      <c r="H116" s="121"/>
      <c r="I116" s="124"/>
      <c r="J116" s="125"/>
      <c r="K116" s="121"/>
      <c r="L116" s="127"/>
      <c r="M116" s="125"/>
      <c r="N116" s="121"/>
      <c r="O116" s="124"/>
      <c r="P116" s="125"/>
      <c r="Q116" s="121"/>
      <c r="R116" s="124"/>
    </row>
    <row r="117" spans="1:18" s="139" customFormat="1" ht="26.25" customHeight="1">
      <c r="A117" s="118" t="s">
        <v>1012</v>
      </c>
      <c r="B117" s="86" t="s">
        <v>1013</v>
      </c>
      <c r="C117" s="138"/>
      <c r="D117" s="89"/>
      <c r="E117" s="89">
        <f>H117</f>
        <v>45865</v>
      </c>
      <c r="F117" s="124"/>
      <c r="G117" s="125"/>
      <c r="H117" s="121">
        <v>45865</v>
      </c>
      <c r="I117" s="124"/>
      <c r="J117" s="125"/>
      <c r="K117" s="121"/>
      <c r="L117" s="127"/>
      <c r="M117" s="125"/>
      <c r="N117" s="121"/>
      <c r="O117" s="124"/>
      <c r="P117" s="125"/>
      <c r="Q117" s="121"/>
      <c r="R117" s="124"/>
    </row>
    <row r="118" spans="1:18" ht="50.25" customHeight="1">
      <c r="A118" s="220" t="s">
        <v>1004</v>
      </c>
      <c r="B118" s="251" t="s">
        <v>1005</v>
      </c>
      <c r="C118" s="222">
        <v>435513</v>
      </c>
      <c r="D118" s="89">
        <f t="shared" si="11"/>
        <v>435513</v>
      </c>
      <c r="E118" s="223">
        <f>H118+K118+N118+Q118</f>
        <v>0</v>
      </c>
      <c r="F118" s="224">
        <f t="shared" si="7"/>
        <v>0</v>
      </c>
      <c r="G118" s="225">
        <v>435513</v>
      </c>
      <c r="H118" s="226"/>
      <c r="I118" s="224">
        <f t="shared" si="9"/>
        <v>0</v>
      </c>
      <c r="J118" s="225"/>
      <c r="K118" s="226"/>
      <c r="L118" s="293"/>
      <c r="M118" s="225"/>
      <c r="N118" s="226"/>
      <c r="O118" s="224"/>
      <c r="P118" s="225"/>
      <c r="Q118" s="226"/>
      <c r="R118" s="224"/>
    </row>
    <row r="119" spans="1:18" ht="36.75" customHeight="1">
      <c r="A119" s="128" t="s">
        <v>1006</v>
      </c>
      <c r="B119" s="129" t="s">
        <v>1007</v>
      </c>
      <c r="C119" s="294">
        <f>SUM(C120:C124)</f>
        <v>7774000</v>
      </c>
      <c r="D119" s="134">
        <f>G119+J119+M119+P119</f>
        <v>9386242</v>
      </c>
      <c r="E119" s="134">
        <f>H119+K119+N119+Q119</f>
        <v>3522755</v>
      </c>
      <c r="F119" s="132">
        <f t="shared" si="7"/>
        <v>37.53104810210519</v>
      </c>
      <c r="G119" s="133">
        <f>G120+G123+G124+G129+G130+G131</f>
        <v>7277327</v>
      </c>
      <c r="H119" s="134">
        <f>H120+H123+H124+H129+H130+H131+H132</f>
        <v>3042679</v>
      </c>
      <c r="I119" s="132">
        <f t="shared" si="9"/>
        <v>41.81039274447885</v>
      </c>
      <c r="J119" s="133"/>
      <c r="K119" s="134"/>
      <c r="L119" s="137"/>
      <c r="M119" s="133">
        <f>M121+M124+M130+M131</f>
        <v>2108915</v>
      </c>
      <c r="N119" s="134">
        <f>N121+N124+N130+N131</f>
        <v>480076</v>
      </c>
      <c r="O119" s="132">
        <f>N119/M119*100</f>
        <v>22.764122783516644</v>
      </c>
      <c r="P119" s="133"/>
      <c r="Q119" s="134"/>
      <c r="R119" s="132"/>
    </row>
    <row r="120" spans="1:18" ht="14.25" customHeight="1">
      <c r="A120" s="175" t="s">
        <v>1008</v>
      </c>
      <c r="B120" s="176" t="s">
        <v>1009</v>
      </c>
      <c r="C120" s="177">
        <v>3000000</v>
      </c>
      <c r="D120" s="178">
        <f>G120+J120+M120+P120</f>
        <v>3000000</v>
      </c>
      <c r="E120" s="178">
        <f>H120+K120+N120+Q120</f>
        <v>599728</v>
      </c>
      <c r="F120" s="179">
        <f t="shared" si="7"/>
        <v>19.990933333333334</v>
      </c>
      <c r="G120" s="180">
        <v>3000000</v>
      </c>
      <c r="H120" s="181">
        <v>599728</v>
      </c>
      <c r="I120" s="179">
        <f t="shared" si="9"/>
        <v>19.990933333333334</v>
      </c>
      <c r="J120" s="180"/>
      <c r="K120" s="181"/>
      <c r="L120" s="183"/>
      <c r="M120" s="180"/>
      <c r="N120" s="181"/>
      <c r="O120" s="179"/>
      <c r="P120" s="180"/>
      <c r="Q120" s="181"/>
      <c r="R120" s="179"/>
    </row>
    <row r="121" spans="1:18" ht="18" customHeight="1">
      <c r="A121" s="118" t="s">
        <v>959</v>
      </c>
      <c r="B121" s="86" t="s">
        <v>960</v>
      </c>
      <c r="C121" s="138">
        <v>2000000</v>
      </c>
      <c r="D121" s="89">
        <f>G121+J121+M121+P121</f>
        <v>2000000</v>
      </c>
      <c r="E121" s="89">
        <f>H121+K121+N121+Q121</f>
        <v>431377</v>
      </c>
      <c r="F121" s="124">
        <f>E121/D121*100</f>
        <v>21.56885</v>
      </c>
      <c r="G121" s="125"/>
      <c r="H121" s="121"/>
      <c r="I121" s="124"/>
      <c r="J121" s="125"/>
      <c r="K121" s="121"/>
      <c r="L121" s="127"/>
      <c r="M121" s="125">
        <v>2000000</v>
      </c>
      <c r="N121" s="121">
        <v>431377</v>
      </c>
      <c r="O121" s="124">
        <f>N121/M121*100</f>
        <v>21.56885</v>
      </c>
      <c r="P121" s="125"/>
      <c r="Q121" s="121"/>
      <c r="R121" s="124"/>
    </row>
    <row r="122" spans="1:18" s="139" customFormat="1" ht="17.25" customHeight="1">
      <c r="A122" s="118" t="s">
        <v>346</v>
      </c>
      <c r="B122" s="86" t="s">
        <v>347</v>
      </c>
      <c r="C122" s="138"/>
      <c r="D122" s="89"/>
      <c r="E122" s="89">
        <f>H122</f>
        <v>0</v>
      </c>
      <c r="F122" s="124"/>
      <c r="G122" s="125"/>
      <c r="H122" s="121"/>
      <c r="I122" s="124"/>
      <c r="J122" s="125"/>
      <c r="K122" s="121"/>
      <c r="L122" s="127"/>
      <c r="M122" s="125"/>
      <c r="N122" s="121"/>
      <c r="O122" s="124"/>
      <c r="P122" s="125"/>
      <c r="Q122" s="121"/>
      <c r="R122" s="124"/>
    </row>
    <row r="123" spans="1:18" s="139" customFormat="1" ht="28.5" customHeight="1">
      <c r="A123" s="118" t="s">
        <v>1010</v>
      </c>
      <c r="B123" s="86" t="s">
        <v>348</v>
      </c>
      <c r="C123" s="138">
        <v>2400000</v>
      </c>
      <c r="D123" s="89">
        <f aca="true" t="shared" si="12" ref="D123:E125">G123+J123+M123+P123</f>
        <v>2400000</v>
      </c>
      <c r="E123" s="89">
        <f t="shared" si="12"/>
        <v>1181666</v>
      </c>
      <c r="F123" s="124">
        <f t="shared" si="7"/>
        <v>49.23608333333333</v>
      </c>
      <c r="G123" s="125">
        <v>2400000</v>
      </c>
      <c r="H123" s="121">
        <v>1181666</v>
      </c>
      <c r="I123" s="124">
        <f t="shared" si="9"/>
        <v>49.23608333333333</v>
      </c>
      <c r="J123" s="125"/>
      <c r="K123" s="121"/>
      <c r="L123" s="127"/>
      <c r="M123" s="125"/>
      <c r="N123" s="121"/>
      <c r="O123" s="124"/>
      <c r="P123" s="125"/>
      <c r="Q123" s="121"/>
      <c r="R123" s="124"/>
    </row>
    <row r="124" spans="1:18" s="139" customFormat="1" ht="51.75" customHeight="1">
      <c r="A124" s="220" t="s">
        <v>1011</v>
      </c>
      <c r="B124" s="251" t="s">
        <v>1039</v>
      </c>
      <c r="C124" s="222">
        <f>SUM(C125:C128)</f>
        <v>374000</v>
      </c>
      <c r="D124" s="223">
        <f t="shared" si="12"/>
        <v>374000</v>
      </c>
      <c r="E124" s="223">
        <f t="shared" si="12"/>
        <v>39929</v>
      </c>
      <c r="F124" s="224">
        <f t="shared" si="7"/>
        <v>10.67620320855615</v>
      </c>
      <c r="G124" s="225">
        <f>SUM(G125:G128)</f>
        <v>354000</v>
      </c>
      <c r="H124" s="226">
        <v>22760</v>
      </c>
      <c r="I124" s="224">
        <f t="shared" si="9"/>
        <v>6.4293785310734455</v>
      </c>
      <c r="J124" s="225"/>
      <c r="K124" s="226"/>
      <c r="L124" s="293"/>
      <c r="M124" s="225">
        <f>M125</f>
        <v>20000</v>
      </c>
      <c r="N124" s="226">
        <f>N125</f>
        <v>17169</v>
      </c>
      <c r="O124" s="224">
        <f>N124/M124*100</f>
        <v>85.845</v>
      </c>
      <c r="P124" s="225"/>
      <c r="Q124" s="226"/>
      <c r="R124" s="224"/>
    </row>
    <row r="125" spans="1:18" s="152" customFormat="1" ht="48" customHeight="1">
      <c r="A125" s="140"/>
      <c r="B125" s="295" t="s">
        <v>1040</v>
      </c>
      <c r="C125" s="199">
        <v>24000</v>
      </c>
      <c r="D125" s="200">
        <f t="shared" si="12"/>
        <v>24000</v>
      </c>
      <c r="E125" s="200">
        <f t="shared" si="12"/>
        <v>17794</v>
      </c>
      <c r="F125" s="167">
        <f t="shared" si="7"/>
        <v>74.14166666666667</v>
      </c>
      <c r="G125" s="151">
        <v>4000</v>
      </c>
      <c r="H125" s="149">
        <v>625</v>
      </c>
      <c r="I125" s="167">
        <f t="shared" si="9"/>
        <v>15.625</v>
      </c>
      <c r="J125" s="151"/>
      <c r="K125" s="149"/>
      <c r="L125" s="150"/>
      <c r="M125" s="151">
        <v>20000</v>
      </c>
      <c r="N125" s="149">
        <v>17169</v>
      </c>
      <c r="O125" s="167"/>
      <c r="P125" s="151"/>
      <c r="Q125" s="149"/>
      <c r="R125" s="167"/>
    </row>
    <row r="126" spans="1:18" s="152" customFormat="1" ht="14.25" customHeight="1">
      <c r="A126" s="140"/>
      <c r="B126" s="295" t="s">
        <v>1041</v>
      </c>
      <c r="C126" s="199"/>
      <c r="D126" s="200">
        <f aca="true" t="shared" si="13" ref="D126:E128">G126</f>
        <v>0</v>
      </c>
      <c r="E126" s="200">
        <f t="shared" si="13"/>
        <v>0</v>
      </c>
      <c r="F126" s="167" t="e">
        <f t="shared" si="7"/>
        <v>#DIV/0!</v>
      </c>
      <c r="G126" s="151"/>
      <c r="H126" s="149"/>
      <c r="I126" s="167"/>
      <c r="J126" s="151"/>
      <c r="K126" s="149"/>
      <c r="L126" s="150"/>
      <c r="M126" s="151"/>
      <c r="N126" s="149"/>
      <c r="O126" s="167"/>
      <c r="P126" s="151"/>
      <c r="Q126" s="149"/>
      <c r="R126" s="167"/>
    </row>
    <row r="127" spans="1:18" s="152" customFormat="1" ht="14.25" customHeight="1">
      <c r="A127" s="140"/>
      <c r="B127" s="295" t="s">
        <v>1042</v>
      </c>
      <c r="C127" s="199">
        <v>150000</v>
      </c>
      <c r="D127" s="200">
        <f t="shared" si="13"/>
        <v>150000</v>
      </c>
      <c r="E127" s="200">
        <f t="shared" si="13"/>
        <v>37720</v>
      </c>
      <c r="F127" s="167">
        <f t="shared" si="7"/>
        <v>25.14666666666667</v>
      </c>
      <c r="G127" s="151">
        <v>150000</v>
      </c>
      <c r="H127" s="149">
        <f>35629+2091</f>
        <v>37720</v>
      </c>
      <c r="I127" s="167">
        <f t="shared" si="9"/>
        <v>25.14666666666667</v>
      </c>
      <c r="J127" s="151"/>
      <c r="K127" s="149"/>
      <c r="L127" s="150"/>
      <c r="M127" s="151"/>
      <c r="N127" s="149"/>
      <c r="O127" s="167"/>
      <c r="P127" s="151"/>
      <c r="Q127" s="149"/>
      <c r="R127" s="167"/>
    </row>
    <row r="128" spans="1:18" s="152" customFormat="1" ht="15.75" customHeight="1">
      <c r="A128" s="140"/>
      <c r="B128" s="295" t="s">
        <v>1043</v>
      </c>
      <c r="C128" s="199">
        <v>200000</v>
      </c>
      <c r="D128" s="200">
        <f t="shared" si="13"/>
        <v>200000</v>
      </c>
      <c r="E128" s="200">
        <f t="shared" si="13"/>
        <v>-15585</v>
      </c>
      <c r="F128" s="167">
        <f t="shared" si="7"/>
        <v>-7.7924999999999995</v>
      </c>
      <c r="G128" s="151">
        <v>200000</v>
      </c>
      <c r="H128" s="149">
        <f>-20445+4860</f>
        <v>-15585</v>
      </c>
      <c r="I128" s="167">
        <f t="shared" si="9"/>
        <v>-7.7924999999999995</v>
      </c>
      <c r="J128" s="151"/>
      <c r="K128" s="149"/>
      <c r="L128" s="150"/>
      <c r="M128" s="151"/>
      <c r="N128" s="149"/>
      <c r="O128" s="167"/>
      <c r="P128" s="151"/>
      <c r="Q128" s="149"/>
      <c r="R128" s="167"/>
    </row>
    <row r="129" spans="1:18" s="298" customFormat="1" ht="27" customHeight="1">
      <c r="A129" s="118" t="s">
        <v>970</v>
      </c>
      <c r="B129" s="86" t="s">
        <v>349</v>
      </c>
      <c r="C129" s="138"/>
      <c r="D129" s="89">
        <f>G129</f>
        <v>1000</v>
      </c>
      <c r="E129" s="89"/>
      <c r="F129" s="296"/>
      <c r="G129" s="125">
        <v>1000</v>
      </c>
      <c r="H129" s="121"/>
      <c r="I129" s="296"/>
      <c r="J129" s="125"/>
      <c r="K129" s="121"/>
      <c r="L129" s="297"/>
      <c r="M129" s="125"/>
      <c r="N129" s="121"/>
      <c r="O129" s="296"/>
      <c r="P129" s="125"/>
      <c r="Q129" s="121"/>
      <c r="R129" s="296"/>
    </row>
    <row r="130" spans="1:18" s="298" customFormat="1" ht="36.75" customHeight="1">
      <c r="A130" s="118" t="s">
        <v>912</v>
      </c>
      <c r="B130" s="86" t="s">
        <v>919</v>
      </c>
      <c r="C130" s="138"/>
      <c r="D130" s="89">
        <f>G130</f>
        <v>4000</v>
      </c>
      <c r="E130" s="89"/>
      <c r="F130" s="296"/>
      <c r="G130" s="125">
        <v>4000</v>
      </c>
      <c r="H130" s="121"/>
      <c r="I130" s="296"/>
      <c r="J130" s="125"/>
      <c r="K130" s="121"/>
      <c r="L130" s="297"/>
      <c r="M130" s="125">
        <v>1000</v>
      </c>
      <c r="N130" s="121"/>
      <c r="O130" s="296"/>
      <c r="P130" s="125"/>
      <c r="Q130" s="121"/>
      <c r="R130" s="296"/>
    </row>
    <row r="131" spans="1:18" s="298" customFormat="1" ht="18" customHeight="1">
      <c r="A131" s="118" t="s">
        <v>929</v>
      </c>
      <c r="B131" s="86" t="s">
        <v>1072</v>
      </c>
      <c r="C131" s="138"/>
      <c r="D131" s="89">
        <f>G131</f>
        <v>1518327</v>
      </c>
      <c r="E131" s="89">
        <f>H131+N131</f>
        <v>1265661</v>
      </c>
      <c r="F131" s="296">
        <f>E131/D131*100</f>
        <v>83.35892070680427</v>
      </c>
      <c r="G131" s="125">
        <v>1518327</v>
      </c>
      <c r="H131" s="121">
        <v>1234131</v>
      </c>
      <c r="I131" s="296">
        <f>H131/G131*100</f>
        <v>81.28229294480043</v>
      </c>
      <c r="J131" s="125"/>
      <c r="K131" s="121"/>
      <c r="L131" s="297"/>
      <c r="M131" s="125">
        <v>87915</v>
      </c>
      <c r="N131" s="121">
        <v>31530</v>
      </c>
      <c r="O131" s="296">
        <f>N131/M131*100</f>
        <v>35.864186998805664</v>
      </c>
      <c r="P131" s="125"/>
      <c r="Q131" s="121"/>
      <c r="R131" s="296"/>
    </row>
    <row r="132" spans="1:18" s="298" customFormat="1" ht="29.25" customHeight="1">
      <c r="A132" s="118" t="s">
        <v>1012</v>
      </c>
      <c r="B132" s="86" t="s">
        <v>1013</v>
      </c>
      <c r="C132" s="138"/>
      <c r="D132" s="89"/>
      <c r="E132" s="89"/>
      <c r="F132" s="296"/>
      <c r="G132" s="125"/>
      <c r="H132" s="121">
        <v>4394</v>
      </c>
      <c r="I132" s="296"/>
      <c r="J132" s="125"/>
      <c r="K132" s="121"/>
      <c r="L132" s="297"/>
      <c r="M132" s="125"/>
      <c r="N132" s="121"/>
      <c r="O132" s="296"/>
      <c r="P132" s="125"/>
      <c r="Q132" s="121"/>
      <c r="R132" s="296"/>
    </row>
    <row r="133" spans="1:18" ht="36">
      <c r="A133" s="128" t="s">
        <v>1014</v>
      </c>
      <c r="B133" s="129" t="s">
        <v>1015</v>
      </c>
      <c r="C133" s="294">
        <f>SUM(C134:C135)</f>
        <v>76299132</v>
      </c>
      <c r="D133" s="134">
        <f>SUM(D134:D135)</f>
        <v>76299132</v>
      </c>
      <c r="E133" s="134">
        <f>SUM(E134:E135)</f>
        <v>14889336</v>
      </c>
      <c r="F133" s="132">
        <f t="shared" si="7"/>
        <v>19.514423833812423</v>
      </c>
      <c r="G133" s="133">
        <f>G134+G135</f>
        <v>76299132</v>
      </c>
      <c r="H133" s="134">
        <f>SUM(H134:H135)</f>
        <v>14889336</v>
      </c>
      <c r="I133" s="132">
        <f t="shared" si="9"/>
        <v>19.514423833812423</v>
      </c>
      <c r="J133" s="133"/>
      <c r="K133" s="134"/>
      <c r="L133" s="137"/>
      <c r="M133" s="133"/>
      <c r="N133" s="134"/>
      <c r="O133" s="132"/>
      <c r="P133" s="133"/>
      <c r="Q133" s="134"/>
      <c r="R133" s="132"/>
    </row>
    <row r="134" spans="1:18" s="139" customFormat="1" ht="24">
      <c r="A134" s="175" t="s">
        <v>1016</v>
      </c>
      <c r="B134" s="176" t="s">
        <v>1017</v>
      </c>
      <c r="C134" s="177">
        <v>71699132</v>
      </c>
      <c r="D134" s="178">
        <f>G134+J134+M134+P134</f>
        <v>71699132</v>
      </c>
      <c r="E134" s="178">
        <f>H134+K134+N134+Q134</f>
        <v>13515391</v>
      </c>
      <c r="F134" s="179">
        <f t="shared" si="7"/>
        <v>18.85014591250561</v>
      </c>
      <c r="G134" s="269">
        <v>71699132</v>
      </c>
      <c r="H134" s="181">
        <v>13515391</v>
      </c>
      <c r="I134" s="179">
        <f t="shared" si="9"/>
        <v>18.85014591250561</v>
      </c>
      <c r="J134" s="180"/>
      <c r="K134" s="181"/>
      <c r="L134" s="183"/>
      <c r="M134" s="180"/>
      <c r="N134" s="181"/>
      <c r="O134" s="179"/>
      <c r="P134" s="180"/>
      <c r="Q134" s="181"/>
      <c r="R134" s="179"/>
    </row>
    <row r="135" spans="1:18" ht="24">
      <c r="A135" s="220" t="s">
        <v>1018</v>
      </c>
      <c r="B135" s="251" t="s">
        <v>1019</v>
      </c>
      <c r="C135" s="222">
        <v>4600000</v>
      </c>
      <c r="D135" s="223">
        <f>G135+J135+M135+P135</f>
        <v>4600000</v>
      </c>
      <c r="E135" s="223">
        <f>H135+K135+N135+Q135</f>
        <v>1373945</v>
      </c>
      <c r="F135" s="224">
        <f t="shared" si="7"/>
        <v>29.86836956521739</v>
      </c>
      <c r="G135" s="236">
        <v>4600000</v>
      </c>
      <c r="H135" s="226">
        <v>1373945</v>
      </c>
      <c r="I135" s="224">
        <f t="shared" si="9"/>
        <v>29.86836956521739</v>
      </c>
      <c r="J135" s="225"/>
      <c r="K135" s="226"/>
      <c r="L135" s="293"/>
      <c r="M135" s="225"/>
      <c r="N135" s="226"/>
      <c r="O135" s="224"/>
      <c r="P135" s="225"/>
      <c r="Q135" s="226"/>
      <c r="R135" s="224"/>
    </row>
    <row r="136" spans="1:18" ht="36">
      <c r="A136" s="128" t="s">
        <v>1020</v>
      </c>
      <c r="B136" s="129" t="s">
        <v>1021</v>
      </c>
      <c r="C136" s="294">
        <f>SUM(C137:C138)</f>
        <v>20494860</v>
      </c>
      <c r="D136" s="134">
        <f>SUM(D137:D138)</f>
        <v>20494860</v>
      </c>
      <c r="E136" s="134">
        <f>SUM(E137:E138)</f>
        <v>4039012</v>
      </c>
      <c r="F136" s="132">
        <f t="shared" si="7"/>
        <v>19.707438840763</v>
      </c>
      <c r="G136" s="133"/>
      <c r="H136" s="134"/>
      <c r="I136" s="185"/>
      <c r="J136" s="133"/>
      <c r="K136" s="134"/>
      <c r="L136" s="137"/>
      <c r="M136" s="133">
        <f>M137+M138</f>
        <v>20494860</v>
      </c>
      <c r="N136" s="134">
        <f>SUM(N137:N138)</f>
        <v>4039012</v>
      </c>
      <c r="O136" s="132">
        <f aca="true" t="shared" si="14" ref="O136:O145">N136/M136*100</f>
        <v>19.707438840763</v>
      </c>
      <c r="P136" s="133"/>
      <c r="Q136" s="134"/>
      <c r="R136" s="132"/>
    </row>
    <row r="137" spans="1:18" s="139" customFormat="1" ht="24">
      <c r="A137" s="299" t="s">
        <v>1016</v>
      </c>
      <c r="B137" s="176" t="s">
        <v>1022</v>
      </c>
      <c r="C137" s="177">
        <v>19894860</v>
      </c>
      <c r="D137" s="178">
        <f aca="true" t="shared" si="15" ref="D137:E140">G137+J137+M137+P137</f>
        <v>19894860</v>
      </c>
      <c r="E137" s="178">
        <f t="shared" si="15"/>
        <v>3752092</v>
      </c>
      <c r="F137" s="179">
        <f t="shared" si="7"/>
        <v>18.85960494318633</v>
      </c>
      <c r="G137" s="180"/>
      <c r="H137" s="181"/>
      <c r="I137" s="179"/>
      <c r="J137" s="180"/>
      <c r="K137" s="181"/>
      <c r="L137" s="183"/>
      <c r="M137" s="180">
        <v>19894860</v>
      </c>
      <c r="N137" s="181">
        <v>3752092</v>
      </c>
      <c r="O137" s="179">
        <f t="shared" si="14"/>
        <v>18.85960494318633</v>
      </c>
      <c r="P137" s="180"/>
      <c r="Q137" s="181"/>
      <c r="R137" s="179"/>
    </row>
    <row r="138" spans="1:18" ht="24">
      <c r="A138" s="220" t="s">
        <v>1018</v>
      </c>
      <c r="B138" s="251" t="s">
        <v>1019</v>
      </c>
      <c r="C138" s="222">
        <v>600000</v>
      </c>
      <c r="D138" s="223">
        <f t="shared" si="15"/>
        <v>600000</v>
      </c>
      <c r="E138" s="223">
        <f t="shared" si="15"/>
        <v>286920</v>
      </c>
      <c r="F138" s="224">
        <f t="shared" si="7"/>
        <v>47.82</v>
      </c>
      <c r="G138" s="225"/>
      <c r="H138" s="226"/>
      <c r="I138" s="224"/>
      <c r="J138" s="225"/>
      <c r="K138" s="226"/>
      <c r="L138" s="293"/>
      <c r="M138" s="225">
        <v>600000</v>
      </c>
      <c r="N138" s="226">
        <v>286920</v>
      </c>
      <c r="O138" s="224">
        <f t="shared" si="14"/>
        <v>47.82</v>
      </c>
      <c r="P138" s="225"/>
      <c r="Q138" s="226"/>
      <c r="R138" s="224"/>
    </row>
    <row r="139" spans="1:18" s="248" customFormat="1" ht="15.75" customHeight="1">
      <c r="A139" s="128" t="s">
        <v>1023</v>
      </c>
      <c r="B139" s="129" t="s">
        <v>1024</v>
      </c>
      <c r="C139" s="130"/>
      <c r="D139" s="205">
        <f t="shared" si="15"/>
        <v>0</v>
      </c>
      <c r="E139" s="131">
        <f t="shared" si="15"/>
        <v>0</v>
      </c>
      <c r="F139" s="206" t="e">
        <f t="shared" si="7"/>
        <v>#DIV/0!</v>
      </c>
      <c r="G139" s="133">
        <f>G140</f>
        <v>0</v>
      </c>
      <c r="H139" s="134">
        <f>H140</f>
        <v>0</v>
      </c>
      <c r="I139" s="132" t="e">
        <f>H139/G139*100</f>
        <v>#DIV/0!</v>
      </c>
      <c r="J139" s="133"/>
      <c r="K139" s="134"/>
      <c r="L139" s="137"/>
      <c r="M139" s="133"/>
      <c r="N139" s="134"/>
      <c r="O139" s="132"/>
      <c r="P139" s="133"/>
      <c r="Q139" s="134"/>
      <c r="R139" s="132"/>
    </row>
    <row r="140" spans="1:18" ht="17.25" customHeight="1">
      <c r="A140" s="212" t="s">
        <v>1025</v>
      </c>
      <c r="B140" s="184" t="s">
        <v>1026</v>
      </c>
      <c r="C140" s="213"/>
      <c r="D140" s="214">
        <f>G140</f>
        <v>0</v>
      </c>
      <c r="E140" s="214">
        <f t="shared" si="15"/>
        <v>0</v>
      </c>
      <c r="F140" s="185" t="e">
        <f t="shared" si="7"/>
        <v>#DIV/0!</v>
      </c>
      <c r="G140" s="215"/>
      <c r="H140" s="216"/>
      <c r="I140" s="185"/>
      <c r="J140" s="215"/>
      <c r="K140" s="216"/>
      <c r="L140" s="300"/>
      <c r="M140" s="215"/>
      <c r="N140" s="216"/>
      <c r="O140" s="185"/>
      <c r="P140" s="215"/>
      <c r="Q140" s="216"/>
      <c r="R140" s="185"/>
    </row>
    <row r="141" spans="1:18" s="248" customFormat="1" ht="34.5" customHeight="1">
      <c r="A141" s="128" t="s">
        <v>1027</v>
      </c>
      <c r="B141" s="129" t="s">
        <v>1028</v>
      </c>
      <c r="C141" s="130">
        <f>SUM(C142:C142)</f>
        <v>130000</v>
      </c>
      <c r="D141" s="205">
        <f>G141+J141+M141+P141</f>
        <v>130000</v>
      </c>
      <c r="E141" s="131">
        <f>H141+K141+N141+Q141</f>
        <v>69987</v>
      </c>
      <c r="F141" s="206">
        <f t="shared" si="7"/>
        <v>53.83615384615384</v>
      </c>
      <c r="G141" s="133">
        <f>SUM(G142:G142)</f>
        <v>130000</v>
      </c>
      <c r="H141" s="134">
        <f>SUM(H142:H142)</f>
        <v>69987</v>
      </c>
      <c r="I141" s="132">
        <f>H141/G141*100</f>
        <v>53.83615384615384</v>
      </c>
      <c r="J141" s="133"/>
      <c r="K141" s="134"/>
      <c r="L141" s="137"/>
      <c r="M141" s="133"/>
      <c r="N141" s="134"/>
      <c r="O141" s="132"/>
      <c r="P141" s="133"/>
      <c r="Q141" s="134"/>
      <c r="R141" s="132"/>
    </row>
    <row r="142" spans="1:18" s="139" customFormat="1" ht="16.5" customHeight="1">
      <c r="A142" s="212" t="s">
        <v>929</v>
      </c>
      <c r="B142" s="184" t="s">
        <v>1029</v>
      </c>
      <c r="C142" s="213">
        <v>130000</v>
      </c>
      <c r="D142" s="214">
        <f>G142+J142+M142+P142</f>
        <v>130000</v>
      </c>
      <c r="E142" s="214">
        <f>H142+K142+N142+Q142</f>
        <v>69987</v>
      </c>
      <c r="F142" s="185">
        <f t="shared" si="7"/>
        <v>53.83615384615384</v>
      </c>
      <c r="G142" s="215">
        <v>130000</v>
      </c>
      <c r="H142" s="216">
        <v>69987</v>
      </c>
      <c r="I142" s="185">
        <f>H142/G142*100</f>
        <v>53.83615384615384</v>
      </c>
      <c r="J142" s="215"/>
      <c r="K142" s="216"/>
      <c r="L142" s="300"/>
      <c r="M142" s="215"/>
      <c r="N142" s="216"/>
      <c r="O142" s="300"/>
      <c r="P142" s="215"/>
      <c r="Q142" s="216"/>
      <c r="R142" s="300"/>
    </row>
    <row r="143" spans="1:18" ht="18.75" customHeight="1" thickBot="1">
      <c r="A143" s="270" t="s">
        <v>1030</v>
      </c>
      <c r="B143" s="271" t="s">
        <v>728</v>
      </c>
      <c r="C143" s="278">
        <f>C144+C146+C152+C154</f>
        <v>106735848</v>
      </c>
      <c r="D143" s="273">
        <f>G143+J143+M143+P143</f>
        <v>105192405</v>
      </c>
      <c r="E143" s="276">
        <f>E144+E146+E152+E154</f>
        <v>39793256</v>
      </c>
      <c r="F143" s="280">
        <f t="shared" si="7"/>
        <v>37.82902007041288</v>
      </c>
      <c r="G143" s="278">
        <f>G144+G146+G152</f>
        <v>43663743</v>
      </c>
      <c r="H143" s="276">
        <f>H144+H146+H152</f>
        <v>16959198</v>
      </c>
      <c r="I143" s="280">
        <f t="shared" si="9"/>
        <v>38.84045854703753</v>
      </c>
      <c r="J143" s="278"/>
      <c r="K143" s="276"/>
      <c r="L143" s="301"/>
      <c r="M143" s="302">
        <f>M144+M146+M152+M154</f>
        <v>61528662</v>
      </c>
      <c r="N143" s="276">
        <f>N144+N146+N152+N154</f>
        <v>22834058</v>
      </c>
      <c r="O143" s="280">
        <f t="shared" si="14"/>
        <v>37.11125393885536</v>
      </c>
      <c r="P143" s="278"/>
      <c r="Q143" s="276"/>
      <c r="R143" s="280"/>
    </row>
    <row r="144" spans="1:18" ht="35.25" customHeight="1" thickTop="1">
      <c r="A144" s="202" t="s">
        <v>1031</v>
      </c>
      <c r="B144" s="203" t="s">
        <v>1032</v>
      </c>
      <c r="C144" s="207">
        <f>SUM(C145)</f>
        <v>99102380</v>
      </c>
      <c r="D144" s="209">
        <f>SUM(D145)</f>
        <v>97556737</v>
      </c>
      <c r="E144" s="209">
        <f>SUM(E145)</f>
        <v>37521820</v>
      </c>
      <c r="F144" s="303">
        <f t="shared" si="7"/>
        <v>38.461536490298975</v>
      </c>
      <c r="G144" s="208">
        <f>G145</f>
        <v>42191829</v>
      </c>
      <c r="H144" s="209">
        <f>H145</f>
        <v>16227625</v>
      </c>
      <c r="I144" s="187">
        <f t="shared" si="9"/>
        <v>38.46153481518898</v>
      </c>
      <c r="J144" s="208"/>
      <c r="K144" s="209"/>
      <c r="L144" s="283"/>
      <c r="M144" s="208">
        <f>M145</f>
        <v>55364908</v>
      </c>
      <c r="N144" s="209">
        <f>N145</f>
        <v>21294195</v>
      </c>
      <c r="O144" s="206">
        <f t="shared" si="14"/>
        <v>38.461537766846824</v>
      </c>
      <c r="P144" s="208"/>
      <c r="Q144" s="209"/>
      <c r="R144" s="206"/>
    </row>
    <row r="145" spans="1:18" ht="26.25" customHeight="1">
      <c r="A145" s="212" t="s">
        <v>1033</v>
      </c>
      <c r="B145" s="184" t="s">
        <v>1034</v>
      </c>
      <c r="C145" s="213">
        <v>99102380</v>
      </c>
      <c r="D145" s="223">
        <f>G145+J145+M145+P145</f>
        <v>97556737</v>
      </c>
      <c r="E145" s="223">
        <f>H145+K145+N145+Q145</f>
        <v>37521820</v>
      </c>
      <c r="F145" s="185">
        <f t="shared" si="7"/>
        <v>38.461536490298975</v>
      </c>
      <c r="G145" s="215">
        <f>38839313+3352516</f>
        <v>42191829</v>
      </c>
      <c r="H145" s="216">
        <v>16227625</v>
      </c>
      <c r="I145" s="185">
        <f>H145/G145*100</f>
        <v>38.46153481518898</v>
      </c>
      <c r="J145" s="215"/>
      <c r="K145" s="216"/>
      <c r="L145" s="300"/>
      <c r="M145" s="215">
        <f>60263067-4898159</f>
        <v>55364908</v>
      </c>
      <c r="N145" s="216">
        <v>21294195</v>
      </c>
      <c r="O145" s="185">
        <f t="shared" si="14"/>
        <v>38.461537766846824</v>
      </c>
      <c r="P145" s="215"/>
      <c r="Q145" s="216"/>
      <c r="R145" s="185"/>
    </row>
    <row r="146" spans="1:18" ht="15" customHeight="1">
      <c r="A146" s="304" t="s">
        <v>1060</v>
      </c>
      <c r="B146" s="129" t="s">
        <v>1061</v>
      </c>
      <c r="C146" s="239">
        <f>SUM(C147:C149)</f>
        <v>1252535</v>
      </c>
      <c r="D146" s="131">
        <f>SUM(D147:D149)</f>
        <v>1254735</v>
      </c>
      <c r="E146" s="131">
        <f>SUM(E147:E149)</f>
        <v>676201</v>
      </c>
      <c r="F146" s="132">
        <f t="shared" si="7"/>
        <v>53.89193734135096</v>
      </c>
      <c r="G146" s="133">
        <f>SUM(G147:G149)</f>
        <v>1200835</v>
      </c>
      <c r="H146" s="134">
        <f>SUM(H147:H149)</f>
        <v>663803</v>
      </c>
      <c r="I146" s="132">
        <f t="shared" si="9"/>
        <v>55.278452077096354</v>
      </c>
      <c r="J146" s="215"/>
      <c r="K146" s="216"/>
      <c r="L146" s="300"/>
      <c r="M146" s="133">
        <f>SUM(M147:M149)</f>
        <v>53900</v>
      </c>
      <c r="N146" s="134">
        <f>SUM(N147:N149)</f>
        <v>12398</v>
      </c>
      <c r="O146" s="132">
        <f>N146/M146*100</f>
        <v>23.001855287569573</v>
      </c>
      <c r="P146" s="215"/>
      <c r="Q146" s="216"/>
      <c r="R146" s="185"/>
    </row>
    <row r="147" spans="1:18" s="139" customFormat="1" ht="27" customHeight="1">
      <c r="A147" s="118" t="s">
        <v>1012</v>
      </c>
      <c r="B147" s="86" t="s">
        <v>1013</v>
      </c>
      <c r="C147" s="138">
        <v>655000</v>
      </c>
      <c r="D147" s="89">
        <f aca="true" t="shared" si="16" ref="D147:E151">G147+J147+M147+P147</f>
        <v>655000</v>
      </c>
      <c r="E147" s="89">
        <f t="shared" si="16"/>
        <v>0</v>
      </c>
      <c r="F147" s="124">
        <f t="shared" si="7"/>
        <v>0</v>
      </c>
      <c r="G147" s="125">
        <v>655000</v>
      </c>
      <c r="H147" s="121"/>
      <c r="I147" s="124">
        <f>H147/G147*100</f>
        <v>0</v>
      </c>
      <c r="J147" s="125"/>
      <c r="K147" s="121"/>
      <c r="L147" s="127"/>
      <c r="M147" s="125"/>
      <c r="N147" s="121"/>
      <c r="O147" s="124"/>
      <c r="P147" s="125"/>
      <c r="Q147" s="121"/>
      <c r="R147" s="124"/>
    </row>
    <row r="148" spans="1:18" s="139" customFormat="1" ht="15.75" customHeight="1">
      <c r="A148" s="118" t="s">
        <v>947</v>
      </c>
      <c r="B148" s="86" t="s">
        <v>948</v>
      </c>
      <c r="C148" s="138">
        <v>431200</v>
      </c>
      <c r="D148" s="89">
        <f t="shared" si="16"/>
        <v>433200</v>
      </c>
      <c r="E148" s="89">
        <f t="shared" si="16"/>
        <v>141433</v>
      </c>
      <c r="F148" s="124">
        <f aca="true" t="shared" si="17" ref="F148:F197">E148/D148*100</f>
        <v>32.64843028624192</v>
      </c>
      <c r="G148" s="125">
        <v>387800</v>
      </c>
      <c r="H148" s="121">
        <v>131378</v>
      </c>
      <c r="I148" s="124">
        <f>H148/G148*100</f>
        <v>33.87777204744714</v>
      </c>
      <c r="J148" s="125"/>
      <c r="K148" s="121"/>
      <c r="L148" s="127"/>
      <c r="M148" s="125">
        <f>43400+2000</f>
        <v>45400</v>
      </c>
      <c r="N148" s="121">
        <v>10055</v>
      </c>
      <c r="O148" s="124">
        <f>N148/M148*100</f>
        <v>22.147577092511014</v>
      </c>
      <c r="P148" s="125"/>
      <c r="Q148" s="121"/>
      <c r="R148" s="124"/>
    </row>
    <row r="149" spans="1:18" s="139" customFormat="1" ht="14.25" customHeight="1">
      <c r="A149" s="118" t="s">
        <v>920</v>
      </c>
      <c r="B149" s="86" t="s">
        <v>915</v>
      </c>
      <c r="C149" s="138">
        <f>SUM(C150:C151)</f>
        <v>166335</v>
      </c>
      <c r="D149" s="89">
        <f t="shared" si="16"/>
        <v>166535</v>
      </c>
      <c r="E149" s="89">
        <f t="shared" si="16"/>
        <v>534768</v>
      </c>
      <c r="F149" s="124">
        <f t="shared" si="17"/>
        <v>321.11448043954726</v>
      </c>
      <c r="G149" s="125">
        <f>SUM(G150:G151)</f>
        <v>158035</v>
      </c>
      <c r="H149" s="121">
        <v>532425</v>
      </c>
      <c r="I149" s="218">
        <f>H149/G149*100</f>
        <v>336.9032176416617</v>
      </c>
      <c r="J149" s="125"/>
      <c r="K149" s="121"/>
      <c r="L149" s="127"/>
      <c r="M149" s="125">
        <f>M150</f>
        <v>8500</v>
      </c>
      <c r="N149" s="121">
        <f>N150</f>
        <v>2343</v>
      </c>
      <c r="O149" s="124">
        <f>N149/M149*100</f>
        <v>27.564705882352943</v>
      </c>
      <c r="P149" s="125"/>
      <c r="Q149" s="121"/>
      <c r="R149" s="124"/>
    </row>
    <row r="150" spans="1:18" s="152" customFormat="1" ht="16.5" customHeight="1">
      <c r="A150" s="140"/>
      <c r="B150" s="295" t="s">
        <v>350</v>
      </c>
      <c r="C150" s="199">
        <v>19100</v>
      </c>
      <c r="D150" s="200">
        <f t="shared" si="16"/>
        <v>19300</v>
      </c>
      <c r="E150" s="200">
        <f t="shared" si="16"/>
        <v>5833</v>
      </c>
      <c r="F150" s="167">
        <f t="shared" si="17"/>
        <v>30.222797927461144</v>
      </c>
      <c r="G150" s="151">
        <v>10800</v>
      </c>
      <c r="H150" s="149">
        <f>H149-H151</f>
        <v>3490</v>
      </c>
      <c r="I150" s="167">
        <f>H150/G150*100</f>
        <v>32.31481481481481</v>
      </c>
      <c r="J150" s="151"/>
      <c r="K150" s="149"/>
      <c r="L150" s="150"/>
      <c r="M150" s="151">
        <f>8300+200</f>
        <v>8500</v>
      </c>
      <c r="N150" s="149">
        <v>2343</v>
      </c>
      <c r="O150" s="167">
        <f>N150/M150*100</f>
        <v>27.564705882352943</v>
      </c>
      <c r="P150" s="151"/>
      <c r="Q150" s="149"/>
      <c r="R150" s="167"/>
    </row>
    <row r="151" spans="1:18" s="152" customFormat="1" ht="15" customHeight="1">
      <c r="A151" s="305"/>
      <c r="B151" s="295" t="s">
        <v>351</v>
      </c>
      <c r="C151" s="199">
        <v>147235</v>
      </c>
      <c r="D151" s="200">
        <f t="shared" si="16"/>
        <v>147235</v>
      </c>
      <c r="E151" s="200">
        <f t="shared" si="16"/>
        <v>528935</v>
      </c>
      <c r="F151" s="167">
        <f>E151/D151*100</f>
        <v>359.2454239820695</v>
      </c>
      <c r="G151" s="151">
        <v>147235</v>
      </c>
      <c r="H151" s="149">
        <v>528935</v>
      </c>
      <c r="I151" s="167">
        <f>H151/G151*100</f>
        <v>359.2454239820695</v>
      </c>
      <c r="J151" s="151"/>
      <c r="K151" s="149"/>
      <c r="L151" s="150"/>
      <c r="M151" s="151"/>
      <c r="N151" s="149"/>
      <c r="O151" s="167"/>
      <c r="P151" s="151"/>
      <c r="Q151" s="149"/>
      <c r="R151" s="167"/>
    </row>
    <row r="152" spans="1:18" ht="23.25" customHeight="1">
      <c r="A152" s="128" t="s">
        <v>1062</v>
      </c>
      <c r="B152" s="129" t="s">
        <v>1063</v>
      </c>
      <c r="C152" s="130">
        <f>SUM(C153)</f>
        <v>271079</v>
      </c>
      <c r="D152" s="131">
        <f>D153</f>
        <v>271079</v>
      </c>
      <c r="E152" s="131">
        <f>E153</f>
        <v>67770</v>
      </c>
      <c r="F152" s="132">
        <f t="shared" si="17"/>
        <v>25.000092224038013</v>
      </c>
      <c r="G152" s="133">
        <f>G153</f>
        <v>271079</v>
      </c>
      <c r="H152" s="134">
        <f>H153</f>
        <v>67770</v>
      </c>
      <c r="I152" s="132">
        <f t="shared" si="9"/>
        <v>25.000092224038013</v>
      </c>
      <c r="J152" s="215"/>
      <c r="K152" s="216"/>
      <c r="L152" s="300"/>
      <c r="M152" s="133"/>
      <c r="N152" s="134"/>
      <c r="O152" s="185"/>
      <c r="P152" s="133"/>
      <c r="Q152" s="134"/>
      <c r="R152" s="185"/>
    </row>
    <row r="153" spans="1:18" ht="24">
      <c r="A153" s="212" t="s">
        <v>1033</v>
      </c>
      <c r="B153" s="184" t="s">
        <v>1034</v>
      </c>
      <c r="C153" s="213">
        <v>271079</v>
      </c>
      <c r="D153" s="223">
        <f>G153+J153+M153+P153</f>
        <v>271079</v>
      </c>
      <c r="E153" s="223">
        <f>H153+K153+N153+Q153</f>
        <v>67770</v>
      </c>
      <c r="F153" s="185">
        <f t="shared" si="17"/>
        <v>25.000092224038013</v>
      </c>
      <c r="G153" s="215">
        <v>271079</v>
      </c>
      <c r="H153" s="216">
        <v>67770</v>
      </c>
      <c r="I153" s="185">
        <f t="shared" si="9"/>
        <v>25.000092224038013</v>
      </c>
      <c r="J153" s="215"/>
      <c r="K153" s="216"/>
      <c r="L153" s="300"/>
      <c r="M153" s="215"/>
      <c r="N153" s="216"/>
      <c r="O153" s="124"/>
      <c r="P153" s="215"/>
      <c r="Q153" s="216"/>
      <c r="R153" s="185"/>
    </row>
    <row r="154" spans="1:18" ht="27" customHeight="1">
      <c r="A154" s="128" t="s">
        <v>1064</v>
      </c>
      <c r="B154" s="129" t="s">
        <v>1065</v>
      </c>
      <c r="C154" s="130">
        <f>C155</f>
        <v>6109854</v>
      </c>
      <c r="D154" s="131">
        <f>D155</f>
        <v>6109854</v>
      </c>
      <c r="E154" s="131">
        <f>E155</f>
        <v>1527465</v>
      </c>
      <c r="F154" s="132">
        <f t="shared" si="17"/>
        <v>25.000024550504808</v>
      </c>
      <c r="G154" s="133"/>
      <c r="H154" s="134"/>
      <c r="I154" s="185"/>
      <c r="J154" s="133"/>
      <c r="K154" s="134"/>
      <c r="L154" s="137"/>
      <c r="M154" s="133">
        <f>M155</f>
        <v>6109854</v>
      </c>
      <c r="N154" s="134">
        <f>N155</f>
        <v>1527465</v>
      </c>
      <c r="O154" s="132">
        <f>N154/M154*100</f>
        <v>25.000024550504808</v>
      </c>
      <c r="P154" s="133"/>
      <c r="Q154" s="134"/>
      <c r="R154" s="132"/>
    </row>
    <row r="155" spans="1:18" ht="24" customHeight="1" thickBot="1">
      <c r="A155" s="175" t="s">
        <v>1033</v>
      </c>
      <c r="B155" s="176" t="s">
        <v>1034</v>
      </c>
      <c r="C155" s="177">
        <v>6109854</v>
      </c>
      <c r="D155" s="178">
        <f>G155+J155+M155+P155</f>
        <v>6109854</v>
      </c>
      <c r="E155" s="178">
        <f>H155+K155+N155+Q155</f>
        <v>1527465</v>
      </c>
      <c r="F155" s="179">
        <f t="shared" si="17"/>
        <v>25.000024550504808</v>
      </c>
      <c r="G155" s="306"/>
      <c r="H155" s="307"/>
      <c r="I155" s="179"/>
      <c r="J155" s="306"/>
      <c r="K155" s="307"/>
      <c r="L155" s="308"/>
      <c r="M155" s="180">
        <v>6109854</v>
      </c>
      <c r="N155" s="181">
        <v>1527465</v>
      </c>
      <c r="O155" s="179">
        <f>N155/M155*100</f>
        <v>25.000024550504808</v>
      </c>
      <c r="P155" s="306"/>
      <c r="Q155" s="307"/>
      <c r="R155" s="309"/>
    </row>
    <row r="156" spans="1:18" ht="18" customHeight="1" thickBot="1" thickTop="1">
      <c r="A156" s="97" t="s">
        <v>1066</v>
      </c>
      <c r="B156" s="201" t="s">
        <v>733</v>
      </c>
      <c r="C156" s="100">
        <f>C157+C165+C170+C172+C177+C179+C186+C192+C197</f>
        <v>9961156</v>
      </c>
      <c r="D156" s="100">
        <f>D157+D165+D170+D172+D177+D179+D186+D192+D197</f>
        <v>10126858</v>
      </c>
      <c r="E156" s="100">
        <f>E157+E165+E170+E172+E177+E179+E186+E192+E197</f>
        <v>503186</v>
      </c>
      <c r="F156" s="103">
        <f t="shared" si="17"/>
        <v>4.9688264612775255</v>
      </c>
      <c r="G156" s="100">
        <f>G157+G165+G170+G172+G177+G179+G186+G192+G192+G197</f>
        <v>7197044</v>
      </c>
      <c r="H156" s="100">
        <f>H157+H165+H170+H172+H177+H179+H186+H192+H197</f>
        <v>321587</v>
      </c>
      <c r="I156" s="103">
        <f t="shared" si="9"/>
        <v>4.46832060495948</v>
      </c>
      <c r="J156" s="104">
        <f>J197</f>
        <v>0</v>
      </c>
      <c r="K156" s="101">
        <f>K197</f>
        <v>0</v>
      </c>
      <c r="L156" s="103" t="e">
        <f>K156/J156*100</f>
        <v>#DIV/0!</v>
      </c>
      <c r="M156" s="104">
        <f>M165+M179+M186+M192+M197</f>
        <v>2929814</v>
      </c>
      <c r="N156" s="101">
        <f>N165+N179+N186+N192+N197</f>
        <v>181599</v>
      </c>
      <c r="O156" s="103">
        <f>N156/M156*100</f>
        <v>6.198311565171031</v>
      </c>
      <c r="P156" s="104"/>
      <c r="Q156" s="101"/>
      <c r="R156" s="106"/>
    </row>
    <row r="157" spans="1:18" ht="18.75" customHeight="1" thickTop="1">
      <c r="A157" s="202" t="s">
        <v>1067</v>
      </c>
      <c r="B157" s="203" t="s">
        <v>734</v>
      </c>
      <c r="C157" s="207">
        <f>SUM(C158:C163)</f>
        <v>442600</v>
      </c>
      <c r="D157" s="209">
        <f>SUM(D158:D164)</f>
        <v>559802</v>
      </c>
      <c r="E157" s="209">
        <f>SUM(E158:E164)</f>
        <v>175587</v>
      </c>
      <c r="F157" s="206">
        <f t="shared" si="17"/>
        <v>31.365911518715546</v>
      </c>
      <c r="G157" s="208">
        <f>SUM(G158:G164)</f>
        <v>559802</v>
      </c>
      <c r="H157" s="209">
        <f>SUM(H158:H164)</f>
        <v>175587</v>
      </c>
      <c r="I157" s="206">
        <f t="shared" si="9"/>
        <v>31.365911518715546</v>
      </c>
      <c r="J157" s="208"/>
      <c r="K157" s="209"/>
      <c r="L157" s="206"/>
      <c r="M157" s="208"/>
      <c r="N157" s="209"/>
      <c r="O157" s="283"/>
      <c r="P157" s="208"/>
      <c r="Q157" s="209"/>
      <c r="R157" s="283"/>
    </row>
    <row r="158" spans="1:18" s="139" customFormat="1" ht="24" customHeight="1">
      <c r="A158" s="175" t="s">
        <v>929</v>
      </c>
      <c r="B158" s="176" t="s">
        <v>352</v>
      </c>
      <c r="C158" s="177">
        <v>4400</v>
      </c>
      <c r="D158" s="178">
        <f aca="true" t="shared" si="18" ref="D158:E164">G158+J158+M158+P158</f>
        <v>4400</v>
      </c>
      <c r="E158" s="178">
        <f t="shared" si="18"/>
        <v>662</v>
      </c>
      <c r="F158" s="179">
        <f t="shared" si="17"/>
        <v>15.045454545454545</v>
      </c>
      <c r="G158" s="180">
        <v>4400</v>
      </c>
      <c r="H158" s="181">
        <v>662</v>
      </c>
      <c r="I158" s="179">
        <f t="shared" si="9"/>
        <v>15.045454545454545</v>
      </c>
      <c r="J158" s="180"/>
      <c r="K158" s="181"/>
      <c r="L158" s="183"/>
      <c r="M158" s="180"/>
      <c r="N158" s="181"/>
      <c r="O158" s="183"/>
      <c r="P158" s="180"/>
      <c r="Q158" s="181"/>
      <c r="R158" s="183"/>
    </row>
    <row r="159" spans="1:18" s="139" customFormat="1" ht="63.75" customHeight="1">
      <c r="A159" s="118" t="s">
        <v>930</v>
      </c>
      <c r="B159" s="86" t="s">
        <v>931</v>
      </c>
      <c r="C159" s="138">
        <v>411000</v>
      </c>
      <c r="D159" s="89">
        <f t="shared" si="18"/>
        <v>411000</v>
      </c>
      <c r="E159" s="89">
        <f t="shared" si="18"/>
        <v>159645</v>
      </c>
      <c r="F159" s="124">
        <f t="shared" si="17"/>
        <v>38.84306569343066</v>
      </c>
      <c r="G159" s="125">
        <v>411000</v>
      </c>
      <c r="H159" s="121">
        <v>159645</v>
      </c>
      <c r="I159" s="124">
        <f aca="true" t="shared" si="19" ref="I159:I176">H159/G159*100</f>
        <v>38.84306569343066</v>
      </c>
      <c r="J159" s="125"/>
      <c r="K159" s="121"/>
      <c r="L159" s="127"/>
      <c r="M159" s="125"/>
      <c r="N159" s="121"/>
      <c r="O159" s="127"/>
      <c r="P159" s="125"/>
      <c r="Q159" s="121"/>
      <c r="R159" s="127"/>
    </row>
    <row r="160" spans="1:18" s="139" customFormat="1" ht="14.25" customHeight="1">
      <c r="A160" s="220" t="s">
        <v>1068</v>
      </c>
      <c r="B160" s="251" t="s">
        <v>1069</v>
      </c>
      <c r="C160" s="222">
        <v>23800</v>
      </c>
      <c r="D160" s="223">
        <f t="shared" si="18"/>
        <v>23800</v>
      </c>
      <c r="E160" s="223">
        <f t="shared" si="18"/>
        <v>13466</v>
      </c>
      <c r="F160" s="224">
        <f t="shared" si="17"/>
        <v>56.579831932773104</v>
      </c>
      <c r="G160" s="225">
        <v>23800</v>
      </c>
      <c r="H160" s="226">
        <v>13466</v>
      </c>
      <c r="I160" s="224">
        <f t="shared" si="19"/>
        <v>56.579831932773104</v>
      </c>
      <c r="J160" s="225"/>
      <c r="K160" s="226"/>
      <c r="L160" s="293"/>
      <c r="M160" s="225"/>
      <c r="N160" s="226"/>
      <c r="O160" s="293"/>
      <c r="P160" s="225"/>
      <c r="Q160" s="226"/>
      <c r="R160" s="293"/>
    </row>
    <row r="161" spans="1:18" s="139" customFormat="1" ht="24.75" customHeight="1">
      <c r="A161" s="118" t="s">
        <v>914</v>
      </c>
      <c r="B161" s="119" t="s">
        <v>964</v>
      </c>
      <c r="C161" s="138"/>
      <c r="D161" s="89">
        <f>G161</f>
        <v>0</v>
      </c>
      <c r="E161" s="89">
        <f>H161</f>
        <v>0</v>
      </c>
      <c r="F161" s="124" t="e">
        <f t="shared" si="17"/>
        <v>#DIV/0!</v>
      </c>
      <c r="G161" s="125"/>
      <c r="H161" s="121"/>
      <c r="I161" s="124" t="e">
        <f t="shared" si="19"/>
        <v>#DIV/0!</v>
      </c>
      <c r="J161" s="125"/>
      <c r="K161" s="121"/>
      <c r="L161" s="127"/>
      <c r="M161" s="125"/>
      <c r="N161" s="121"/>
      <c r="O161" s="127"/>
      <c r="P161" s="125"/>
      <c r="Q161" s="121"/>
      <c r="R161" s="127"/>
    </row>
    <row r="162" spans="1:18" s="139" customFormat="1" ht="17.25" customHeight="1">
      <c r="A162" s="118" t="s">
        <v>947</v>
      </c>
      <c r="B162" s="119" t="s">
        <v>223</v>
      </c>
      <c r="C162" s="138">
        <v>1200</v>
      </c>
      <c r="D162" s="89">
        <f t="shared" si="18"/>
        <v>1200</v>
      </c>
      <c r="E162" s="89">
        <f t="shared" si="18"/>
        <v>249</v>
      </c>
      <c r="F162" s="124">
        <f t="shared" si="17"/>
        <v>20.75</v>
      </c>
      <c r="G162" s="125">
        <v>1200</v>
      </c>
      <c r="H162" s="121">
        <v>249</v>
      </c>
      <c r="I162" s="124">
        <f t="shared" si="19"/>
        <v>20.75</v>
      </c>
      <c r="J162" s="125"/>
      <c r="K162" s="121"/>
      <c r="L162" s="127"/>
      <c r="M162" s="125"/>
      <c r="N162" s="121"/>
      <c r="O162" s="127"/>
      <c r="P162" s="125"/>
      <c r="Q162" s="121"/>
      <c r="R162" s="127"/>
    </row>
    <row r="163" spans="1:18" s="139" customFormat="1" ht="15" customHeight="1">
      <c r="A163" s="118" t="s">
        <v>920</v>
      </c>
      <c r="B163" s="86" t="s">
        <v>940</v>
      </c>
      <c r="C163" s="138">
        <v>2200</v>
      </c>
      <c r="D163" s="89">
        <f t="shared" si="18"/>
        <v>2200</v>
      </c>
      <c r="E163" s="89">
        <f t="shared" si="18"/>
        <v>1565</v>
      </c>
      <c r="F163" s="124">
        <f t="shared" si="17"/>
        <v>71.13636363636363</v>
      </c>
      <c r="G163" s="125">
        <v>2200</v>
      </c>
      <c r="H163" s="121">
        <v>1565</v>
      </c>
      <c r="I163" s="124">
        <f t="shared" si="19"/>
        <v>71.13636363636363</v>
      </c>
      <c r="J163" s="125"/>
      <c r="K163" s="121"/>
      <c r="L163" s="127"/>
      <c r="M163" s="125"/>
      <c r="N163" s="121"/>
      <c r="O163" s="127"/>
      <c r="P163" s="125"/>
      <c r="Q163" s="121"/>
      <c r="R163" s="127"/>
    </row>
    <row r="164" spans="1:18" s="139" customFormat="1" ht="40.5" customHeight="1">
      <c r="A164" s="310" t="s">
        <v>1070</v>
      </c>
      <c r="B164" s="251" t="s">
        <v>73</v>
      </c>
      <c r="C164" s="138"/>
      <c r="D164" s="89">
        <f t="shared" si="18"/>
        <v>117202</v>
      </c>
      <c r="E164" s="89"/>
      <c r="F164" s="124"/>
      <c r="G164" s="125">
        <v>117202</v>
      </c>
      <c r="H164" s="121"/>
      <c r="I164" s="124"/>
      <c r="J164" s="125"/>
      <c r="K164" s="121"/>
      <c r="L164" s="127"/>
      <c r="M164" s="125"/>
      <c r="N164" s="121"/>
      <c r="O164" s="127"/>
      <c r="P164" s="125"/>
      <c r="Q164" s="121"/>
      <c r="R164" s="127"/>
    </row>
    <row r="165" spans="1:18" ht="18.75" customHeight="1">
      <c r="A165" s="128" t="s">
        <v>1071</v>
      </c>
      <c r="B165" s="129" t="s">
        <v>739</v>
      </c>
      <c r="C165" s="136">
        <f>SUM(C166:C169)</f>
        <v>8800</v>
      </c>
      <c r="D165" s="131">
        <f>SUM(D166:D169)</f>
        <v>8800</v>
      </c>
      <c r="E165" s="131">
        <f>SUM(E166:E169)</f>
        <v>1431</v>
      </c>
      <c r="F165" s="132">
        <f t="shared" si="17"/>
        <v>16.261363636363637</v>
      </c>
      <c r="G165" s="133"/>
      <c r="H165" s="134"/>
      <c r="I165" s="185"/>
      <c r="J165" s="215"/>
      <c r="K165" s="216"/>
      <c r="L165" s="300"/>
      <c r="M165" s="136">
        <f>SUM(M166:M169)</f>
        <v>8800</v>
      </c>
      <c r="N165" s="131">
        <f>SUM(N166:N169)</f>
        <v>1431</v>
      </c>
      <c r="O165" s="132">
        <f>N165/M165*100</f>
        <v>16.261363636363637</v>
      </c>
      <c r="P165" s="133"/>
      <c r="Q165" s="134"/>
      <c r="R165" s="300"/>
    </row>
    <row r="166" spans="1:18" s="139" customFormat="1" ht="15" customHeight="1">
      <c r="A166" s="175" t="s">
        <v>929</v>
      </c>
      <c r="B166" s="176" t="s">
        <v>1072</v>
      </c>
      <c r="C166" s="177">
        <v>100</v>
      </c>
      <c r="D166" s="178">
        <f aca="true" t="shared" si="20" ref="D166:E169">G166+J166+M166+P166</f>
        <v>100</v>
      </c>
      <c r="E166" s="178">
        <f t="shared" si="20"/>
        <v>53</v>
      </c>
      <c r="F166" s="179">
        <f t="shared" si="17"/>
        <v>53</v>
      </c>
      <c r="G166" s="180"/>
      <c r="H166" s="181"/>
      <c r="I166" s="179"/>
      <c r="J166" s="180"/>
      <c r="K166" s="181"/>
      <c r="L166" s="183"/>
      <c r="M166" s="180">
        <v>100</v>
      </c>
      <c r="N166" s="181">
        <v>53</v>
      </c>
      <c r="O166" s="179">
        <f>N166/M166*100</f>
        <v>53</v>
      </c>
      <c r="P166" s="180"/>
      <c r="Q166" s="181"/>
      <c r="R166" s="183"/>
    </row>
    <row r="167" spans="1:18" s="139" customFormat="1" ht="60" customHeight="1">
      <c r="A167" s="118" t="s">
        <v>930</v>
      </c>
      <c r="B167" s="86" t="s">
        <v>931</v>
      </c>
      <c r="C167" s="138">
        <v>8700</v>
      </c>
      <c r="D167" s="89">
        <f t="shared" si="20"/>
        <v>8700</v>
      </c>
      <c r="E167" s="89">
        <f t="shared" si="20"/>
        <v>1059</v>
      </c>
      <c r="F167" s="124">
        <f t="shared" si="17"/>
        <v>12.172413793103448</v>
      </c>
      <c r="G167" s="125"/>
      <c r="H167" s="121"/>
      <c r="I167" s="124"/>
      <c r="J167" s="125"/>
      <c r="K167" s="121"/>
      <c r="L167" s="127"/>
      <c r="M167" s="125">
        <v>8700</v>
      </c>
      <c r="N167" s="121">
        <v>1059</v>
      </c>
      <c r="O167" s="124">
        <f>N167/M167*100</f>
        <v>12.172413793103448</v>
      </c>
      <c r="P167" s="125"/>
      <c r="Q167" s="121"/>
      <c r="R167" s="127"/>
    </row>
    <row r="168" spans="1:18" ht="14.25" customHeight="1">
      <c r="A168" s="118" t="s">
        <v>1068</v>
      </c>
      <c r="B168" s="86" t="s">
        <v>1069</v>
      </c>
      <c r="C168" s="138"/>
      <c r="D168" s="89">
        <f>G168+J168+M168+P168</f>
        <v>0</v>
      </c>
      <c r="E168" s="89">
        <f>H168+K168+N168+Q168</f>
        <v>319</v>
      </c>
      <c r="F168" s="124" t="e">
        <f t="shared" si="17"/>
        <v>#DIV/0!</v>
      </c>
      <c r="G168" s="125"/>
      <c r="H168" s="121"/>
      <c r="I168" s="124"/>
      <c r="J168" s="125"/>
      <c r="K168" s="121"/>
      <c r="L168" s="127"/>
      <c r="M168" s="125"/>
      <c r="N168" s="121">
        <v>319</v>
      </c>
      <c r="O168" s="124" t="e">
        <f>N168/M168*100</f>
        <v>#DIV/0!</v>
      </c>
      <c r="P168" s="125"/>
      <c r="Q168" s="121"/>
      <c r="R168" s="127"/>
    </row>
    <row r="169" spans="1:18" ht="15" customHeight="1">
      <c r="A169" s="220" t="s">
        <v>920</v>
      </c>
      <c r="B169" s="251" t="s">
        <v>940</v>
      </c>
      <c r="C169" s="222"/>
      <c r="D169" s="223">
        <f t="shared" si="20"/>
        <v>0</v>
      </c>
      <c r="E169" s="223">
        <f t="shared" si="20"/>
        <v>0</v>
      </c>
      <c r="F169" s="124" t="e">
        <f t="shared" si="17"/>
        <v>#DIV/0!</v>
      </c>
      <c r="G169" s="225"/>
      <c r="H169" s="226"/>
      <c r="I169" s="224"/>
      <c r="J169" s="225"/>
      <c r="K169" s="226"/>
      <c r="L169" s="293"/>
      <c r="M169" s="225"/>
      <c r="N169" s="226"/>
      <c r="O169" s="124" t="e">
        <f>N169/M169*100</f>
        <v>#DIV/0!</v>
      </c>
      <c r="P169" s="225"/>
      <c r="Q169" s="226"/>
      <c r="R169" s="293"/>
    </row>
    <row r="170" spans="1:18" ht="13.5" customHeight="1">
      <c r="A170" s="128" t="s">
        <v>1073</v>
      </c>
      <c r="B170" s="129" t="s">
        <v>42</v>
      </c>
      <c r="C170" s="130">
        <f>SUM(C171:C171)</f>
        <v>74500</v>
      </c>
      <c r="D170" s="131">
        <f>SUM(D171:D171)</f>
        <v>74500</v>
      </c>
      <c r="E170" s="131">
        <f>SUM(E171:E171)</f>
        <v>14991</v>
      </c>
      <c r="F170" s="132">
        <f t="shared" si="17"/>
        <v>20.12214765100671</v>
      </c>
      <c r="G170" s="136">
        <f>SUM(G171:G171)</f>
        <v>74500</v>
      </c>
      <c r="H170" s="134">
        <f>SUM(H171:H171)</f>
        <v>14991</v>
      </c>
      <c r="I170" s="132">
        <f t="shared" si="19"/>
        <v>20.12214765100671</v>
      </c>
      <c r="J170" s="133"/>
      <c r="K170" s="134"/>
      <c r="L170" s="137"/>
      <c r="M170" s="133"/>
      <c r="N170" s="134"/>
      <c r="O170" s="132"/>
      <c r="P170" s="133"/>
      <c r="Q170" s="134"/>
      <c r="R170" s="137"/>
    </row>
    <row r="171" spans="1:18" ht="58.5" customHeight="1">
      <c r="A171" s="212" t="s">
        <v>930</v>
      </c>
      <c r="B171" s="184" t="s">
        <v>931</v>
      </c>
      <c r="C171" s="213">
        <v>74500</v>
      </c>
      <c r="D171" s="214">
        <f>G171+J171+M171+P171</f>
        <v>74500</v>
      </c>
      <c r="E171" s="214">
        <f>H171+K171+N171+Q171</f>
        <v>14991</v>
      </c>
      <c r="F171" s="185">
        <f>E171/D171*100</f>
        <v>20.12214765100671</v>
      </c>
      <c r="G171" s="311">
        <v>74500</v>
      </c>
      <c r="H171" s="216">
        <v>14991</v>
      </c>
      <c r="I171" s="185">
        <f>H171/G171*100</f>
        <v>20.12214765100671</v>
      </c>
      <c r="J171" s="215"/>
      <c r="K171" s="216"/>
      <c r="L171" s="300"/>
      <c r="M171" s="215"/>
      <c r="N171" s="216"/>
      <c r="O171" s="185"/>
      <c r="P171" s="215"/>
      <c r="Q171" s="216"/>
      <c r="R171" s="300"/>
    </row>
    <row r="172" spans="1:18" ht="14.25" customHeight="1">
      <c r="A172" s="128" t="s">
        <v>43</v>
      </c>
      <c r="B172" s="129" t="s">
        <v>746</v>
      </c>
      <c r="C172" s="294">
        <f>SUM(C173:C176)</f>
        <v>546900</v>
      </c>
      <c r="D172" s="134">
        <f>SUM(D173:D176)</f>
        <v>546900</v>
      </c>
      <c r="E172" s="134">
        <f>SUM(E173:E176)</f>
        <v>126677</v>
      </c>
      <c r="F172" s="206">
        <f t="shared" si="17"/>
        <v>23.162735417809472</v>
      </c>
      <c r="G172" s="208">
        <f>SUM(G173:G176)</f>
        <v>546900</v>
      </c>
      <c r="H172" s="209">
        <f>SUM(H173:H176)</f>
        <v>126677</v>
      </c>
      <c r="I172" s="206">
        <f t="shared" si="19"/>
        <v>23.162735417809472</v>
      </c>
      <c r="J172" s="133"/>
      <c r="K172" s="134"/>
      <c r="L172" s="137"/>
      <c r="M172" s="133"/>
      <c r="N172" s="134"/>
      <c r="O172" s="137"/>
      <c r="P172" s="133"/>
      <c r="Q172" s="134"/>
      <c r="R172" s="137"/>
    </row>
    <row r="173" spans="1:18" s="139" customFormat="1" ht="23.25">
      <c r="A173" s="175" t="s">
        <v>929</v>
      </c>
      <c r="B173" s="176" t="s">
        <v>353</v>
      </c>
      <c r="C173" s="177">
        <v>1900</v>
      </c>
      <c r="D173" s="178">
        <f>G173+J173+M173+P173</f>
        <v>1900</v>
      </c>
      <c r="E173" s="178">
        <f>H173+K173+N173+Q173</f>
        <v>346</v>
      </c>
      <c r="F173" s="179">
        <f t="shared" si="17"/>
        <v>18.210526315789473</v>
      </c>
      <c r="G173" s="180">
        <v>1900</v>
      </c>
      <c r="H173" s="181">
        <v>346</v>
      </c>
      <c r="I173" s="179">
        <f t="shared" si="19"/>
        <v>18.210526315789473</v>
      </c>
      <c r="J173" s="180"/>
      <c r="K173" s="181"/>
      <c r="L173" s="183"/>
      <c r="M173" s="180"/>
      <c r="N173" s="181"/>
      <c r="O173" s="179"/>
      <c r="P173" s="180"/>
      <c r="Q173" s="181"/>
      <c r="R173" s="183"/>
    </row>
    <row r="174" spans="1:18" s="139" customFormat="1" ht="63.75" customHeight="1">
      <c r="A174" s="118" t="s">
        <v>930</v>
      </c>
      <c r="B174" s="86" t="s">
        <v>931</v>
      </c>
      <c r="C174" s="138">
        <v>145000</v>
      </c>
      <c r="D174" s="89">
        <f>G174+J174+M174+P174</f>
        <v>145000</v>
      </c>
      <c r="E174" s="89">
        <f>H174+K174+N174+Q174</f>
        <v>65391</v>
      </c>
      <c r="F174" s="124">
        <f t="shared" si="17"/>
        <v>45.09724137931034</v>
      </c>
      <c r="G174" s="125">
        <v>145000</v>
      </c>
      <c r="H174" s="121">
        <v>65391</v>
      </c>
      <c r="I174" s="124">
        <f t="shared" si="19"/>
        <v>45.09724137931034</v>
      </c>
      <c r="J174" s="125"/>
      <c r="K174" s="121"/>
      <c r="L174" s="127"/>
      <c r="M174" s="125"/>
      <c r="N174" s="121"/>
      <c r="O174" s="124"/>
      <c r="P174" s="125"/>
      <c r="Q174" s="121"/>
      <c r="R174" s="127"/>
    </row>
    <row r="175" spans="1:18" s="139" customFormat="1" ht="24" customHeight="1">
      <c r="A175" s="220" t="s">
        <v>914</v>
      </c>
      <c r="B175" s="312" t="s">
        <v>964</v>
      </c>
      <c r="C175" s="222"/>
      <c r="D175" s="223">
        <f>G175</f>
        <v>0</v>
      </c>
      <c r="E175" s="223">
        <f>H175+K175+N175+Q175</f>
        <v>0</v>
      </c>
      <c r="F175" s="224" t="e">
        <f t="shared" si="17"/>
        <v>#DIV/0!</v>
      </c>
      <c r="G175" s="225"/>
      <c r="H175" s="226"/>
      <c r="I175" s="224" t="e">
        <f t="shared" si="19"/>
        <v>#DIV/0!</v>
      </c>
      <c r="J175" s="225"/>
      <c r="K175" s="226"/>
      <c r="L175" s="293"/>
      <c r="M175" s="225"/>
      <c r="N175" s="226"/>
      <c r="O175" s="224"/>
      <c r="P175" s="225"/>
      <c r="Q175" s="226"/>
      <c r="R175" s="293"/>
    </row>
    <row r="176" spans="1:18" s="139" customFormat="1" ht="59.25" customHeight="1">
      <c r="A176" s="220" t="s">
        <v>1035</v>
      </c>
      <c r="B176" s="251" t="s">
        <v>354</v>
      </c>
      <c r="C176" s="222">
        <v>400000</v>
      </c>
      <c r="D176" s="223">
        <f>G176</f>
        <v>400000</v>
      </c>
      <c r="E176" s="223">
        <f>H176+K176+N176+Q176</f>
        <v>60940</v>
      </c>
      <c r="F176" s="224">
        <f t="shared" si="17"/>
        <v>15.235000000000001</v>
      </c>
      <c r="G176" s="225">
        <v>400000</v>
      </c>
      <c r="H176" s="226">
        <v>60940</v>
      </c>
      <c r="I176" s="224">
        <f t="shared" si="19"/>
        <v>15.235000000000001</v>
      </c>
      <c r="J176" s="225"/>
      <c r="K176" s="226"/>
      <c r="L176" s="293"/>
      <c r="M176" s="225"/>
      <c r="N176" s="226"/>
      <c r="O176" s="224"/>
      <c r="P176" s="225"/>
      <c r="Q176" s="226"/>
      <c r="R176" s="293"/>
    </row>
    <row r="177" spans="1:18" ht="27.75" customHeight="1">
      <c r="A177" s="128" t="s">
        <v>44</v>
      </c>
      <c r="B177" s="129" t="s">
        <v>45</v>
      </c>
      <c r="C177" s="294">
        <f>C178</f>
        <v>16600</v>
      </c>
      <c r="D177" s="134">
        <f>D178</f>
        <v>16600</v>
      </c>
      <c r="E177" s="134">
        <f>E178</f>
        <v>4332</v>
      </c>
      <c r="F177" s="206">
        <f>E177/D177*100</f>
        <v>26.096385542168676</v>
      </c>
      <c r="G177" s="208">
        <f>SUM(G178:G179)</f>
        <v>16600</v>
      </c>
      <c r="H177" s="209">
        <f>SUM(H178:H179)</f>
        <v>4332</v>
      </c>
      <c r="I177" s="132">
        <f>H177/G177*100</f>
        <v>26.096385542168676</v>
      </c>
      <c r="J177" s="133"/>
      <c r="K177" s="134"/>
      <c r="L177" s="137"/>
      <c r="M177" s="133"/>
      <c r="N177" s="134"/>
      <c r="O177" s="137"/>
      <c r="P177" s="133"/>
      <c r="Q177" s="134"/>
      <c r="R177" s="137"/>
    </row>
    <row r="178" spans="1:18" ht="13.5" customHeight="1">
      <c r="A178" s="118" t="s">
        <v>1068</v>
      </c>
      <c r="B178" s="86" t="s">
        <v>1069</v>
      </c>
      <c r="C178" s="138">
        <v>16600</v>
      </c>
      <c r="D178" s="89">
        <f>G178+J178+M178+P178</f>
        <v>16600</v>
      </c>
      <c r="E178" s="89">
        <f>H178+K178+N178+Q178</f>
        <v>4332</v>
      </c>
      <c r="F178" s="124">
        <f>E178/D178*100</f>
        <v>26.096385542168676</v>
      </c>
      <c r="G178" s="125">
        <v>16600</v>
      </c>
      <c r="H178" s="121">
        <v>4332</v>
      </c>
      <c r="I178" s="124">
        <f>H178/G178*100</f>
        <v>26.096385542168676</v>
      </c>
      <c r="J178" s="125"/>
      <c r="K178" s="121"/>
      <c r="L178" s="127"/>
      <c r="M178" s="125"/>
      <c r="N178" s="121"/>
      <c r="O178" s="124"/>
      <c r="P178" s="125"/>
      <c r="Q178" s="121"/>
      <c r="R178" s="127"/>
    </row>
    <row r="179" spans="1:18" ht="17.25" customHeight="1">
      <c r="A179" s="128" t="s">
        <v>46</v>
      </c>
      <c r="B179" s="129" t="s">
        <v>750</v>
      </c>
      <c r="C179" s="130">
        <f>SUM(C180:C185)</f>
        <v>150900</v>
      </c>
      <c r="D179" s="131">
        <f>SUM(D180:D185)</f>
        <v>199400</v>
      </c>
      <c r="E179" s="131">
        <f>SUM(E180:E185)</f>
        <v>78762</v>
      </c>
      <c r="F179" s="132">
        <f t="shared" si="17"/>
        <v>39.499498495486456</v>
      </c>
      <c r="G179" s="133"/>
      <c r="H179" s="134"/>
      <c r="I179" s="185"/>
      <c r="J179" s="215"/>
      <c r="K179" s="216"/>
      <c r="L179" s="300"/>
      <c r="M179" s="133">
        <f>SUM(M180:M185)</f>
        <v>199400</v>
      </c>
      <c r="N179" s="134">
        <f>SUM(N180:N185)</f>
        <v>78762</v>
      </c>
      <c r="O179" s="132">
        <f>N179/M179*100</f>
        <v>39.499498495486456</v>
      </c>
      <c r="P179" s="133"/>
      <c r="Q179" s="134"/>
      <c r="R179" s="300"/>
    </row>
    <row r="180" spans="1:18" s="139" customFormat="1" ht="23.25">
      <c r="A180" s="175" t="s">
        <v>929</v>
      </c>
      <c r="B180" s="176" t="s">
        <v>353</v>
      </c>
      <c r="C180" s="177">
        <v>3000</v>
      </c>
      <c r="D180" s="178">
        <f aca="true" t="shared" si="21" ref="D180:E185">G180+J180+M180+P180</f>
        <v>4000</v>
      </c>
      <c r="E180" s="178">
        <f t="shared" si="21"/>
        <v>769</v>
      </c>
      <c r="F180" s="179">
        <f t="shared" si="17"/>
        <v>19.225</v>
      </c>
      <c r="G180" s="180"/>
      <c r="H180" s="181"/>
      <c r="I180" s="179"/>
      <c r="J180" s="180"/>
      <c r="K180" s="181"/>
      <c r="L180" s="183"/>
      <c r="M180" s="180">
        <f>3000+1000</f>
        <v>4000</v>
      </c>
      <c r="N180" s="181">
        <v>769</v>
      </c>
      <c r="O180" s="179">
        <f>N180/M180*100</f>
        <v>19.225</v>
      </c>
      <c r="P180" s="180"/>
      <c r="Q180" s="181"/>
      <c r="R180" s="183"/>
    </row>
    <row r="181" spans="1:18" s="139" customFormat="1" ht="61.5" customHeight="1">
      <c r="A181" s="118" t="s">
        <v>930</v>
      </c>
      <c r="B181" s="86" t="s">
        <v>931</v>
      </c>
      <c r="C181" s="138">
        <v>140800</v>
      </c>
      <c r="D181" s="89">
        <f t="shared" si="21"/>
        <v>187800</v>
      </c>
      <c r="E181" s="89">
        <f t="shared" si="21"/>
        <v>77398</v>
      </c>
      <c r="F181" s="124">
        <f t="shared" si="17"/>
        <v>41.21299254526092</v>
      </c>
      <c r="G181" s="125"/>
      <c r="H181" s="121"/>
      <c r="I181" s="124"/>
      <c r="J181" s="125"/>
      <c r="K181" s="121"/>
      <c r="L181" s="127"/>
      <c r="M181" s="125">
        <f>140800+47000</f>
        <v>187800</v>
      </c>
      <c r="N181" s="121">
        <v>77398</v>
      </c>
      <c r="O181" s="127">
        <f>N181/M181*100</f>
        <v>41.21299254526092</v>
      </c>
      <c r="P181" s="125"/>
      <c r="Q181" s="121"/>
      <c r="R181" s="124"/>
    </row>
    <row r="182" spans="1:18" s="139" customFormat="1" ht="13.5" customHeight="1">
      <c r="A182" s="118" t="s">
        <v>1068</v>
      </c>
      <c r="B182" s="86" t="s">
        <v>1069</v>
      </c>
      <c r="C182" s="138">
        <v>5000</v>
      </c>
      <c r="D182" s="89">
        <f t="shared" si="21"/>
        <v>5000</v>
      </c>
      <c r="E182" s="89">
        <f t="shared" si="21"/>
        <v>160</v>
      </c>
      <c r="F182" s="124">
        <f t="shared" si="17"/>
        <v>3.2</v>
      </c>
      <c r="G182" s="125"/>
      <c r="H182" s="121"/>
      <c r="I182" s="124"/>
      <c r="J182" s="125"/>
      <c r="K182" s="121"/>
      <c r="L182" s="127"/>
      <c r="M182" s="125">
        <v>5000</v>
      </c>
      <c r="N182" s="121">
        <v>160</v>
      </c>
      <c r="O182" s="124">
        <f>N182/M182*100</f>
        <v>3.2</v>
      </c>
      <c r="P182" s="125"/>
      <c r="Q182" s="121"/>
      <c r="R182" s="127"/>
    </row>
    <row r="183" spans="1:19" ht="21.75" customHeight="1">
      <c r="A183" s="118" t="s">
        <v>914</v>
      </c>
      <c r="B183" s="86" t="s">
        <v>964</v>
      </c>
      <c r="C183" s="138">
        <v>200</v>
      </c>
      <c r="D183" s="89">
        <f t="shared" si="21"/>
        <v>500</v>
      </c>
      <c r="E183" s="89">
        <f t="shared" si="21"/>
        <v>0</v>
      </c>
      <c r="F183" s="124">
        <f t="shared" si="17"/>
        <v>0</v>
      </c>
      <c r="G183" s="125"/>
      <c r="H183" s="121"/>
      <c r="I183" s="124"/>
      <c r="J183" s="125"/>
      <c r="K183" s="121"/>
      <c r="L183" s="127"/>
      <c r="M183" s="125">
        <f>200+300</f>
        <v>500</v>
      </c>
      <c r="N183" s="121"/>
      <c r="O183" s="124">
        <f>N183/M183*100</f>
        <v>0</v>
      </c>
      <c r="P183" s="125"/>
      <c r="Q183" s="121"/>
      <c r="R183" s="127"/>
      <c r="S183" s="139"/>
    </row>
    <row r="184" spans="1:18" s="139" customFormat="1" ht="18.75" customHeight="1">
      <c r="A184" s="118" t="s">
        <v>947</v>
      </c>
      <c r="B184" s="86" t="s">
        <v>223</v>
      </c>
      <c r="C184" s="138"/>
      <c r="D184" s="89">
        <f t="shared" si="21"/>
        <v>200</v>
      </c>
      <c r="E184" s="89">
        <f t="shared" si="21"/>
        <v>164</v>
      </c>
      <c r="F184" s="124">
        <f t="shared" si="17"/>
        <v>82</v>
      </c>
      <c r="G184" s="125"/>
      <c r="H184" s="121"/>
      <c r="I184" s="124"/>
      <c r="J184" s="125"/>
      <c r="K184" s="121"/>
      <c r="L184" s="127"/>
      <c r="M184" s="125">
        <v>200</v>
      </c>
      <c r="N184" s="121">
        <v>164</v>
      </c>
      <c r="O184" s="124">
        <f aca="true" t="shared" si="22" ref="O184:O195">N184/M184*100</f>
        <v>82</v>
      </c>
      <c r="P184" s="125"/>
      <c r="Q184" s="121"/>
      <c r="R184" s="127"/>
    </row>
    <row r="185" spans="1:18" s="139" customFormat="1" ht="15.75" customHeight="1">
      <c r="A185" s="220" t="s">
        <v>920</v>
      </c>
      <c r="B185" s="251" t="s">
        <v>940</v>
      </c>
      <c r="C185" s="222">
        <v>1900</v>
      </c>
      <c r="D185" s="223">
        <f t="shared" si="21"/>
        <v>1900</v>
      </c>
      <c r="E185" s="223">
        <f t="shared" si="21"/>
        <v>271</v>
      </c>
      <c r="F185" s="124">
        <f t="shared" si="17"/>
        <v>14.26315789473684</v>
      </c>
      <c r="G185" s="125"/>
      <c r="H185" s="121"/>
      <c r="I185" s="124"/>
      <c r="J185" s="125"/>
      <c r="K185" s="121"/>
      <c r="L185" s="127"/>
      <c r="M185" s="125">
        <v>1900</v>
      </c>
      <c r="N185" s="121">
        <v>271</v>
      </c>
      <c r="O185" s="124">
        <f t="shared" si="22"/>
        <v>14.26315789473684</v>
      </c>
      <c r="P185" s="125"/>
      <c r="Q185" s="226"/>
      <c r="R185" s="293"/>
    </row>
    <row r="186" spans="1:18" ht="17.25" customHeight="1">
      <c r="A186" s="128" t="s">
        <v>47</v>
      </c>
      <c r="B186" s="129" t="s">
        <v>753</v>
      </c>
      <c r="C186" s="130">
        <f>SUM(C187:C191)</f>
        <v>271900</v>
      </c>
      <c r="D186" s="131">
        <f>SUM(D187:D191)</f>
        <v>271900</v>
      </c>
      <c r="E186" s="131">
        <f>SUM(E187:E191)</f>
        <v>96872</v>
      </c>
      <c r="F186" s="132">
        <f t="shared" si="17"/>
        <v>35.627804339830824</v>
      </c>
      <c r="G186" s="133"/>
      <c r="H186" s="134"/>
      <c r="I186" s="185"/>
      <c r="J186" s="133"/>
      <c r="K186" s="134"/>
      <c r="L186" s="300"/>
      <c r="M186" s="133">
        <f>SUM(M187:M191)</f>
        <v>271900</v>
      </c>
      <c r="N186" s="134">
        <f>SUM(N187:N191)</f>
        <v>96872</v>
      </c>
      <c r="O186" s="132">
        <f t="shared" si="22"/>
        <v>35.627804339830824</v>
      </c>
      <c r="P186" s="133"/>
      <c r="Q186" s="134"/>
      <c r="R186" s="300"/>
    </row>
    <row r="187" spans="1:18" s="139" customFormat="1" ht="22.5" customHeight="1">
      <c r="A187" s="175" t="s">
        <v>929</v>
      </c>
      <c r="B187" s="176" t="s">
        <v>355</v>
      </c>
      <c r="C187" s="177">
        <v>3800</v>
      </c>
      <c r="D187" s="178">
        <f aca="true" t="shared" si="23" ref="D187:E191">G187+J187+M187+P187</f>
        <v>3800</v>
      </c>
      <c r="E187" s="178">
        <f t="shared" si="23"/>
        <v>774</v>
      </c>
      <c r="F187" s="179">
        <f t="shared" si="17"/>
        <v>20.36842105263158</v>
      </c>
      <c r="G187" s="269"/>
      <c r="H187" s="181"/>
      <c r="I187" s="179"/>
      <c r="J187" s="180"/>
      <c r="K187" s="181"/>
      <c r="L187" s="183"/>
      <c r="M187" s="269">
        <v>3800</v>
      </c>
      <c r="N187" s="181">
        <v>774</v>
      </c>
      <c r="O187" s="179">
        <f t="shared" si="22"/>
        <v>20.36842105263158</v>
      </c>
      <c r="P187" s="180"/>
      <c r="Q187" s="181"/>
      <c r="R187" s="183"/>
    </row>
    <row r="188" spans="1:18" s="139" customFormat="1" ht="57.75" customHeight="1">
      <c r="A188" s="118" t="s">
        <v>930</v>
      </c>
      <c r="B188" s="86" t="s">
        <v>931</v>
      </c>
      <c r="C188" s="138">
        <v>263900</v>
      </c>
      <c r="D188" s="89">
        <f t="shared" si="23"/>
        <v>263900</v>
      </c>
      <c r="E188" s="89">
        <f t="shared" si="23"/>
        <v>90841</v>
      </c>
      <c r="F188" s="124">
        <f t="shared" si="17"/>
        <v>34.4225085259568</v>
      </c>
      <c r="G188" s="238"/>
      <c r="H188" s="121"/>
      <c r="I188" s="124"/>
      <c r="J188" s="125"/>
      <c r="K188" s="121"/>
      <c r="L188" s="127"/>
      <c r="M188" s="238">
        <v>263900</v>
      </c>
      <c r="N188" s="121">
        <v>90841</v>
      </c>
      <c r="O188" s="124">
        <f t="shared" si="22"/>
        <v>34.4225085259568</v>
      </c>
      <c r="P188" s="125"/>
      <c r="Q188" s="121"/>
      <c r="R188" s="127"/>
    </row>
    <row r="189" spans="1:18" ht="15.75" customHeight="1">
      <c r="A189" s="118" t="s">
        <v>1068</v>
      </c>
      <c r="B189" s="86" t="s">
        <v>1069</v>
      </c>
      <c r="C189" s="138">
        <v>4000</v>
      </c>
      <c r="D189" s="89">
        <f>G189+J189+M189+P189</f>
        <v>4000</v>
      </c>
      <c r="E189" s="89">
        <f>H189+K189+N189+Q189</f>
        <v>1268</v>
      </c>
      <c r="F189" s="124">
        <f>E189/D189*100</f>
        <v>31.7</v>
      </c>
      <c r="G189" s="238"/>
      <c r="H189" s="121"/>
      <c r="I189" s="124"/>
      <c r="J189" s="125"/>
      <c r="K189" s="121"/>
      <c r="L189" s="127"/>
      <c r="M189" s="238">
        <v>4000</v>
      </c>
      <c r="N189" s="121">
        <v>1268</v>
      </c>
      <c r="O189" s="124">
        <f t="shared" si="22"/>
        <v>31.7</v>
      </c>
      <c r="P189" s="125"/>
      <c r="Q189" s="121"/>
      <c r="R189" s="127"/>
    </row>
    <row r="190" spans="1:18" ht="15.75" customHeight="1">
      <c r="A190" s="118" t="s">
        <v>947</v>
      </c>
      <c r="B190" s="86" t="s">
        <v>223</v>
      </c>
      <c r="C190" s="138"/>
      <c r="D190" s="89">
        <f t="shared" si="23"/>
        <v>0</v>
      </c>
      <c r="E190" s="89">
        <f t="shared" si="23"/>
        <v>262</v>
      </c>
      <c r="F190" s="124" t="e">
        <f>E190/D190*100</f>
        <v>#DIV/0!</v>
      </c>
      <c r="G190" s="238"/>
      <c r="H190" s="121"/>
      <c r="I190" s="124"/>
      <c r="J190" s="125"/>
      <c r="K190" s="121"/>
      <c r="L190" s="127"/>
      <c r="M190" s="238"/>
      <c r="N190" s="121">
        <v>262</v>
      </c>
      <c r="O190" s="124" t="e">
        <f t="shared" si="22"/>
        <v>#DIV/0!</v>
      </c>
      <c r="P190" s="125"/>
      <c r="Q190" s="121"/>
      <c r="R190" s="127"/>
    </row>
    <row r="191" spans="1:18" ht="13.5" customHeight="1">
      <c r="A191" s="220" t="s">
        <v>920</v>
      </c>
      <c r="B191" s="251" t="s">
        <v>940</v>
      </c>
      <c r="C191" s="222">
        <v>200</v>
      </c>
      <c r="D191" s="223">
        <f t="shared" si="23"/>
        <v>200</v>
      </c>
      <c r="E191" s="223">
        <f t="shared" si="23"/>
        <v>3727</v>
      </c>
      <c r="F191" s="224">
        <f t="shared" si="17"/>
        <v>1863.5000000000002</v>
      </c>
      <c r="G191" s="236"/>
      <c r="H191" s="226"/>
      <c r="I191" s="224"/>
      <c r="J191" s="225"/>
      <c r="K191" s="226"/>
      <c r="L191" s="293"/>
      <c r="M191" s="236">
        <f>100+100</f>
        <v>200</v>
      </c>
      <c r="N191" s="226">
        <v>3727</v>
      </c>
      <c r="O191" s="224">
        <f t="shared" si="22"/>
        <v>1863.5000000000002</v>
      </c>
      <c r="P191" s="225"/>
      <c r="Q191" s="226"/>
      <c r="R191" s="293"/>
    </row>
    <row r="192" spans="1:18" ht="24.75" customHeight="1">
      <c r="A192" s="128" t="s">
        <v>48</v>
      </c>
      <c r="B192" s="129" t="s">
        <v>49</v>
      </c>
      <c r="C192" s="130">
        <f>SUM(C193:C196)</f>
        <v>39900</v>
      </c>
      <c r="D192" s="131">
        <f>SUM(D193:D196)</f>
        <v>39900</v>
      </c>
      <c r="E192" s="131">
        <f>SUM(E193:E196)</f>
        <v>4534</v>
      </c>
      <c r="F192" s="229">
        <f t="shared" si="17"/>
        <v>11.363408521303258</v>
      </c>
      <c r="G192" s="133"/>
      <c r="H192" s="134"/>
      <c r="I192" s="185"/>
      <c r="J192" s="133"/>
      <c r="K192" s="134"/>
      <c r="L192" s="300"/>
      <c r="M192" s="133">
        <f>SUM(M193:M196)</f>
        <v>39900</v>
      </c>
      <c r="N192" s="134">
        <f>SUM(N193:N196)</f>
        <v>4534</v>
      </c>
      <c r="O192" s="132">
        <f t="shared" si="22"/>
        <v>11.363408521303258</v>
      </c>
      <c r="P192" s="133"/>
      <c r="Q192" s="134"/>
      <c r="R192" s="300"/>
    </row>
    <row r="193" spans="1:18" s="139" customFormat="1" ht="23.25">
      <c r="A193" s="175" t="s">
        <v>929</v>
      </c>
      <c r="B193" s="176" t="s">
        <v>353</v>
      </c>
      <c r="C193" s="177">
        <v>1200</v>
      </c>
      <c r="D193" s="178">
        <f aca="true" t="shared" si="24" ref="D193:E196">G193+J193+M193+P193</f>
        <v>1200</v>
      </c>
      <c r="E193" s="178">
        <f t="shared" si="24"/>
        <v>301</v>
      </c>
      <c r="F193" s="179">
        <f t="shared" si="17"/>
        <v>25.083333333333336</v>
      </c>
      <c r="G193" s="269"/>
      <c r="H193" s="181"/>
      <c r="I193" s="179"/>
      <c r="J193" s="180"/>
      <c r="K193" s="181"/>
      <c r="L193" s="183"/>
      <c r="M193" s="180">
        <v>1200</v>
      </c>
      <c r="N193" s="181">
        <v>301</v>
      </c>
      <c r="O193" s="179">
        <f t="shared" si="22"/>
        <v>25.083333333333336</v>
      </c>
      <c r="P193" s="180"/>
      <c r="Q193" s="181"/>
      <c r="R193" s="183"/>
    </row>
    <row r="194" spans="1:18" s="139" customFormat="1" ht="60.75" customHeight="1">
      <c r="A194" s="118" t="s">
        <v>930</v>
      </c>
      <c r="B194" s="86" t="s">
        <v>931</v>
      </c>
      <c r="C194" s="138">
        <v>36700</v>
      </c>
      <c r="D194" s="89">
        <f>G194+J194+M194+P194</f>
        <v>36700</v>
      </c>
      <c r="E194" s="89">
        <f>H194+K194+N194+Q194</f>
        <v>4233</v>
      </c>
      <c r="F194" s="124">
        <f>E194/D194*100</f>
        <v>11.534059945504087</v>
      </c>
      <c r="G194" s="238"/>
      <c r="H194" s="121"/>
      <c r="I194" s="124"/>
      <c r="J194" s="125"/>
      <c r="K194" s="121"/>
      <c r="L194" s="127"/>
      <c r="M194" s="125">
        <v>36700</v>
      </c>
      <c r="N194" s="121">
        <v>4233</v>
      </c>
      <c r="O194" s="124">
        <f t="shared" si="22"/>
        <v>11.534059945504087</v>
      </c>
      <c r="P194" s="125"/>
      <c r="Q194" s="121"/>
      <c r="R194" s="127"/>
    </row>
    <row r="195" spans="1:18" s="139" customFormat="1" ht="27.75" customHeight="1">
      <c r="A195" s="118" t="s">
        <v>914</v>
      </c>
      <c r="B195" s="86" t="s">
        <v>964</v>
      </c>
      <c r="C195" s="138">
        <v>2000</v>
      </c>
      <c r="D195" s="89">
        <f t="shared" si="24"/>
        <v>2000</v>
      </c>
      <c r="E195" s="89">
        <f t="shared" si="24"/>
        <v>0</v>
      </c>
      <c r="F195" s="124">
        <f t="shared" si="17"/>
        <v>0</v>
      </c>
      <c r="G195" s="238"/>
      <c r="H195" s="121"/>
      <c r="I195" s="124"/>
      <c r="J195" s="125"/>
      <c r="K195" s="121"/>
      <c r="L195" s="127"/>
      <c r="M195" s="125">
        <v>2000</v>
      </c>
      <c r="N195" s="121"/>
      <c r="O195" s="124">
        <f t="shared" si="22"/>
        <v>0</v>
      </c>
      <c r="P195" s="125"/>
      <c r="Q195" s="121"/>
      <c r="R195" s="127"/>
    </row>
    <row r="196" spans="1:18" ht="15.75" customHeight="1">
      <c r="A196" s="220" t="s">
        <v>920</v>
      </c>
      <c r="B196" s="251" t="s">
        <v>940</v>
      </c>
      <c r="C196" s="222"/>
      <c r="D196" s="223">
        <f t="shared" si="24"/>
        <v>0</v>
      </c>
      <c r="E196" s="223">
        <f t="shared" si="24"/>
        <v>0</v>
      </c>
      <c r="F196" s="224" t="e">
        <f>E196/D196*100</f>
        <v>#DIV/0!</v>
      </c>
      <c r="G196" s="236"/>
      <c r="H196" s="226"/>
      <c r="I196" s="224"/>
      <c r="J196" s="225"/>
      <c r="K196" s="226"/>
      <c r="L196" s="293"/>
      <c r="M196" s="225"/>
      <c r="N196" s="226"/>
      <c r="O196" s="224" t="e">
        <f>N196/M196*100</f>
        <v>#DIV/0!</v>
      </c>
      <c r="P196" s="225"/>
      <c r="Q196" s="226"/>
      <c r="R196" s="293"/>
    </row>
    <row r="197" spans="1:18" ht="17.25" customHeight="1">
      <c r="A197" s="128" t="s">
        <v>50</v>
      </c>
      <c r="B197" s="129" t="s">
        <v>213</v>
      </c>
      <c r="C197" s="136">
        <f>C198+C199+C200+C201+C202+C206+C211+C212</f>
        <v>8409056</v>
      </c>
      <c r="D197" s="131">
        <f>G197+J197+M197+P197</f>
        <v>8409056</v>
      </c>
      <c r="E197" s="131">
        <f>H197+K197+N197+Q197</f>
        <v>0</v>
      </c>
      <c r="F197" s="229">
        <f t="shared" si="17"/>
        <v>0</v>
      </c>
      <c r="G197" s="136">
        <f>G203+G207+G208+G209+G210+G211</f>
        <v>5999242</v>
      </c>
      <c r="H197" s="131">
        <f>H199+H201+H202+H206</f>
        <v>0</v>
      </c>
      <c r="I197" s="313">
        <f>H197/G197*100</f>
        <v>0</v>
      </c>
      <c r="J197" s="133">
        <f>J198</f>
        <v>0</v>
      </c>
      <c r="K197" s="134">
        <f>K198</f>
        <v>0</v>
      </c>
      <c r="L197" s="300" t="e">
        <f>K197/J197*100</f>
        <v>#DIV/0!</v>
      </c>
      <c r="M197" s="133">
        <f>M202+M212</f>
        <v>2409814</v>
      </c>
      <c r="N197" s="134">
        <f>SUM(N198:N202)</f>
        <v>0</v>
      </c>
      <c r="O197" s="206">
        <f>N197/M197*100</f>
        <v>0</v>
      </c>
      <c r="P197" s="133"/>
      <c r="Q197" s="134"/>
      <c r="R197" s="300"/>
    </row>
    <row r="198" spans="1:18" s="139" customFormat="1" ht="90" customHeight="1" hidden="1">
      <c r="A198" s="175" t="s">
        <v>952</v>
      </c>
      <c r="B198" s="314" t="s">
        <v>356</v>
      </c>
      <c r="C198" s="177"/>
      <c r="D198" s="178">
        <f>J198</f>
        <v>0</v>
      </c>
      <c r="E198" s="178">
        <f>K198</f>
        <v>0</v>
      </c>
      <c r="F198" s="243" t="e">
        <f>E198/D198*100</f>
        <v>#DIV/0!</v>
      </c>
      <c r="G198" s="180"/>
      <c r="H198" s="181"/>
      <c r="I198" s="179"/>
      <c r="J198" s="180"/>
      <c r="K198" s="181"/>
      <c r="L198" s="183"/>
      <c r="M198" s="180"/>
      <c r="N198" s="181"/>
      <c r="O198" s="179"/>
      <c r="P198" s="180"/>
      <c r="Q198" s="181"/>
      <c r="R198" s="183"/>
    </row>
    <row r="199" spans="1:18" s="139" customFormat="1" ht="12" customHeight="1" hidden="1" thickBot="1">
      <c r="A199" s="118" t="s">
        <v>1070</v>
      </c>
      <c r="B199" s="86" t="s">
        <v>53</v>
      </c>
      <c r="C199" s="138"/>
      <c r="D199" s="89">
        <f>G199+J199+M199+P199</f>
        <v>0</v>
      </c>
      <c r="E199" s="89">
        <f>H199+K199+N199+Q199</f>
        <v>0</v>
      </c>
      <c r="F199" s="124"/>
      <c r="G199" s="125"/>
      <c r="H199" s="121"/>
      <c r="I199" s="124" t="e">
        <f>H199/G199*100</f>
        <v>#DIV/0!</v>
      </c>
      <c r="J199" s="125"/>
      <c r="K199" s="121"/>
      <c r="L199" s="127"/>
      <c r="M199" s="125"/>
      <c r="N199" s="121"/>
      <c r="O199" s="124"/>
      <c r="P199" s="125"/>
      <c r="Q199" s="121"/>
      <c r="R199" s="127"/>
    </row>
    <row r="200" spans="1:18" s="139" customFormat="1" ht="10.5" customHeight="1" hidden="1" thickBot="1" thickTop="1">
      <c r="A200" s="118" t="s">
        <v>51</v>
      </c>
      <c r="B200" s="119" t="s">
        <v>52</v>
      </c>
      <c r="C200" s="138"/>
      <c r="D200" s="89">
        <f>M200</f>
        <v>0</v>
      </c>
      <c r="E200" s="89">
        <f>N200</f>
        <v>0</v>
      </c>
      <c r="F200" s="124"/>
      <c r="G200" s="125"/>
      <c r="H200" s="121"/>
      <c r="I200" s="124"/>
      <c r="J200" s="125"/>
      <c r="K200" s="121"/>
      <c r="L200" s="127"/>
      <c r="M200" s="125"/>
      <c r="N200" s="121"/>
      <c r="O200" s="124" t="e">
        <f>N200/M200*100</f>
        <v>#DIV/0!</v>
      </c>
      <c r="P200" s="125"/>
      <c r="Q200" s="121"/>
      <c r="R200" s="127"/>
    </row>
    <row r="201" spans="1:18" s="139" customFormat="1" ht="16.5" customHeight="1" hidden="1" thickTop="1">
      <c r="A201" s="118" t="s">
        <v>54</v>
      </c>
      <c r="B201" s="86" t="s">
        <v>357</v>
      </c>
      <c r="C201" s="138"/>
      <c r="D201" s="89">
        <f>G201</f>
        <v>0</v>
      </c>
      <c r="E201" s="89">
        <f>H201+K201+N201+Q201</f>
        <v>0</v>
      </c>
      <c r="F201" s="124"/>
      <c r="G201" s="125"/>
      <c r="H201" s="121"/>
      <c r="I201" s="124" t="e">
        <f>H201/G201*100</f>
        <v>#DIV/0!</v>
      </c>
      <c r="J201" s="125"/>
      <c r="K201" s="121"/>
      <c r="L201" s="127"/>
      <c r="M201" s="125"/>
      <c r="N201" s="121"/>
      <c r="O201" s="124"/>
      <c r="P201" s="125"/>
      <c r="Q201" s="121"/>
      <c r="R201" s="127"/>
    </row>
    <row r="202" spans="1:18" s="139" customFormat="1" ht="36.75" customHeight="1">
      <c r="A202" s="118" t="s">
        <v>1044</v>
      </c>
      <c r="B202" s="86" t="s">
        <v>1045</v>
      </c>
      <c r="C202" s="138">
        <v>106443</v>
      </c>
      <c r="D202" s="89">
        <f>D203+D204</f>
        <v>106443</v>
      </c>
      <c r="E202" s="89">
        <f>H202+K202+N202+Q202</f>
        <v>0</v>
      </c>
      <c r="F202" s="124">
        <f>E202/D202*100</f>
        <v>0</v>
      </c>
      <c r="G202" s="125">
        <f>G203</f>
        <v>31200</v>
      </c>
      <c r="H202" s="121">
        <f>H203</f>
        <v>0</v>
      </c>
      <c r="I202" s="124">
        <f>H202/G202*100</f>
        <v>0</v>
      </c>
      <c r="J202" s="125"/>
      <c r="K202" s="121"/>
      <c r="L202" s="127"/>
      <c r="M202" s="125">
        <f>SUM(M203:M204)</f>
        <v>75243</v>
      </c>
      <c r="N202" s="121">
        <f>N204</f>
        <v>0</v>
      </c>
      <c r="O202" s="124">
        <f>N202/M202*100</f>
        <v>0</v>
      </c>
      <c r="P202" s="125"/>
      <c r="Q202" s="121"/>
      <c r="R202" s="127"/>
    </row>
    <row r="203" spans="1:18" s="169" customFormat="1" ht="13.5" customHeight="1">
      <c r="A203" s="165"/>
      <c r="B203" s="315" t="s">
        <v>1046</v>
      </c>
      <c r="C203" s="142">
        <v>31200</v>
      </c>
      <c r="D203" s="143">
        <f>G203+M203</f>
        <v>31200</v>
      </c>
      <c r="E203" s="143">
        <f>H203</f>
        <v>0</v>
      </c>
      <c r="F203" s="167">
        <f>E203/D203*100</f>
        <v>0</v>
      </c>
      <c r="G203" s="316">
        <v>31200</v>
      </c>
      <c r="H203" s="146"/>
      <c r="I203" s="167"/>
      <c r="J203" s="145"/>
      <c r="K203" s="146"/>
      <c r="L203" s="150"/>
      <c r="M203" s="145"/>
      <c r="N203" s="146"/>
      <c r="O203" s="167"/>
      <c r="P203" s="145"/>
      <c r="Q203" s="146"/>
      <c r="R203" s="150"/>
    </row>
    <row r="204" spans="1:18" s="169" customFormat="1" ht="14.25" customHeight="1">
      <c r="A204" s="165"/>
      <c r="B204" s="315" t="s">
        <v>358</v>
      </c>
      <c r="C204" s="142">
        <v>75243</v>
      </c>
      <c r="D204" s="143">
        <f>M204</f>
        <v>75243</v>
      </c>
      <c r="E204" s="143">
        <f>N204</f>
        <v>0</v>
      </c>
      <c r="F204" s="167">
        <f>E204/D204*100</f>
        <v>0</v>
      </c>
      <c r="G204" s="316"/>
      <c r="H204" s="146"/>
      <c r="I204" s="167"/>
      <c r="J204" s="145"/>
      <c r="K204" s="146"/>
      <c r="L204" s="150"/>
      <c r="M204" s="145">
        <v>75243</v>
      </c>
      <c r="N204" s="146"/>
      <c r="O204" s="167"/>
      <c r="P204" s="145"/>
      <c r="Q204" s="146"/>
      <c r="R204" s="150"/>
    </row>
    <row r="205" spans="1:18" s="169" customFormat="1" ht="4.5" customHeight="1">
      <c r="A205" s="165"/>
      <c r="B205" s="315"/>
      <c r="C205" s="142"/>
      <c r="D205" s="143"/>
      <c r="E205" s="143"/>
      <c r="F205" s="167"/>
      <c r="G205" s="316"/>
      <c r="H205" s="146"/>
      <c r="I205" s="167"/>
      <c r="J205" s="145"/>
      <c r="K205" s="146"/>
      <c r="L205" s="150"/>
      <c r="M205" s="145"/>
      <c r="N205" s="146"/>
      <c r="O205" s="167"/>
      <c r="P205" s="145"/>
      <c r="Q205" s="146"/>
      <c r="R205" s="150"/>
    </row>
    <row r="206" spans="1:18" s="324" customFormat="1" ht="27.75" customHeight="1">
      <c r="A206" s="317"/>
      <c r="B206" s="318" t="s">
        <v>359</v>
      </c>
      <c r="C206" s="319">
        <v>697052</v>
      </c>
      <c r="D206" s="320">
        <f>SUM(D207:D210)</f>
        <v>697052</v>
      </c>
      <c r="E206" s="320"/>
      <c r="F206" s="195"/>
      <c r="G206" s="321">
        <f>SUM(G207:G210)</f>
        <v>697052</v>
      </c>
      <c r="H206" s="322"/>
      <c r="I206" s="195"/>
      <c r="J206" s="323"/>
      <c r="K206" s="322"/>
      <c r="L206" s="196"/>
      <c r="M206" s="323"/>
      <c r="N206" s="322"/>
      <c r="O206" s="195"/>
      <c r="P206" s="323"/>
      <c r="Q206" s="322"/>
      <c r="R206" s="196"/>
    </row>
    <row r="207" spans="1:18" s="139" customFormat="1" ht="56.25" customHeight="1">
      <c r="A207" s="118" t="s">
        <v>1050</v>
      </c>
      <c r="B207" s="325" t="s">
        <v>360</v>
      </c>
      <c r="C207" s="138">
        <v>231242</v>
      </c>
      <c r="D207" s="89">
        <f>G207</f>
        <v>231242</v>
      </c>
      <c r="E207" s="89"/>
      <c r="F207" s="124"/>
      <c r="G207" s="123">
        <v>231242</v>
      </c>
      <c r="H207" s="121"/>
      <c r="I207" s="124"/>
      <c r="J207" s="125"/>
      <c r="K207" s="121"/>
      <c r="L207" s="127"/>
      <c r="M207" s="125"/>
      <c r="N207" s="121"/>
      <c r="O207" s="124"/>
      <c r="P207" s="125"/>
      <c r="Q207" s="121"/>
      <c r="R207" s="127"/>
    </row>
    <row r="208" spans="1:18" s="139" customFormat="1" ht="54.75" customHeight="1">
      <c r="A208" s="118" t="s">
        <v>1051</v>
      </c>
      <c r="B208" s="325" t="s">
        <v>360</v>
      </c>
      <c r="C208" s="138">
        <v>40810</v>
      </c>
      <c r="D208" s="89">
        <f>G208</f>
        <v>40810</v>
      </c>
      <c r="E208" s="89"/>
      <c r="F208" s="124"/>
      <c r="G208" s="123">
        <v>40810</v>
      </c>
      <c r="H208" s="121"/>
      <c r="I208" s="124"/>
      <c r="J208" s="125"/>
      <c r="K208" s="121"/>
      <c r="L208" s="127"/>
      <c r="M208" s="125"/>
      <c r="N208" s="121"/>
      <c r="O208" s="124"/>
      <c r="P208" s="125"/>
      <c r="Q208" s="121"/>
      <c r="R208" s="127"/>
    </row>
    <row r="209" spans="1:18" s="139" customFormat="1" ht="56.25" customHeight="1">
      <c r="A209" s="220" t="s">
        <v>361</v>
      </c>
      <c r="B209" s="326" t="s">
        <v>362</v>
      </c>
      <c r="C209" s="222">
        <v>361250</v>
      </c>
      <c r="D209" s="223">
        <f>G209</f>
        <v>361250</v>
      </c>
      <c r="E209" s="223"/>
      <c r="F209" s="224"/>
      <c r="G209" s="327">
        <v>361250</v>
      </c>
      <c r="H209" s="226"/>
      <c r="I209" s="224"/>
      <c r="J209" s="225"/>
      <c r="K209" s="226"/>
      <c r="L209" s="293"/>
      <c r="M209" s="225"/>
      <c r="N209" s="226"/>
      <c r="O209" s="224"/>
      <c r="P209" s="225"/>
      <c r="Q209" s="226"/>
      <c r="R209" s="293"/>
    </row>
    <row r="210" spans="1:18" s="139" customFormat="1" ht="58.5" customHeight="1">
      <c r="A210" s="118" t="s">
        <v>363</v>
      </c>
      <c r="B210" s="325" t="s">
        <v>362</v>
      </c>
      <c r="C210" s="138">
        <v>63750</v>
      </c>
      <c r="D210" s="89">
        <f>G210</f>
        <v>63750</v>
      </c>
      <c r="E210" s="89"/>
      <c r="F210" s="124"/>
      <c r="G210" s="123">
        <v>63750</v>
      </c>
      <c r="H210" s="121"/>
      <c r="I210" s="124"/>
      <c r="J210" s="125"/>
      <c r="K210" s="121"/>
      <c r="L210" s="127"/>
      <c r="M210" s="125"/>
      <c r="N210" s="121"/>
      <c r="O210" s="124"/>
      <c r="P210" s="125"/>
      <c r="Q210" s="121"/>
      <c r="R210" s="127"/>
    </row>
    <row r="211" spans="1:18" s="139" customFormat="1" ht="45.75" customHeight="1">
      <c r="A211" s="118" t="s">
        <v>916</v>
      </c>
      <c r="B211" s="328" t="s">
        <v>364</v>
      </c>
      <c r="C211" s="138">
        <v>5270990</v>
      </c>
      <c r="D211" s="89">
        <f>G211</f>
        <v>5270990</v>
      </c>
      <c r="E211" s="89"/>
      <c r="F211" s="124"/>
      <c r="G211" s="123">
        <v>5270990</v>
      </c>
      <c r="H211" s="121"/>
      <c r="I211" s="124"/>
      <c r="J211" s="125"/>
      <c r="K211" s="121"/>
      <c r="L211" s="127"/>
      <c r="M211" s="125"/>
      <c r="N211" s="121"/>
      <c r="O211" s="124"/>
      <c r="P211" s="125"/>
      <c r="Q211" s="121"/>
      <c r="R211" s="127"/>
    </row>
    <row r="212" spans="1:18" s="139" customFormat="1" ht="48.75" customHeight="1" thickBot="1">
      <c r="A212" s="118" t="s">
        <v>916</v>
      </c>
      <c r="B212" s="328" t="s">
        <v>365</v>
      </c>
      <c r="C212" s="138">
        <v>2334571</v>
      </c>
      <c r="D212" s="89">
        <f>M212</f>
        <v>2334571</v>
      </c>
      <c r="E212" s="89"/>
      <c r="F212" s="124"/>
      <c r="G212" s="123"/>
      <c r="H212" s="121"/>
      <c r="I212" s="124"/>
      <c r="J212" s="125"/>
      <c r="K212" s="121"/>
      <c r="L212" s="127"/>
      <c r="M212" s="125">
        <v>2334571</v>
      </c>
      <c r="N212" s="121"/>
      <c r="O212" s="124"/>
      <c r="P212" s="125"/>
      <c r="Q212" s="121"/>
      <c r="R212" s="127"/>
    </row>
    <row r="213" spans="1:18" ht="18.75" customHeight="1" thickBot="1" thickTop="1">
      <c r="A213" s="97" t="s">
        <v>55</v>
      </c>
      <c r="B213" s="201" t="s">
        <v>776</v>
      </c>
      <c r="C213" s="231">
        <f>SUM(C216)</f>
        <v>15000</v>
      </c>
      <c r="D213" s="100">
        <f>D216+D218</f>
        <v>15000</v>
      </c>
      <c r="E213" s="100">
        <f>E214+E216+E218</f>
        <v>4993</v>
      </c>
      <c r="F213" s="103">
        <f>E213/D213*100</f>
        <v>33.28666666666666</v>
      </c>
      <c r="G213" s="100"/>
      <c r="H213" s="100">
        <f>H214+H216+H218</f>
        <v>1243</v>
      </c>
      <c r="I213" s="291"/>
      <c r="J213" s="104"/>
      <c r="K213" s="101"/>
      <c r="L213" s="106"/>
      <c r="M213" s="104"/>
      <c r="N213" s="101"/>
      <c r="O213" s="106"/>
      <c r="P213" s="232">
        <f>P216</f>
        <v>15000</v>
      </c>
      <c r="Q213" s="100">
        <f>Q216</f>
        <v>3750</v>
      </c>
      <c r="R213" s="103">
        <f>Q213/P213*100</f>
        <v>25</v>
      </c>
    </row>
    <row r="214" spans="1:18" ht="25.5" customHeight="1" thickTop="1">
      <c r="A214" s="107" t="s">
        <v>366</v>
      </c>
      <c r="B214" s="329" t="s">
        <v>783</v>
      </c>
      <c r="C214" s="330"/>
      <c r="D214" s="110"/>
      <c r="E214" s="110">
        <f>E215</f>
        <v>856</v>
      </c>
      <c r="F214" s="114"/>
      <c r="G214" s="235"/>
      <c r="H214" s="110">
        <f>H215</f>
        <v>856</v>
      </c>
      <c r="I214" s="331"/>
      <c r="J214" s="115"/>
      <c r="K214" s="111"/>
      <c r="L214" s="117"/>
      <c r="M214" s="115"/>
      <c r="N214" s="111"/>
      <c r="O214" s="117"/>
      <c r="P214" s="234"/>
      <c r="Q214" s="110"/>
      <c r="R214" s="114"/>
    </row>
    <row r="215" spans="1:18" ht="60" customHeight="1">
      <c r="A215" s="212" t="s">
        <v>367</v>
      </c>
      <c r="B215" s="332" t="s">
        <v>368</v>
      </c>
      <c r="C215" s="213"/>
      <c r="D215" s="214"/>
      <c r="E215" s="214">
        <f>H215</f>
        <v>856</v>
      </c>
      <c r="F215" s="185"/>
      <c r="G215" s="333"/>
      <c r="H215" s="214">
        <v>856</v>
      </c>
      <c r="I215" s="334"/>
      <c r="J215" s="215"/>
      <c r="K215" s="216"/>
      <c r="L215" s="300"/>
      <c r="M215" s="215"/>
      <c r="N215" s="216"/>
      <c r="O215" s="300"/>
      <c r="P215" s="311"/>
      <c r="Q215" s="214"/>
      <c r="R215" s="185"/>
    </row>
    <row r="216" spans="1:18" ht="46.5" customHeight="1">
      <c r="A216" s="128" t="s">
        <v>56</v>
      </c>
      <c r="B216" s="292" t="s">
        <v>57</v>
      </c>
      <c r="C216" s="130">
        <f>SUM(C217)</f>
        <v>15000</v>
      </c>
      <c r="D216" s="131">
        <f>SUM(D217)</f>
        <v>15000</v>
      </c>
      <c r="E216" s="131">
        <f>H216+K216+N216+Q216</f>
        <v>3750</v>
      </c>
      <c r="F216" s="132">
        <f>E216/D216*100</f>
        <v>25</v>
      </c>
      <c r="G216" s="133"/>
      <c r="H216" s="134"/>
      <c r="I216" s="313"/>
      <c r="J216" s="133"/>
      <c r="K216" s="134"/>
      <c r="L216" s="137"/>
      <c r="M216" s="133"/>
      <c r="N216" s="134"/>
      <c r="O216" s="137"/>
      <c r="P216" s="133">
        <f>P217</f>
        <v>15000</v>
      </c>
      <c r="Q216" s="134">
        <f>Q217</f>
        <v>3750</v>
      </c>
      <c r="R216" s="132">
        <f>Q216/P216*100</f>
        <v>25</v>
      </c>
    </row>
    <row r="217" spans="1:18" ht="63" customHeight="1">
      <c r="A217" s="212" t="s">
        <v>936</v>
      </c>
      <c r="B217" s="240" t="s">
        <v>937</v>
      </c>
      <c r="C217" s="213">
        <v>15000</v>
      </c>
      <c r="D217" s="214">
        <f>G217+J217+M217+P217</f>
        <v>15000</v>
      </c>
      <c r="E217" s="214">
        <f>H217+K217+N217+Q217</f>
        <v>3750</v>
      </c>
      <c r="F217" s="185">
        <f>E217/D217*100</f>
        <v>25</v>
      </c>
      <c r="G217" s="215"/>
      <c r="H217" s="216"/>
      <c r="I217" s="313"/>
      <c r="J217" s="215"/>
      <c r="K217" s="216"/>
      <c r="L217" s="300"/>
      <c r="M217" s="215"/>
      <c r="N217" s="216"/>
      <c r="O217" s="185"/>
      <c r="P217" s="215">
        <v>15000</v>
      </c>
      <c r="Q217" s="216">
        <v>3750</v>
      </c>
      <c r="R217" s="185">
        <f>Q217/P217*100</f>
        <v>25</v>
      </c>
    </row>
    <row r="218" spans="1:18" s="336" customFormat="1" ht="17.25" customHeight="1">
      <c r="A218" s="128" t="s">
        <v>58</v>
      </c>
      <c r="B218" s="335" t="s">
        <v>213</v>
      </c>
      <c r="C218" s="130"/>
      <c r="D218" s="131"/>
      <c r="E218" s="131">
        <f>H218+K218+N218+Q218</f>
        <v>387</v>
      </c>
      <c r="F218" s="132"/>
      <c r="G218" s="133"/>
      <c r="H218" s="134">
        <f>SUM(H219:H220)</f>
        <v>387</v>
      </c>
      <c r="I218" s="313"/>
      <c r="J218" s="133"/>
      <c r="K218" s="134"/>
      <c r="L218" s="137"/>
      <c r="M218" s="133"/>
      <c r="N218" s="134"/>
      <c r="O218" s="313"/>
      <c r="P218" s="133"/>
      <c r="Q218" s="134"/>
      <c r="R218" s="132"/>
    </row>
    <row r="219" spans="1:18" s="298" customFormat="1" ht="58.5" customHeight="1">
      <c r="A219" s="118" t="s">
        <v>367</v>
      </c>
      <c r="B219" s="337" t="s">
        <v>368</v>
      </c>
      <c r="C219" s="138"/>
      <c r="D219" s="178"/>
      <c r="E219" s="89">
        <f>H219</f>
        <v>3</v>
      </c>
      <c r="F219" s="124"/>
      <c r="G219" s="125"/>
      <c r="H219" s="121">
        <v>3</v>
      </c>
      <c r="I219" s="338"/>
      <c r="J219" s="125"/>
      <c r="K219" s="121"/>
      <c r="L219" s="127"/>
      <c r="M219" s="125"/>
      <c r="N219" s="121"/>
      <c r="O219" s="296"/>
      <c r="P219" s="125"/>
      <c r="Q219" s="121"/>
      <c r="R219" s="124"/>
    </row>
    <row r="220" spans="1:18" s="139" customFormat="1" ht="24.75" customHeight="1" thickBot="1">
      <c r="A220" s="118" t="s">
        <v>920</v>
      </c>
      <c r="B220" s="251" t="s">
        <v>369</v>
      </c>
      <c r="C220" s="138"/>
      <c r="D220" s="223"/>
      <c r="E220" s="339">
        <f>H220+K220+N220+Q220</f>
        <v>384</v>
      </c>
      <c r="F220" s="124"/>
      <c r="G220" s="125"/>
      <c r="H220" s="121">
        <v>384</v>
      </c>
      <c r="I220" s="340"/>
      <c r="J220" s="125"/>
      <c r="K220" s="121"/>
      <c r="L220" s="127"/>
      <c r="M220" s="341"/>
      <c r="N220" s="342"/>
      <c r="O220" s="124"/>
      <c r="P220" s="125"/>
      <c r="Q220" s="121"/>
      <c r="R220" s="124"/>
    </row>
    <row r="221" spans="1:18" ht="21.75" customHeight="1" thickBot="1" thickTop="1">
      <c r="A221" s="343" t="s">
        <v>59</v>
      </c>
      <c r="B221" s="98" t="s">
        <v>788</v>
      </c>
      <c r="C221" s="100">
        <f>C222+C225+C228+C234+C240+C244+C248+C252+C261+C266+C269+C271+C276+C259+C238+C255</f>
        <v>24837600</v>
      </c>
      <c r="D221" s="100">
        <f>D222+D225+D228+D234+D240+D244+D248+D252+D261+D266+D269+D271+D276+D259+D238+D255</f>
        <v>25513878</v>
      </c>
      <c r="E221" s="100">
        <f>E222+E225+E228+E234+E240+E244+E248+E252+E261+E266+E269+E271+E276+E259+E238+E255</f>
        <v>6657611</v>
      </c>
      <c r="F221" s="344">
        <f>E221/D221*100</f>
        <v>26.09407711363988</v>
      </c>
      <c r="G221" s="232">
        <f>G222+G225+G228+G234+G240+G244+G248+G252+G261+G266+G269+G271+G276+G255</f>
        <v>6148913</v>
      </c>
      <c r="H221" s="100">
        <f>H222+H225+H228+H234+H240+H244+H248+H252+H261+H266+H269+H271+H276+H255</f>
        <v>1734292</v>
      </c>
      <c r="I221" s="344">
        <f>H221/G221*100</f>
        <v>28.20485506950578</v>
      </c>
      <c r="J221" s="232">
        <f>J222+J225+J228+J234+J240+J244+J248+J252+J261+J266+J269+J271+J276</f>
        <v>18925465</v>
      </c>
      <c r="K221" s="100">
        <f>K222+K225+K228+K234+K240+K244+K248+K252+K261+K266+K269+K271+K276</f>
        <v>4791464</v>
      </c>
      <c r="L221" s="344">
        <f>K221/J221*100</f>
        <v>25.31754966126328</v>
      </c>
      <c r="M221" s="345">
        <f>M222+M225+M228+M234+M240+M244+M248+M252+M261+M266+M269+M271+M276+M259</f>
        <v>423500</v>
      </c>
      <c r="N221" s="346">
        <f>N222+N225+N228+N234+N240+N244+N248+N252+N261+N266+N269+N271+N276+N259</f>
        <v>115855</v>
      </c>
      <c r="O221" s="344">
        <f>N221/M221*100</f>
        <v>27.35655253837072</v>
      </c>
      <c r="P221" s="231">
        <f>P222+P225+P228+P234+P240+P244+P248+P252+P261+P266+P269+P271+P276+P238</f>
        <v>16000</v>
      </c>
      <c r="Q221" s="100">
        <f>Q222+Q225+Q228+Q234+Q240+Q244+Q248+Q252+Q261+Q266+Q269+Q271+Q276+Q238</f>
        <v>16000</v>
      </c>
      <c r="R221" s="344">
        <f>Q221/P221*100</f>
        <v>100</v>
      </c>
    </row>
    <row r="222" spans="1:18" ht="24.75" customHeight="1" thickTop="1">
      <c r="A222" s="347" t="s">
        <v>60</v>
      </c>
      <c r="B222" s="348" t="s">
        <v>61</v>
      </c>
      <c r="C222" s="204">
        <f>C224</f>
        <v>0</v>
      </c>
      <c r="D222" s="110">
        <f>G222+J222+M222+P222</f>
        <v>0</v>
      </c>
      <c r="E222" s="110">
        <f>SUM(E223:E224)</f>
        <v>0</v>
      </c>
      <c r="F222" s="132" t="e">
        <f>E222/D222*100</f>
        <v>#DIV/0!</v>
      </c>
      <c r="G222" s="211">
        <f>G224</f>
        <v>0</v>
      </c>
      <c r="H222" s="205">
        <f>H224</f>
        <v>0</v>
      </c>
      <c r="I222" s="206" t="e">
        <f>H222/G222*100</f>
        <v>#DIV/0!</v>
      </c>
      <c r="J222" s="211"/>
      <c r="K222" s="205"/>
      <c r="L222" s="206"/>
      <c r="M222" s="211">
        <f>M224</f>
        <v>0</v>
      </c>
      <c r="N222" s="205">
        <f>SUM(N223:N224)</f>
        <v>0</v>
      </c>
      <c r="O222" s="132" t="e">
        <f>N222/M222*100</f>
        <v>#DIV/0!</v>
      </c>
      <c r="P222" s="211"/>
      <c r="Q222" s="205"/>
      <c r="R222" s="206"/>
    </row>
    <row r="223" spans="1:18" ht="16.5" customHeight="1">
      <c r="A223" s="349" t="s">
        <v>947</v>
      </c>
      <c r="B223" s="119" t="s">
        <v>223</v>
      </c>
      <c r="C223" s="138"/>
      <c r="D223" s="178"/>
      <c r="E223" s="178">
        <f>N223</f>
        <v>0</v>
      </c>
      <c r="F223" s="124"/>
      <c r="G223" s="238"/>
      <c r="H223" s="89"/>
      <c r="I223" s="124"/>
      <c r="J223" s="238"/>
      <c r="K223" s="89"/>
      <c r="L223" s="124"/>
      <c r="M223" s="238"/>
      <c r="N223" s="89"/>
      <c r="O223" s="124"/>
      <c r="P223" s="238"/>
      <c r="Q223" s="89"/>
      <c r="R223" s="124"/>
    </row>
    <row r="224" spans="1:18" ht="13.5" customHeight="1">
      <c r="A224" s="349" t="s">
        <v>920</v>
      </c>
      <c r="B224" s="86" t="s">
        <v>940</v>
      </c>
      <c r="C224" s="138"/>
      <c r="D224" s="89">
        <f>G224+J224+M224+P224</f>
        <v>0</v>
      </c>
      <c r="E224" s="89">
        <f>H224+K224+N224+Q224</f>
        <v>0</v>
      </c>
      <c r="F224" s="124"/>
      <c r="G224" s="238"/>
      <c r="H224" s="89"/>
      <c r="I224" s="124"/>
      <c r="J224" s="238"/>
      <c r="K224" s="89"/>
      <c r="L224" s="124"/>
      <c r="M224" s="238"/>
      <c r="N224" s="89"/>
      <c r="O224" s="127"/>
      <c r="P224" s="238"/>
      <c r="Q224" s="89"/>
      <c r="R224" s="124"/>
    </row>
    <row r="225" spans="1:18" ht="15.75" customHeight="1">
      <c r="A225" s="304" t="s">
        <v>62</v>
      </c>
      <c r="B225" s="350" t="s">
        <v>795</v>
      </c>
      <c r="C225" s="130"/>
      <c r="D225" s="131">
        <f>G225+J225+M225+P225</f>
        <v>0</v>
      </c>
      <c r="E225" s="131">
        <f>H225+K225+N225+Q225</f>
        <v>201</v>
      </c>
      <c r="F225" s="132" t="e">
        <f>E225/D225*100</f>
        <v>#DIV/0!</v>
      </c>
      <c r="G225" s="131">
        <f>SUM(G226:G227)</f>
        <v>0</v>
      </c>
      <c r="H225" s="131">
        <f>SUM(H226:H227)</f>
        <v>201</v>
      </c>
      <c r="I225" s="132" t="e">
        <f aca="true" t="shared" si="25" ref="I225:I231">H225/G225*100</f>
        <v>#DIV/0!</v>
      </c>
      <c r="J225" s="136"/>
      <c r="K225" s="131"/>
      <c r="L225" s="132"/>
      <c r="M225" s="136"/>
      <c r="N225" s="131"/>
      <c r="O225" s="132"/>
      <c r="P225" s="136"/>
      <c r="Q225" s="131"/>
      <c r="R225" s="132"/>
    </row>
    <row r="226" spans="1:18" s="139" customFormat="1" ht="15.75" customHeight="1">
      <c r="A226" s="349" t="s">
        <v>947</v>
      </c>
      <c r="B226" s="119" t="s">
        <v>223</v>
      </c>
      <c r="C226" s="138"/>
      <c r="D226" s="178">
        <f>G226</f>
        <v>0</v>
      </c>
      <c r="E226" s="178">
        <f>H226</f>
        <v>5</v>
      </c>
      <c r="F226" s="124" t="e">
        <f>E226/D226*100</f>
        <v>#DIV/0!</v>
      </c>
      <c r="G226" s="237"/>
      <c r="H226" s="89">
        <v>5</v>
      </c>
      <c r="I226" s="124" t="e">
        <f t="shared" si="25"/>
        <v>#DIV/0!</v>
      </c>
      <c r="J226" s="238"/>
      <c r="K226" s="89"/>
      <c r="L226" s="124"/>
      <c r="M226" s="238"/>
      <c r="N226" s="89"/>
      <c r="O226" s="124"/>
      <c r="P226" s="238"/>
      <c r="Q226" s="89"/>
      <c r="R226" s="124"/>
    </row>
    <row r="227" spans="1:18" s="139" customFormat="1" ht="15" customHeight="1">
      <c r="A227" s="349" t="s">
        <v>920</v>
      </c>
      <c r="B227" s="86" t="s">
        <v>940</v>
      </c>
      <c r="C227" s="138"/>
      <c r="D227" s="223">
        <f>G227+J227+M227+P227</f>
        <v>0</v>
      </c>
      <c r="E227" s="89">
        <f>H227+K227+N227+Q227</f>
        <v>196</v>
      </c>
      <c r="F227" s="124" t="e">
        <f>E227/D227*100</f>
        <v>#DIV/0!</v>
      </c>
      <c r="G227" s="238"/>
      <c r="H227" s="89">
        <v>196</v>
      </c>
      <c r="I227" s="124" t="e">
        <f t="shared" si="25"/>
        <v>#DIV/0!</v>
      </c>
      <c r="J227" s="236"/>
      <c r="K227" s="223"/>
      <c r="L227" s="224"/>
      <c r="M227" s="236"/>
      <c r="N227" s="223"/>
      <c r="O227" s="127"/>
      <c r="P227" s="238"/>
      <c r="Q227" s="89"/>
      <c r="R227" s="124"/>
    </row>
    <row r="228" spans="1:18" ht="16.5" customHeight="1">
      <c r="A228" s="304" t="s">
        <v>63</v>
      </c>
      <c r="B228" s="350" t="s">
        <v>797</v>
      </c>
      <c r="C228" s="294">
        <f>SUM(C229:C232)</f>
        <v>765000</v>
      </c>
      <c r="D228" s="134">
        <f>SUM(D229:D233)</f>
        <v>765000</v>
      </c>
      <c r="E228" s="134">
        <f>SUM(E229:E233)</f>
        <v>244078</v>
      </c>
      <c r="F228" s="132">
        <f>E228/D228*100</f>
        <v>31.905620915032678</v>
      </c>
      <c r="G228" s="134">
        <f>SUM(G229:G233)</f>
        <v>35000</v>
      </c>
      <c r="H228" s="134">
        <f>SUM(H229:H233)</f>
        <v>6829</v>
      </c>
      <c r="I228" s="132">
        <f t="shared" si="25"/>
        <v>19.51142857142857</v>
      </c>
      <c r="J228" s="294">
        <f>SUM(J229:J233)</f>
        <v>730000</v>
      </c>
      <c r="K228" s="134">
        <f>SUM(K229:K233)</f>
        <v>237249</v>
      </c>
      <c r="L228" s="132">
        <f>K228/J228*100</f>
        <v>32.49986301369863</v>
      </c>
      <c r="M228" s="133"/>
      <c r="N228" s="134"/>
      <c r="O228" s="137"/>
      <c r="P228" s="133"/>
      <c r="Q228" s="134"/>
      <c r="R228" s="137"/>
    </row>
    <row r="229" spans="1:18" ht="23.25">
      <c r="A229" s="299" t="s">
        <v>1068</v>
      </c>
      <c r="B229" s="176" t="s">
        <v>370</v>
      </c>
      <c r="C229" s="177">
        <v>35000</v>
      </c>
      <c r="D229" s="178">
        <f>G229+J229+M229+P229</f>
        <v>35000</v>
      </c>
      <c r="E229" s="178">
        <f>H229+K229+N229+Q229</f>
        <v>6435</v>
      </c>
      <c r="F229" s="179">
        <f>E229/D229*100</f>
        <v>18.385714285714286</v>
      </c>
      <c r="G229" s="180">
        <v>35000</v>
      </c>
      <c r="H229" s="181">
        <v>6435</v>
      </c>
      <c r="I229" s="179">
        <f t="shared" si="25"/>
        <v>18.385714285714286</v>
      </c>
      <c r="J229" s="306"/>
      <c r="K229" s="307"/>
      <c r="L229" s="183"/>
      <c r="M229" s="180"/>
      <c r="N229" s="181"/>
      <c r="O229" s="179"/>
      <c r="P229" s="180"/>
      <c r="Q229" s="181"/>
      <c r="R229" s="183"/>
    </row>
    <row r="230" spans="1:18" ht="15" customHeight="1">
      <c r="A230" s="349" t="s">
        <v>947</v>
      </c>
      <c r="B230" s="119" t="s">
        <v>223</v>
      </c>
      <c r="C230" s="138"/>
      <c r="D230" s="89">
        <f>G230+J230+M230+P230</f>
        <v>0</v>
      </c>
      <c r="E230" s="89">
        <f>H230+K230+N230+Q230</f>
        <v>0</v>
      </c>
      <c r="F230" s="124" t="e">
        <f>E230/D230*100</f>
        <v>#DIV/0!</v>
      </c>
      <c r="G230" s="125"/>
      <c r="H230" s="121"/>
      <c r="I230" s="124" t="e">
        <f t="shared" si="25"/>
        <v>#DIV/0!</v>
      </c>
      <c r="J230" s="188"/>
      <c r="K230" s="186"/>
      <c r="L230" s="127"/>
      <c r="M230" s="125"/>
      <c r="N230" s="121"/>
      <c r="O230" s="124"/>
      <c r="P230" s="125"/>
      <c r="Q230" s="121"/>
      <c r="R230" s="127"/>
    </row>
    <row r="231" spans="1:18" s="139" customFormat="1" ht="17.25" customHeight="1">
      <c r="A231" s="349" t="s">
        <v>920</v>
      </c>
      <c r="B231" s="86" t="s">
        <v>940</v>
      </c>
      <c r="C231" s="138"/>
      <c r="D231" s="89">
        <f>G231</f>
        <v>0</v>
      </c>
      <c r="E231" s="89">
        <f>H231+K231+N231+Q231</f>
        <v>58</v>
      </c>
      <c r="F231" s="124" t="e">
        <f>E231/D231*100</f>
        <v>#DIV/0!</v>
      </c>
      <c r="G231" s="125"/>
      <c r="H231" s="121">
        <v>58</v>
      </c>
      <c r="I231" s="124" t="e">
        <f t="shared" si="25"/>
        <v>#DIV/0!</v>
      </c>
      <c r="J231" s="188"/>
      <c r="K231" s="186"/>
      <c r="L231" s="127"/>
      <c r="M231" s="125"/>
      <c r="N231" s="121"/>
      <c r="O231" s="124"/>
      <c r="P231" s="125"/>
      <c r="Q231" s="121"/>
      <c r="R231" s="127"/>
    </row>
    <row r="232" spans="1:18" s="139" customFormat="1" ht="62.25" customHeight="1">
      <c r="A232" s="349" t="s">
        <v>907</v>
      </c>
      <c r="B232" s="86" t="s">
        <v>64</v>
      </c>
      <c r="C232" s="138">
        <v>730000</v>
      </c>
      <c r="D232" s="89">
        <f>G232+J232+M232+P232</f>
        <v>730000</v>
      </c>
      <c r="E232" s="89">
        <f>H232+K232+N232+Q232</f>
        <v>237249</v>
      </c>
      <c r="F232" s="124">
        <f>E232/D232*100</f>
        <v>32.49986301369863</v>
      </c>
      <c r="G232" s="125"/>
      <c r="H232" s="121"/>
      <c r="I232" s="124"/>
      <c r="J232" s="125">
        <v>730000</v>
      </c>
      <c r="K232" s="121">
        <v>237249</v>
      </c>
      <c r="L232" s="124">
        <f>K232/J232*100</f>
        <v>32.49986301369863</v>
      </c>
      <c r="M232" s="125"/>
      <c r="N232" s="121"/>
      <c r="O232" s="124"/>
      <c r="P232" s="125"/>
      <c r="Q232" s="121"/>
      <c r="R232" s="127"/>
    </row>
    <row r="233" spans="1:18" s="139" customFormat="1" ht="53.25" customHeight="1">
      <c r="A233" s="310" t="s">
        <v>938</v>
      </c>
      <c r="B233" s="221" t="s">
        <v>976</v>
      </c>
      <c r="C233" s="222"/>
      <c r="D233" s="223"/>
      <c r="E233" s="223">
        <f>H233+K233+N233+Q233</f>
        <v>336</v>
      </c>
      <c r="F233" s="224"/>
      <c r="G233" s="225"/>
      <c r="H233" s="226">
        <v>336</v>
      </c>
      <c r="I233" s="224"/>
      <c r="J233" s="225"/>
      <c r="K233" s="226"/>
      <c r="L233" s="224"/>
      <c r="M233" s="225"/>
      <c r="N233" s="226"/>
      <c r="O233" s="224"/>
      <c r="P233" s="225"/>
      <c r="Q233" s="226"/>
      <c r="R233" s="293"/>
    </row>
    <row r="234" spans="1:18" ht="17.25" customHeight="1">
      <c r="A234" s="304" t="s">
        <v>65</v>
      </c>
      <c r="B234" s="129" t="s">
        <v>803</v>
      </c>
      <c r="C234" s="130">
        <f>SUM(C236:C237)</f>
        <v>410000</v>
      </c>
      <c r="D234" s="131">
        <f>SUM(D235:D237)</f>
        <v>410000</v>
      </c>
      <c r="E234" s="131">
        <f>SUM(E235:E237)</f>
        <v>102338</v>
      </c>
      <c r="F234" s="132">
        <f>E234/D234*100</f>
        <v>24.96048780487805</v>
      </c>
      <c r="G234" s="133"/>
      <c r="H234" s="134"/>
      <c r="I234" s="185"/>
      <c r="J234" s="133"/>
      <c r="K234" s="134"/>
      <c r="L234" s="137"/>
      <c r="M234" s="133">
        <f>SUM(M235:M237)</f>
        <v>410000</v>
      </c>
      <c r="N234" s="134">
        <f>SUM(N235:N237)</f>
        <v>102338</v>
      </c>
      <c r="O234" s="137">
        <f>N234/M234*100</f>
        <v>24.96048780487805</v>
      </c>
      <c r="P234" s="134"/>
      <c r="Q234" s="134"/>
      <c r="R234" s="137"/>
    </row>
    <row r="235" spans="1:18" ht="15.75" customHeight="1">
      <c r="A235" s="351" t="s">
        <v>947</v>
      </c>
      <c r="B235" s="352" t="s">
        <v>223</v>
      </c>
      <c r="C235" s="213"/>
      <c r="D235" s="214">
        <f aca="true" t="shared" si="26" ref="D235:E237">G235+J235+M235+P235</f>
        <v>0</v>
      </c>
      <c r="E235" s="214">
        <f t="shared" si="26"/>
        <v>0</v>
      </c>
      <c r="F235" s="185" t="e">
        <f>E235/D235*100</f>
        <v>#DIV/0!</v>
      </c>
      <c r="G235" s="215"/>
      <c r="H235" s="216"/>
      <c r="I235" s="185"/>
      <c r="J235" s="215"/>
      <c r="K235" s="216"/>
      <c r="L235" s="300"/>
      <c r="M235" s="215"/>
      <c r="N235" s="216"/>
      <c r="O235" s="300" t="e">
        <f>N235/M235*100</f>
        <v>#DIV/0!</v>
      </c>
      <c r="P235" s="215"/>
      <c r="Q235" s="216"/>
      <c r="R235" s="300"/>
    </row>
    <row r="236" spans="1:18" s="139" customFormat="1" ht="34.5" customHeight="1">
      <c r="A236" s="349" t="s">
        <v>920</v>
      </c>
      <c r="B236" s="119" t="s">
        <v>371</v>
      </c>
      <c r="C236" s="138">
        <v>15000</v>
      </c>
      <c r="D236" s="89">
        <f>G236+J236+M236+P236</f>
        <v>15000</v>
      </c>
      <c r="E236" s="89">
        <f t="shared" si="26"/>
        <v>1201</v>
      </c>
      <c r="F236" s="124">
        <f>E236/D236*100</f>
        <v>8.006666666666666</v>
      </c>
      <c r="G236" s="125"/>
      <c r="H236" s="121"/>
      <c r="I236" s="124"/>
      <c r="J236" s="188"/>
      <c r="K236" s="186"/>
      <c r="L236" s="127"/>
      <c r="M236" s="125">
        <v>15000</v>
      </c>
      <c r="N236" s="121">
        <v>1201</v>
      </c>
      <c r="O236" s="127">
        <f>N236/M236*100</f>
        <v>8.006666666666666</v>
      </c>
      <c r="P236" s="125"/>
      <c r="Q236" s="121"/>
      <c r="R236" s="127"/>
    </row>
    <row r="237" spans="1:18" s="139" customFormat="1" ht="51" customHeight="1">
      <c r="A237" s="310" t="s">
        <v>66</v>
      </c>
      <c r="B237" s="312" t="s">
        <v>67</v>
      </c>
      <c r="C237" s="222">
        <v>395000</v>
      </c>
      <c r="D237" s="223">
        <f t="shared" si="26"/>
        <v>395000</v>
      </c>
      <c r="E237" s="223">
        <f t="shared" si="26"/>
        <v>101137</v>
      </c>
      <c r="F237" s="224">
        <f>E237/D237*100</f>
        <v>25.604303797468354</v>
      </c>
      <c r="G237" s="225"/>
      <c r="H237" s="226"/>
      <c r="I237" s="224"/>
      <c r="J237" s="225"/>
      <c r="K237" s="226"/>
      <c r="L237" s="293"/>
      <c r="M237" s="225">
        <v>395000</v>
      </c>
      <c r="N237" s="226">
        <v>101137</v>
      </c>
      <c r="O237" s="293">
        <f>N237/M237*100</f>
        <v>25.604303797468354</v>
      </c>
      <c r="P237" s="225"/>
      <c r="Q237" s="226"/>
      <c r="R237" s="293"/>
    </row>
    <row r="238" spans="1:18" s="255" customFormat="1" ht="37.5" customHeight="1">
      <c r="A238" s="347" t="s">
        <v>372</v>
      </c>
      <c r="B238" s="129" t="s">
        <v>373</v>
      </c>
      <c r="C238" s="353">
        <f>C239</f>
        <v>16000</v>
      </c>
      <c r="D238" s="205">
        <f>D239</f>
        <v>16000</v>
      </c>
      <c r="E238" s="205">
        <f>E239</f>
        <v>16000</v>
      </c>
      <c r="F238" s="206">
        <f>E238/D238*100</f>
        <v>100</v>
      </c>
      <c r="G238" s="354"/>
      <c r="H238" s="209"/>
      <c r="I238" s="206"/>
      <c r="J238" s="354"/>
      <c r="K238" s="209"/>
      <c r="L238" s="283"/>
      <c r="M238" s="208"/>
      <c r="N238" s="209"/>
      <c r="O238" s="283"/>
      <c r="P238" s="208">
        <f>P239</f>
        <v>16000</v>
      </c>
      <c r="Q238" s="209">
        <f>Q239</f>
        <v>16000</v>
      </c>
      <c r="R238" s="283">
        <f>Q238/P238*100</f>
        <v>100</v>
      </c>
    </row>
    <row r="239" spans="1:18" s="139" customFormat="1" ht="66" customHeight="1">
      <c r="A239" s="310" t="s">
        <v>936</v>
      </c>
      <c r="B239" s="240" t="s">
        <v>937</v>
      </c>
      <c r="C239" s="355">
        <v>16000</v>
      </c>
      <c r="D239" s="223">
        <f>P239</f>
        <v>16000</v>
      </c>
      <c r="E239" s="223">
        <f>Q239</f>
        <v>16000</v>
      </c>
      <c r="F239" s="224"/>
      <c r="G239" s="327"/>
      <c r="H239" s="226"/>
      <c r="I239" s="224"/>
      <c r="J239" s="327"/>
      <c r="K239" s="226"/>
      <c r="L239" s="293"/>
      <c r="M239" s="225"/>
      <c r="N239" s="226"/>
      <c r="O239" s="293"/>
      <c r="P239" s="225">
        <v>16000</v>
      </c>
      <c r="Q239" s="226">
        <v>16000</v>
      </c>
      <c r="R239" s="293"/>
    </row>
    <row r="240" spans="1:18" ht="63.75" customHeight="1">
      <c r="A240" s="304" t="s">
        <v>68</v>
      </c>
      <c r="B240" s="129" t="s">
        <v>287</v>
      </c>
      <c r="C240" s="230">
        <f>SUM(C241:C242)</f>
        <v>18150000</v>
      </c>
      <c r="D240" s="134">
        <f>SUM(D241:D242)</f>
        <v>18150000</v>
      </c>
      <c r="E240" s="134">
        <f>SUM(E241:E243)</f>
        <v>4574235</v>
      </c>
      <c r="F240" s="132">
        <f>E240/D240*100</f>
        <v>25.202396694214872</v>
      </c>
      <c r="G240" s="134">
        <f>SUM(G241:G242)</f>
        <v>150000</v>
      </c>
      <c r="H240" s="134">
        <f>SUM(H241:H243)</f>
        <v>74235</v>
      </c>
      <c r="I240" s="132">
        <f>H240/G240*100</f>
        <v>49.49</v>
      </c>
      <c r="J240" s="134">
        <f>SUM(J241:J242)</f>
        <v>18000000</v>
      </c>
      <c r="K240" s="134">
        <f>SUM(K241:K242)</f>
        <v>4500000</v>
      </c>
      <c r="L240" s="132">
        <f>K240/J240*100</f>
        <v>25</v>
      </c>
      <c r="M240" s="133"/>
      <c r="N240" s="134"/>
      <c r="O240" s="137"/>
      <c r="P240" s="133"/>
      <c r="Q240" s="134"/>
      <c r="R240" s="132"/>
    </row>
    <row r="241" spans="1:18" s="139" customFormat="1" ht="63" customHeight="1">
      <c r="A241" s="299" t="s">
        <v>907</v>
      </c>
      <c r="B241" s="314" t="s">
        <v>64</v>
      </c>
      <c r="C241" s="177">
        <v>18000000</v>
      </c>
      <c r="D241" s="178">
        <f>G241+J241+M241+P241</f>
        <v>18000000</v>
      </c>
      <c r="E241" s="178">
        <f>H241+K241+N241+Q241</f>
        <v>4500000</v>
      </c>
      <c r="F241" s="179">
        <f>E241/D241*100</f>
        <v>25</v>
      </c>
      <c r="G241" s="180"/>
      <c r="H241" s="181"/>
      <c r="I241" s="179"/>
      <c r="J241" s="180">
        <v>18000000</v>
      </c>
      <c r="K241" s="181">
        <v>4500000</v>
      </c>
      <c r="L241" s="179">
        <f>K241/J241*100</f>
        <v>25</v>
      </c>
      <c r="M241" s="180"/>
      <c r="N241" s="181"/>
      <c r="O241" s="183"/>
      <c r="P241" s="180"/>
      <c r="Q241" s="181"/>
      <c r="R241" s="183"/>
    </row>
    <row r="242" spans="1:18" s="139" customFormat="1" ht="39.75" customHeight="1">
      <c r="A242" s="349" t="s">
        <v>374</v>
      </c>
      <c r="B242" s="219" t="s">
        <v>375</v>
      </c>
      <c r="C242" s="138">
        <v>150000</v>
      </c>
      <c r="D242" s="89">
        <f>G242+J242+M242+P242</f>
        <v>150000</v>
      </c>
      <c r="E242" s="89">
        <f>H242+K242+N242+Q242</f>
        <v>61731</v>
      </c>
      <c r="F242" s="124">
        <f>E242/D242*100</f>
        <v>41.154</v>
      </c>
      <c r="G242" s="125">
        <v>150000</v>
      </c>
      <c r="H242" s="121">
        <v>61731</v>
      </c>
      <c r="I242" s="124">
        <f>H242/G242*100</f>
        <v>41.154</v>
      </c>
      <c r="J242" s="125"/>
      <c r="K242" s="121"/>
      <c r="L242" s="124"/>
      <c r="M242" s="125"/>
      <c r="N242" s="121"/>
      <c r="O242" s="127"/>
      <c r="P242" s="125"/>
      <c r="Q242" s="121"/>
      <c r="R242" s="127"/>
    </row>
    <row r="243" spans="1:18" s="139" customFormat="1" ht="50.25" customHeight="1">
      <c r="A243" s="310" t="s">
        <v>938</v>
      </c>
      <c r="B243" s="221" t="s">
        <v>976</v>
      </c>
      <c r="C243" s="222"/>
      <c r="D243" s="223"/>
      <c r="E243" s="223">
        <f>H243</f>
        <v>12504</v>
      </c>
      <c r="F243" s="252"/>
      <c r="G243" s="225"/>
      <c r="H243" s="226">
        <v>12504</v>
      </c>
      <c r="I243" s="224"/>
      <c r="J243" s="225"/>
      <c r="K243" s="226"/>
      <c r="L243" s="224"/>
      <c r="M243" s="225"/>
      <c r="N243" s="226"/>
      <c r="O243" s="293"/>
      <c r="P243" s="225"/>
      <c r="Q243" s="226"/>
      <c r="R243" s="293"/>
    </row>
    <row r="244" spans="1:18" ht="66" customHeight="1">
      <c r="A244" s="304" t="s">
        <v>69</v>
      </c>
      <c r="B244" s="350" t="s">
        <v>70</v>
      </c>
      <c r="C244" s="130">
        <f>SUM(C246:C247)</f>
        <v>188000</v>
      </c>
      <c r="D244" s="131">
        <f>SUM(D246:D247)</f>
        <v>202000</v>
      </c>
      <c r="E244" s="131">
        <f>SUM(E245:E247)</f>
        <v>54015</v>
      </c>
      <c r="F244" s="229">
        <f>E244/D244*100</f>
        <v>26.74009900990099</v>
      </c>
      <c r="G244" s="133">
        <f>G247</f>
        <v>157000</v>
      </c>
      <c r="H244" s="134">
        <f>SUM(H245:H247)</f>
        <v>37765</v>
      </c>
      <c r="I244" s="132">
        <f>H244/G244*100</f>
        <v>24.054140127388536</v>
      </c>
      <c r="J244" s="133">
        <f>J246</f>
        <v>45000</v>
      </c>
      <c r="K244" s="134">
        <f>K246</f>
        <v>16250</v>
      </c>
      <c r="L244" s="132">
        <f>K244/J244*100</f>
        <v>36.11111111111111</v>
      </c>
      <c r="M244" s="133"/>
      <c r="N244" s="134"/>
      <c r="O244" s="185"/>
      <c r="P244" s="133"/>
      <c r="Q244" s="134"/>
      <c r="R244" s="300"/>
    </row>
    <row r="245" spans="1:18" s="139" customFormat="1" ht="24.75" customHeight="1">
      <c r="A245" s="349" t="s">
        <v>920</v>
      </c>
      <c r="B245" s="119" t="s">
        <v>376</v>
      </c>
      <c r="C245" s="177"/>
      <c r="D245" s="178"/>
      <c r="E245" s="178">
        <f>H245</f>
        <v>614</v>
      </c>
      <c r="F245" s="243"/>
      <c r="G245" s="180"/>
      <c r="H245" s="181">
        <v>614</v>
      </c>
      <c r="I245" s="179"/>
      <c r="J245" s="180"/>
      <c r="K245" s="181"/>
      <c r="L245" s="179"/>
      <c r="M245" s="180"/>
      <c r="N245" s="181"/>
      <c r="O245" s="179"/>
      <c r="P245" s="180"/>
      <c r="Q245" s="181"/>
      <c r="R245" s="183"/>
    </row>
    <row r="246" spans="1:18" s="139" customFormat="1" ht="62.25" customHeight="1">
      <c r="A246" s="349" t="s">
        <v>907</v>
      </c>
      <c r="B246" s="119" t="s">
        <v>64</v>
      </c>
      <c r="C246" s="138">
        <v>45000</v>
      </c>
      <c r="D246" s="89">
        <f>G246+J246+M246+P246</f>
        <v>45000</v>
      </c>
      <c r="E246" s="89">
        <f>H246+K246+N246+Q246</f>
        <v>16250</v>
      </c>
      <c r="F246" s="122">
        <f>E246/D246*100</f>
        <v>36.11111111111111</v>
      </c>
      <c r="G246" s="125"/>
      <c r="H246" s="121"/>
      <c r="I246" s="124"/>
      <c r="J246" s="125">
        <v>45000</v>
      </c>
      <c r="K246" s="121">
        <v>16250</v>
      </c>
      <c r="L246" s="124">
        <f>K246/J246*100</f>
        <v>36.11111111111111</v>
      </c>
      <c r="M246" s="125"/>
      <c r="N246" s="121"/>
      <c r="O246" s="124"/>
      <c r="P246" s="125"/>
      <c r="Q246" s="121"/>
      <c r="R246" s="127"/>
    </row>
    <row r="247" spans="1:18" s="139" customFormat="1" ht="38.25" customHeight="1">
      <c r="A247" s="310" t="s">
        <v>1070</v>
      </c>
      <c r="B247" s="251" t="s">
        <v>73</v>
      </c>
      <c r="C247" s="222">
        <v>143000</v>
      </c>
      <c r="D247" s="223">
        <f>G247</f>
        <v>157000</v>
      </c>
      <c r="E247" s="223">
        <f>H247</f>
        <v>37151</v>
      </c>
      <c r="F247" s="252">
        <f>E247/D247*100</f>
        <v>23.663057324840764</v>
      </c>
      <c r="G247" s="225">
        <f>143000+14000</f>
        <v>157000</v>
      </c>
      <c r="H247" s="226">
        <v>37151</v>
      </c>
      <c r="I247" s="224">
        <f>H247/G247*100</f>
        <v>23.663057324840764</v>
      </c>
      <c r="J247" s="225"/>
      <c r="K247" s="226"/>
      <c r="L247" s="224"/>
      <c r="M247" s="225"/>
      <c r="N247" s="226"/>
      <c r="O247" s="224"/>
      <c r="P247" s="225"/>
      <c r="Q247" s="226"/>
      <c r="R247" s="293"/>
    </row>
    <row r="248" spans="1:18" ht="39" customHeight="1">
      <c r="A248" s="304" t="s">
        <v>71</v>
      </c>
      <c r="B248" s="350" t="s">
        <v>72</v>
      </c>
      <c r="C248" s="130">
        <f>SUM(C250:C251)</f>
        <v>1983000</v>
      </c>
      <c r="D248" s="131">
        <f>SUM(D249:D251)</f>
        <v>1983000</v>
      </c>
      <c r="E248" s="131">
        <f>SUM(E249:E251)</f>
        <v>625878</v>
      </c>
      <c r="F248" s="229">
        <f>E248/D248*100</f>
        <v>31.562178517397882</v>
      </c>
      <c r="G248" s="133">
        <f>SUM(G249:G251)</f>
        <v>1983000</v>
      </c>
      <c r="H248" s="134">
        <f>SUM(H249:H251)</f>
        <v>625878</v>
      </c>
      <c r="I248" s="132">
        <f>H248/G248*100</f>
        <v>31.562178517397882</v>
      </c>
      <c r="J248" s="133"/>
      <c r="K248" s="134"/>
      <c r="L248" s="132" t="e">
        <f>K248/J248*100</f>
        <v>#DIV/0!</v>
      </c>
      <c r="M248" s="133"/>
      <c r="N248" s="134"/>
      <c r="O248" s="300"/>
      <c r="P248" s="133"/>
      <c r="Q248" s="134"/>
      <c r="R248" s="300"/>
    </row>
    <row r="249" spans="1:18" s="139" customFormat="1" ht="12.75">
      <c r="A249" s="349" t="s">
        <v>947</v>
      </c>
      <c r="B249" s="119" t="s">
        <v>223</v>
      </c>
      <c r="C249" s="177"/>
      <c r="D249" s="178">
        <f>G249</f>
        <v>0</v>
      </c>
      <c r="E249" s="178">
        <f>H249</f>
        <v>0</v>
      </c>
      <c r="F249" s="243" t="e">
        <f>E249/D249*100</f>
        <v>#DIV/0!</v>
      </c>
      <c r="G249" s="180"/>
      <c r="H249" s="181"/>
      <c r="I249" s="179" t="e">
        <f>H249/G249*100</f>
        <v>#DIV/0!</v>
      </c>
      <c r="J249" s="180"/>
      <c r="K249" s="181"/>
      <c r="L249" s="179"/>
      <c r="M249" s="306"/>
      <c r="N249" s="307"/>
      <c r="O249" s="183"/>
      <c r="P249" s="306"/>
      <c r="Q249" s="307"/>
      <c r="R249" s="183"/>
    </row>
    <row r="250" spans="1:18" s="139" customFormat="1" ht="26.25" customHeight="1">
      <c r="A250" s="349" t="s">
        <v>920</v>
      </c>
      <c r="B250" s="119" t="s">
        <v>377</v>
      </c>
      <c r="C250" s="120">
        <v>20000</v>
      </c>
      <c r="D250" s="89">
        <f>G250+J250+M250+P250</f>
        <v>20000</v>
      </c>
      <c r="E250" s="89">
        <f>H250+K250+N250+Q250</f>
        <v>6129</v>
      </c>
      <c r="F250" s="124">
        <f>E250/D250*100</f>
        <v>30.645</v>
      </c>
      <c r="G250" s="125">
        <v>20000</v>
      </c>
      <c r="H250" s="121">
        <v>6129</v>
      </c>
      <c r="I250" s="124">
        <f>H250/G250*100</f>
        <v>30.645</v>
      </c>
      <c r="J250" s="125"/>
      <c r="K250" s="121"/>
      <c r="L250" s="124"/>
      <c r="M250" s="125"/>
      <c r="N250" s="121"/>
      <c r="O250" s="127"/>
      <c r="P250" s="125"/>
      <c r="Q250" s="121"/>
      <c r="R250" s="127"/>
    </row>
    <row r="251" spans="1:18" s="139" customFormat="1" ht="37.5" customHeight="1">
      <c r="A251" s="310" t="s">
        <v>1070</v>
      </c>
      <c r="B251" s="251" t="s">
        <v>73</v>
      </c>
      <c r="C251" s="222">
        <v>1963000</v>
      </c>
      <c r="D251" s="223">
        <f>G251+J251+M251+P251</f>
        <v>1963000</v>
      </c>
      <c r="E251" s="223">
        <f>H251+K251+N251+Q251</f>
        <v>619749</v>
      </c>
      <c r="F251" s="224">
        <f>E251/D251*100</f>
        <v>31.571523178807947</v>
      </c>
      <c r="G251" s="225">
        <v>1963000</v>
      </c>
      <c r="H251" s="226">
        <v>619749</v>
      </c>
      <c r="I251" s="224">
        <f aca="true" t="shared" si="27" ref="I251:I265">H251/G251*100</f>
        <v>31.571523178807947</v>
      </c>
      <c r="J251" s="225"/>
      <c r="K251" s="226"/>
      <c r="L251" s="224"/>
      <c r="M251" s="225"/>
      <c r="N251" s="226"/>
      <c r="O251" s="293"/>
      <c r="P251" s="225"/>
      <c r="Q251" s="226"/>
      <c r="R251" s="293"/>
    </row>
    <row r="252" spans="1:18" ht="15.75" customHeight="1">
      <c r="A252" s="304" t="s">
        <v>74</v>
      </c>
      <c r="B252" s="350" t="s">
        <v>807</v>
      </c>
      <c r="C252" s="136">
        <f>SUM(C254:C254)</f>
        <v>20000</v>
      </c>
      <c r="D252" s="131">
        <f>SUM(D253:D254)</f>
        <v>20000</v>
      </c>
      <c r="E252" s="131">
        <f>SUM(E253:E254)</f>
        <v>8477</v>
      </c>
      <c r="F252" s="132">
        <f>E252/D252*100</f>
        <v>42.385</v>
      </c>
      <c r="G252" s="136">
        <f>SUM(G253:G254)</f>
        <v>20000</v>
      </c>
      <c r="H252" s="356">
        <f>SUM(H253:H254)</f>
        <v>8477</v>
      </c>
      <c r="I252" s="132">
        <f t="shared" si="27"/>
        <v>42.385</v>
      </c>
      <c r="J252" s="215"/>
      <c r="K252" s="216"/>
      <c r="L252" s="300"/>
      <c r="M252" s="215"/>
      <c r="N252" s="216"/>
      <c r="O252" s="300"/>
      <c r="P252" s="215"/>
      <c r="Q252" s="216"/>
      <c r="R252" s="300"/>
    </row>
    <row r="253" spans="1:18" s="139" customFormat="1" ht="15.75" customHeight="1">
      <c r="A253" s="349" t="s">
        <v>947</v>
      </c>
      <c r="B253" s="119" t="s">
        <v>223</v>
      </c>
      <c r="C253" s="357"/>
      <c r="D253" s="89">
        <f>G253</f>
        <v>0</v>
      </c>
      <c r="E253" s="89">
        <f>H253</f>
        <v>114</v>
      </c>
      <c r="F253" s="122" t="e">
        <f>E253/D253*100</f>
        <v>#DIV/0!</v>
      </c>
      <c r="G253" s="238"/>
      <c r="H253" s="358">
        <v>114</v>
      </c>
      <c r="I253" s="124" t="e">
        <f>H253/G253*100</f>
        <v>#DIV/0!</v>
      </c>
      <c r="J253" s="125"/>
      <c r="K253" s="121"/>
      <c r="L253" s="127"/>
      <c r="M253" s="125"/>
      <c r="N253" s="121"/>
      <c r="O253" s="127"/>
      <c r="P253" s="125"/>
      <c r="Q253" s="121"/>
      <c r="R253" s="127"/>
    </row>
    <row r="254" spans="1:18" s="139" customFormat="1" ht="26.25" customHeight="1">
      <c r="A254" s="310" t="s">
        <v>920</v>
      </c>
      <c r="B254" s="312" t="s">
        <v>378</v>
      </c>
      <c r="C254" s="222">
        <v>20000</v>
      </c>
      <c r="D254" s="223">
        <f>G254+J254+M254+P254</f>
        <v>20000</v>
      </c>
      <c r="E254" s="223">
        <f>H254+K254+N254+Q254</f>
        <v>8363</v>
      </c>
      <c r="F254" s="252">
        <f>E254/D254*100</f>
        <v>41.815000000000005</v>
      </c>
      <c r="G254" s="225">
        <v>20000</v>
      </c>
      <c r="H254" s="226">
        <v>8363</v>
      </c>
      <c r="I254" s="224">
        <f t="shared" si="27"/>
        <v>41.815000000000005</v>
      </c>
      <c r="J254" s="225"/>
      <c r="K254" s="226"/>
      <c r="L254" s="293"/>
      <c r="M254" s="225"/>
      <c r="N254" s="226"/>
      <c r="O254" s="224"/>
      <c r="P254" s="225"/>
      <c r="Q254" s="226"/>
      <c r="R254" s="293"/>
    </row>
    <row r="255" spans="1:18" s="255" customFormat="1" ht="15" customHeight="1">
      <c r="A255" s="347" t="s">
        <v>379</v>
      </c>
      <c r="B255" s="348" t="s">
        <v>380</v>
      </c>
      <c r="C255" s="204">
        <f>C258</f>
        <v>1614000</v>
      </c>
      <c r="D255" s="205">
        <f>D258</f>
        <v>1614000</v>
      </c>
      <c r="E255" s="205">
        <f>SUM(E256:E258)</f>
        <v>434213</v>
      </c>
      <c r="F255" s="206">
        <f>E255/D255*100</f>
        <v>26.90291201982652</v>
      </c>
      <c r="G255" s="208">
        <f>G258</f>
        <v>1614000</v>
      </c>
      <c r="H255" s="359">
        <f>SUM(H256:H258)</f>
        <v>434213</v>
      </c>
      <c r="I255" s="206">
        <f>H255/G255*100</f>
        <v>26.90291201982652</v>
      </c>
      <c r="J255" s="208"/>
      <c r="K255" s="209"/>
      <c r="L255" s="206"/>
      <c r="M255" s="208"/>
      <c r="N255" s="209"/>
      <c r="O255" s="283"/>
      <c r="P255" s="208"/>
      <c r="Q255" s="209"/>
      <c r="R255" s="283"/>
    </row>
    <row r="256" spans="1:18" s="255" customFormat="1" ht="15" customHeight="1">
      <c r="A256" s="349" t="s">
        <v>947</v>
      </c>
      <c r="B256" s="119" t="s">
        <v>223</v>
      </c>
      <c r="C256" s="357"/>
      <c r="D256" s="360"/>
      <c r="E256" s="360">
        <f>H256</f>
        <v>129</v>
      </c>
      <c r="F256" s="187"/>
      <c r="G256" s="188"/>
      <c r="H256" s="361">
        <v>129</v>
      </c>
      <c r="I256" s="187"/>
      <c r="J256" s="188"/>
      <c r="K256" s="186"/>
      <c r="L256" s="187"/>
      <c r="M256" s="188"/>
      <c r="N256" s="186"/>
      <c r="O256" s="190"/>
      <c r="P256" s="188"/>
      <c r="Q256" s="186"/>
      <c r="R256" s="190"/>
    </row>
    <row r="257" spans="1:18" s="139" customFormat="1" ht="17.25" customHeight="1">
      <c r="A257" s="310" t="s">
        <v>920</v>
      </c>
      <c r="B257" s="312" t="s">
        <v>381</v>
      </c>
      <c r="C257" s="222"/>
      <c r="D257" s="223"/>
      <c r="E257" s="223">
        <f>H257</f>
        <v>11434</v>
      </c>
      <c r="F257" s="224"/>
      <c r="G257" s="225"/>
      <c r="H257" s="362">
        <v>11434</v>
      </c>
      <c r="I257" s="224"/>
      <c r="J257" s="225"/>
      <c r="K257" s="226"/>
      <c r="L257" s="224"/>
      <c r="M257" s="225"/>
      <c r="N257" s="226"/>
      <c r="O257" s="293"/>
      <c r="P257" s="225"/>
      <c r="Q257" s="226"/>
      <c r="R257" s="293"/>
    </row>
    <row r="258" spans="1:18" s="139" customFormat="1" ht="37.5" customHeight="1">
      <c r="A258" s="310" t="s">
        <v>1070</v>
      </c>
      <c r="B258" s="251" t="s">
        <v>73</v>
      </c>
      <c r="C258" s="222">
        <v>1614000</v>
      </c>
      <c r="D258" s="223">
        <f>G258</f>
        <v>1614000</v>
      </c>
      <c r="E258" s="223">
        <f>H258</f>
        <v>422650</v>
      </c>
      <c r="F258" s="224">
        <f>E258/D258*100</f>
        <v>26.186493184634447</v>
      </c>
      <c r="G258" s="225">
        <v>1614000</v>
      </c>
      <c r="H258" s="362">
        <v>422650</v>
      </c>
      <c r="I258" s="224">
        <f>H258/G258*100</f>
        <v>26.186493184634447</v>
      </c>
      <c r="J258" s="225"/>
      <c r="K258" s="226"/>
      <c r="L258" s="224"/>
      <c r="M258" s="225"/>
      <c r="N258" s="226"/>
      <c r="O258" s="293"/>
      <c r="P258" s="225"/>
      <c r="Q258" s="226"/>
      <c r="R258" s="293"/>
    </row>
    <row r="259" spans="1:18" s="255" customFormat="1" ht="16.5" customHeight="1">
      <c r="A259" s="347" t="s">
        <v>1047</v>
      </c>
      <c r="B259" s="348" t="s">
        <v>809</v>
      </c>
      <c r="C259" s="204">
        <f>C260</f>
        <v>0</v>
      </c>
      <c r="D259" s="205">
        <f>D260</f>
        <v>13500</v>
      </c>
      <c r="E259" s="205">
        <f>E260</f>
        <v>13500</v>
      </c>
      <c r="F259" s="249">
        <f>E259/D259*100</f>
        <v>100</v>
      </c>
      <c r="G259" s="208"/>
      <c r="H259" s="209"/>
      <c r="I259" s="206"/>
      <c r="J259" s="208"/>
      <c r="K259" s="209"/>
      <c r="L259" s="283"/>
      <c r="M259" s="208">
        <f>M260</f>
        <v>13500</v>
      </c>
      <c r="N259" s="209">
        <f>N260</f>
        <v>13500</v>
      </c>
      <c r="O259" s="206">
        <f>N259/M259*100</f>
        <v>100</v>
      </c>
      <c r="P259" s="208"/>
      <c r="Q259" s="209"/>
      <c r="R259" s="283"/>
    </row>
    <row r="260" spans="1:18" s="139" customFormat="1" ht="40.5" customHeight="1">
      <c r="A260" s="310" t="s">
        <v>51</v>
      </c>
      <c r="B260" s="119" t="s">
        <v>52</v>
      </c>
      <c r="C260" s="222"/>
      <c r="D260" s="223">
        <f>M260</f>
        <v>13500</v>
      </c>
      <c r="E260" s="223">
        <f>N260</f>
        <v>13500</v>
      </c>
      <c r="F260" s="252"/>
      <c r="G260" s="225"/>
      <c r="H260" s="226"/>
      <c r="I260" s="224"/>
      <c r="J260" s="225"/>
      <c r="K260" s="226"/>
      <c r="L260" s="293"/>
      <c r="M260" s="225">
        <v>13500</v>
      </c>
      <c r="N260" s="226">
        <v>13500</v>
      </c>
      <c r="O260" s="224"/>
      <c r="P260" s="225"/>
      <c r="Q260" s="226"/>
      <c r="R260" s="293"/>
    </row>
    <row r="261" spans="1:18" ht="16.5" customHeight="1">
      <c r="A261" s="304" t="s">
        <v>75</v>
      </c>
      <c r="B261" s="350" t="s">
        <v>810</v>
      </c>
      <c r="C261" s="130">
        <f>SUM(C262:C265)</f>
        <v>1253000</v>
      </c>
      <c r="D261" s="131">
        <f>SUM(D262:D265)</f>
        <v>1342965</v>
      </c>
      <c r="E261" s="131">
        <f>SUM(E262:E265)</f>
        <v>349774</v>
      </c>
      <c r="F261" s="229">
        <f>E261/D261*100</f>
        <v>26.04490809514768</v>
      </c>
      <c r="G261" s="133">
        <f>SUM(G262:G265)</f>
        <v>1342500</v>
      </c>
      <c r="H261" s="134">
        <f>SUM(H262:H265)</f>
        <v>349309</v>
      </c>
      <c r="I261" s="132">
        <f t="shared" si="27"/>
        <v>26.019292364990687</v>
      </c>
      <c r="J261" s="133">
        <f>J264</f>
        <v>465</v>
      </c>
      <c r="K261" s="134">
        <f>K264</f>
        <v>465</v>
      </c>
      <c r="L261" s="132">
        <f>K261/J261*100</f>
        <v>100</v>
      </c>
      <c r="M261" s="215"/>
      <c r="N261" s="216"/>
      <c r="O261" s="300"/>
      <c r="P261" s="215"/>
      <c r="Q261" s="216"/>
      <c r="R261" s="300"/>
    </row>
    <row r="262" spans="1:18" s="139" customFormat="1" ht="15.75" customHeight="1">
      <c r="A262" s="299" t="s">
        <v>1068</v>
      </c>
      <c r="B262" s="314" t="s">
        <v>1069</v>
      </c>
      <c r="C262" s="177">
        <v>2000</v>
      </c>
      <c r="D262" s="178">
        <f aca="true" t="shared" si="28" ref="D262:E265">G262+J262+M262+P262</f>
        <v>2000</v>
      </c>
      <c r="E262" s="178">
        <f t="shared" si="28"/>
        <v>25</v>
      </c>
      <c r="F262" s="179">
        <f>E262/D262*100</f>
        <v>1.25</v>
      </c>
      <c r="G262" s="180">
        <v>2000</v>
      </c>
      <c r="H262" s="181">
        <v>25</v>
      </c>
      <c r="I262" s="179">
        <f t="shared" si="27"/>
        <v>1.25</v>
      </c>
      <c r="J262" s="180"/>
      <c r="K262" s="181"/>
      <c r="L262" s="179"/>
      <c r="M262" s="180"/>
      <c r="N262" s="181"/>
      <c r="O262" s="179"/>
      <c r="P262" s="180"/>
      <c r="Q262" s="181"/>
      <c r="R262" s="183"/>
    </row>
    <row r="263" spans="1:18" s="139" customFormat="1" ht="17.25" customHeight="1">
      <c r="A263" s="349" t="s">
        <v>920</v>
      </c>
      <c r="B263" s="119" t="s">
        <v>940</v>
      </c>
      <c r="C263" s="138">
        <v>4000</v>
      </c>
      <c r="D263" s="89">
        <f t="shared" si="28"/>
        <v>4000</v>
      </c>
      <c r="E263" s="89">
        <f t="shared" si="28"/>
        <v>1984</v>
      </c>
      <c r="F263" s="124">
        <f>E263/D263*100</f>
        <v>49.6</v>
      </c>
      <c r="G263" s="125">
        <v>4000</v>
      </c>
      <c r="H263" s="121">
        <v>1984</v>
      </c>
      <c r="I263" s="124">
        <f t="shared" si="27"/>
        <v>49.6</v>
      </c>
      <c r="J263" s="125"/>
      <c r="K263" s="121"/>
      <c r="L263" s="127"/>
      <c r="M263" s="125"/>
      <c r="N263" s="186"/>
      <c r="O263" s="124"/>
      <c r="P263" s="188"/>
      <c r="Q263" s="186"/>
      <c r="R263" s="124"/>
    </row>
    <row r="264" spans="1:18" s="139" customFormat="1" ht="58.5" customHeight="1">
      <c r="A264" s="349" t="s">
        <v>907</v>
      </c>
      <c r="B264" s="86" t="s">
        <v>64</v>
      </c>
      <c r="C264" s="138"/>
      <c r="D264" s="89">
        <f>J264</f>
        <v>465</v>
      </c>
      <c r="E264" s="89">
        <f>K264</f>
        <v>465</v>
      </c>
      <c r="F264" s="124">
        <f>E264/D264*100</f>
        <v>100</v>
      </c>
      <c r="G264" s="125"/>
      <c r="H264" s="121"/>
      <c r="I264" s="124"/>
      <c r="J264" s="125">
        <v>465</v>
      </c>
      <c r="K264" s="121">
        <v>465</v>
      </c>
      <c r="L264" s="127"/>
      <c r="M264" s="125"/>
      <c r="N264" s="186"/>
      <c r="O264" s="124"/>
      <c r="P264" s="188"/>
      <c r="Q264" s="186"/>
      <c r="R264" s="124"/>
    </row>
    <row r="265" spans="1:18" ht="36.75" customHeight="1">
      <c r="A265" s="310" t="s">
        <v>1070</v>
      </c>
      <c r="B265" s="251" t="s">
        <v>73</v>
      </c>
      <c r="C265" s="222">
        <v>1247000</v>
      </c>
      <c r="D265" s="223">
        <f t="shared" si="28"/>
        <v>1336500</v>
      </c>
      <c r="E265" s="223">
        <f t="shared" si="28"/>
        <v>347300</v>
      </c>
      <c r="F265" s="224">
        <f>E265/D265*100</f>
        <v>25.985783763561543</v>
      </c>
      <c r="G265" s="225">
        <f>1247000+23000+66500</f>
        <v>1336500</v>
      </c>
      <c r="H265" s="226">
        <v>347300</v>
      </c>
      <c r="I265" s="224">
        <f t="shared" si="27"/>
        <v>25.985783763561543</v>
      </c>
      <c r="J265" s="225"/>
      <c r="K265" s="226"/>
      <c r="L265" s="224"/>
      <c r="M265" s="225"/>
      <c r="N265" s="226"/>
      <c r="O265" s="293"/>
      <c r="P265" s="225"/>
      <c r="Q265" s="226"/>
      <c r="R265" s="224"/>
    </row>
    <row r="266" spans="1:18" ht="49.5" customHeight="1">
      <c r="A266" s="304" t="s">
        <v>76</v>
      </c>
      <c r="B266" s="350" t="s">
        <v>77</v>
      </c>
      <c r="C266" s="136">
        <f>SUM(C267:C267)</f>
        <v>10000</v>
      </c>
      <c r="D266" s="131">
        <f>SUM(D267:D268)</f>
        <v>10000</v>
      </c>
      <c r="E266" s="131">
        <f>SUM(E267:E268)</f>
        <v>2922</v>
      </c>
      <c r="F266" s="229">
        <f>E266/D266*100</f>
        <v>29.220000000000002</v>
      </c>
      <c r="G266" s="136">
        <f>SUM(G267:G268)</f>
        <v>10000</v>
      </c>
      <c r="H266" s="131">
        <f>SUM(H267:H268)</f>
        <v>2922</v>
      </c>
      <c r="I266" s="132">
        <f>H266/G266*100</f>
        <v>29.220000000000002</v>
      </c>
      <c r="J266" s="133"/>
      <c r="K266" s="134"/>
      <c r="L266" s="132"/>
      <c r="M266" s="136"/>
      <c r="N266" s="131"/>
      <c r="O266" s="132"/>
      <c r="P266" s="136"/>
      <c r="Q266" s="131"/>
      <c r="R266" s="132"/>
    </row>
    <row r="267" spans="1:18" s="139" customFormat="1" ht="25.5" customHeight="1">
      <c r="A267" s="299" t="s">
        <v>1068</v>
      </c>
      <c r="B267" s="176" t="s">
        <v>382</v>
      </c>
      <c r="C267" s="177">
        <v>10000</v>
      </c>
      <c r="D267" s="178">
        <f aca="true" t="shared" si="29" ref="D267:E270">G267+J267+M267+P267</f>
        <v>10000</v>
      </c>
      <c r="E267" s="178">
        <f t="shared" si="29"/>
        <v>2462</v>
      </c>
      <c r="F267" s="179">
        <f>E267/D267*100</f>
        <v>24.62</v>
      </c>
      <c r="G267" s="180">
        <v>10000</v>
      </c>
      <c r="H267" s="181">
        <v>2462</v>
      </c>
      <c r="I267" s="179">
        <f>H267/G267*100</f>
        <v>24.62</v>
      </c>
      <c r="J267" s="180"/>
      <c r="K267" s="181"/>
      <c r="L267" s="179"/>
      <c r="M267" s="180"/>
      <c r="N267" s="181"/>
      <c r="O267" s="183"/>
      <c r="P267" s="180"/>
      <c r="Q267" s="181"/>
      <c r="R267" s="179"/>
    </row>
    <row r="268" spans="1:18" s="139" customFormat="1" ht="18" customHeight="1">
      <c r="A268" s="310" t="s">
        <v>920</v>
      </c>
      <c r="B268" s="312" t="s">
        <v>940</v>
      </c>
      <c r="C268" s="222"/>
      <c r="D268" s="223"/>
      <c r="E268" s="223">
        <f>H268</f>
        <v>460</v>
      </c>
      <c r="F268" s="224"/>
      <c r="G268" s="225"/>
      <c r="H268" s="226">
        <v>460</v>
      </c>
      <c r="I268" s="224"/>
      <c r="J268" s="225"/>
      <c r="K268" s="226"/>
      <c r="L268" s="224"/>
      <c r="M268" s="225"/>
      <c r="N268" s="226"/>
      <c r="O268" s="293"/>
      <c r="P268" s="225"/>
      <c r="Q268" s="226"/>
      <c r="R268" s="224"/>
    </row>
    <row r="269" spans="1:18" s="248" customFormat="1" ht="22.5" customHeight="1">
      <c r="A269" s="304" t="s">
        <v>78</v>
      </c>
      <c r="B269" s="335" t="s">
        <v>79</v>
      </c>
      <c r="C269" s="130"/>
      <c r="D269" s="131"/>
      <c r="E269" s="131">
        <f t="shared" si="29"/>
        <v>17</v>
      </c>
      <c r="F269" s="132"/>
      <c r="G269" s="133"/>
      <c r="H269" s="134"/>
      <c r="I269" s="132"/>
      <c r="J269" s="133"/>
      <c r="K269" s="134"/>
      <c r="L269" s="132"/>
      <c r="M269" s="133"/>
      <c r="N269" s="134">
        <f>SUM(N270:N270)</f>
        <v>17</v>
      </c>
      <c r="O269" s="132"/>
      <c r="P269" s="133"/>
      <c r="Q269" s="134"/>
      <c r="R269" s="132"/>
    </row>
    <row r="270" spans="1:18" ht="15" customHeight="1">
      <c r="A270" s="351" t="s">
        <v>920</v>
      </c>
      <c r="B270" s="352" t="s">
        <v>940</v>
      </c>
      <c r="C270" s="213"/>
      <c r="D270" s="214"/>
      <c r="E270" s="214">
        <f t="shared" si="29"/>
        <v>17</v>
      </c>
      <c r="F270" s="241"/>
      <c r="G270" s="215"/>
      <c r="H270" s="216"/>
      <c r="I270" s="185"/>
      <c r="J270" s="215"/>
      <c r="K270" s="216"/>
      <c r="L270" s="185"/>
      <c r="M270" s="215"/>
      <c r="N270" s="216">
        <v>17</v>
      </c>
      <c r="O270" s="185"/>
      <c r="P270" s="215"/>
      <c r="Q270" s="216"/>
      <c r="R270" s="185"/>
    </row>
    <row r="271" spans="1:18" ht="33" customHeight="1">
      <c r="A271" s="304" t="s">
        <v>80</v>
      </c>
      <c r="B271" s="350" t="s">
        <v>816</v>
      </c>
      <c r="C271" s="130">
        <f>SUM(C272:C274)</f>
        <v>228000</v>
      </c>
      <c r="D271" s="131">
        <f>SUM(D272:D275)</f>
        <v>228000</v>
      </c>
      <c r="E271" s="131">
        <f>SUM(E272:E275)</f>
        <v>53823</v>
      </c>
      <c r="F271" s="229">
        <f>E271/D271*100</f>
        <v>23.60657894736842</v>
      </c>
      <c r="G271" s="133">
        <f>SUM(G272:G275)</f>
        <v>78000</v>
      </c>
      <c r="H271" s="134">
        <f>SUM(H272:H275)</f>
        <v>16323</v>
      </c>
      <c r="I271" s="132">
        <f>H271/G271*100</f>
        <v>20.926923076923075</v>
      </c>
      <c r="J271" s="133">
        <f>J274</f>
        <v>150000</v>
      </c>
      <c r="K271" s="134">
        <f>SUM(K274)</f>
        <v>37500</v>
      </c>
      <c r="L271" s="132">
        <f>K271/J271*100</f>
        <v>25</v>
      </c>
      <c r="M271" s="363"/>
      <c r="N271" s="364"/>
      <c r="O271" s="365"/>
      <c r="P271" s="363"/>
      <c r="Q271" s="364"/>
      <c r="R271" s="365"/>
    </row>
    <row r="272" spans="1:18" s="139" customFormat="1" ht="23.25">
      <c r="A272" s="351" t="s">
        <v>1068</v>
      </c>
      <c r="B272" s="352" t="s">
        <v>383</v>
      </c>
      <c r="C272" s="213">
        <v>78000</v>
      </c>
      <c r="D272" s="214">
        <f aca="true" t="shared" si="30" ref="D272:E275">G272+J272+M272+P272</f>
        <v>78000</v>
      </c>
      <c r="E272" s="214">
        <f t="shared" si="30"/>
        <v>16211</v>
      </c>
      <c r="F272" s="241">
        <f>E272/D272*100</f>
        <v>20.783333333333335</v>
      </c>
      <c r="G272" s="215">
        <v>78000</v>
      </c>
      <c r="H272" s="216">
        <v>16211</v>
      </c>
      <c r="I272" s="185">
        <f>H272/G272*100</f>
        <v>20.783333333333335</v>
      </c>
      <c r="J272" s="133"/>
      <c r="K272" s="134"/>
      <c r="L272" s="185"/>
      <c r="M272" s="363"/>
      <c r="N272" s="364"/>
      <c r="O272" s="365"/>
      <c r="P272" s="363"/>
      <c r="Q272" s="364"/>
      <c r="R272" s="365"/>
    </row>
    <row r="273" spans="1:18" s="139" customFormat="1" ht="15.75" customHeight="1">
      <c r="A273" s="299" t="s">
        <v>947</v>
      </c>
      <c r="B273" s="314" t="s">
        <v>223</v>
      </c>
      <c r="C273" s="177"/>
      <c r="D273" s="178">
        <f>G273</f>
        <v>0</v>
      </c>
      <c r="E273" s="178">
        <f>H273</f>
        <v>0</v>
      </c>
      <c r="F273" s="179" t="e">
        <f>E273/D273*100</f>
        <v>#DIV/0!</v>
      </c>
      <c r="G273" s="180"/>
      <c r="H273" s="181"/>
      <c r="I273" s="179" t="e">
        <f>H273/G273*100</f>
        <v>#DIV/0!</v>
      </c>
      <c r="J273" s="306"/>
      <c r="K273" s="307"/>
      <c r="L273" s="179"/>
      <c r="M273" s="366"/>
      <c r="N273" s="367"/>
      <c r="O273" s="368"/>
      <c r="P273" s="366"/>
      <c r="Q273" s="367"/>
      <c r="R273" s="368"/>
    </row>
    <row r="274" spans="1:18" s="139" customFormat="1" ht="62.25" customHeight="1">
      <c r="A274" s="349" t="s">
        <v>907</v>
      </c>
      <c r="B274" s="119" t="s">
        <v>64</v>
      </c>
      <c r="C274" s="138">
        <v>150000</v>
      </c>
      <c r="D274" s="89">
        <f t="shared" si="30"/>
        <v>150000</v>
      </c>
      <c r="E274" s="89">
        <f t="shared" si="30"/>
        <v>37500</v>
      </c>
      <c r="F274" s="122">
        <f aca="true" t="shared" si="31" ref="F274:F325">E274/D274*100</f>
        <v>25</v>
      </c>
      <c r="G274" s="125"/>
      <c r="H274" s="121"/>
      <c r="I274" s="124"/>
      <c r="J274" s="125">
        <v>150000</v>
      </c>
      <c r="K274" s="121">
        <v>37500</v>
      </c>
      <c r="L274" s="124">
        <f>K274/J274*100</f>
        <v>25</v>
      </c>
      <c r="M274" s="369"/>
      <c r="N274" s="370"/>
      <c r="O274" s="371"/>
      <c r="P274" s="369"/>
      <c r="Q274" s="370"/>
      <c r="R274" s="371"/>
    </row>
    <row r="275" spans="1:18" s="139" customFormat="1" ht="51.75" customHeight="1">
      <c r="A275" s="310" t="s">
        <v>938</v>
      </c>
      <c r="B275" s="221" t="s">
        <v>976</v>
      </c>
      <c r="C275" s="222"/>
      <c r="D275" s="223">
        <f t="shared" si="30"/>
        <v>0</v>
      </c>
      <c r="E275" s="223">
        <f t="shared" si="30"/>
        <v>112</v>
      </c>
      <c r="F275" s="252"/>
      <c r="G275" s="225"/>
      <c r="H275" s="226">
        <v>112</v>
      </c>
      <c r="I275" s="224"/>
      <c r="J275" s="225"/>
      <c r="K275" s="226"/>
      <c r="L275" s="224"/>
      <c r="M275" s="372"/>
      <c r="N275" s="373"/>
      <c r="O275" s="374"/>
      <c r="P275" s="372"/>
      <c r="Q275" s="373"/>
      <c r="R275" s="374"/>
    </row>
    <row r="276" spans="1:18" ht="14.25" customHeight="1">
      <c r="A276" s="304" t="s">
        <v>81</v>
      </c>
      <c r="B276" s="375" t="s">
        <v>213</v>
      </c>
      <c r="C276" s="130">
        <f>SUM(C277:C280)</f>
        <v>200600</v>
      </c>
      <c r="D276" s="131">
        <f>G276+J276+M276+P276</f>
        <v>759413</v>
      </c>
      <c r="E276" s="131">
        <f>H276+K276+N276+Q276</f>
        <v>178140</v>
      </c>
      <c r="F276" s="229">
        <f t="shared" si="31"/>
        <v>23.457591587186418</v>
      </c>
      <c r="G276" s="133">
        <f>SUM(G277:G279)</f>
        <v>759413</v>
      </c>
      <c r="H276" s="134">
        <f>SUM(H277:H279)</f>
        <v>178140</v>
      </c>
      <c r="I276" s="132">
        <f aca="true" t="shared" si="32" ref="I276:I283">H276/G276*100</f>
        <v>23.457591587186418</v>
      </c>
      <c r="J276" s="215"/>
      <c r="K276" s="216"/>
      <c r="L276" s="300"/>
      <c r="M276" s="376"/>
      <c r="N276" s="377"/>
      <c r="O276" s="365"/>
      <c r="P276" s="376">
        <f>SUM(P277:P280)</f>
        <v>0</v>
      </c>
      <c r="Q276" s="377">
        <f>SUM(Q277:Q280)</f>
        <v>0</v>
      </c>
      <c r="R276" s="365" t="e">
        <f>Q276/P276*100</f>
        <v>#DIV/0!</v>
      </c>
    </row>
    <row r="277" spans="1:18" s="139" customFormat="1" ht="23.25">
      <c r="A277" s="299" t="s">
        <v>1068</v>
      </c>
      <c r="B277" s="176" t="s">
        <v>384</v>
      </c>
      <c r="C277" s="177">
        <v>5000</v>
      </c>
      <c r="D277" s="178">
        <f aca="true" t="shared" si="33" ref="D277:E279">G277+J277+M277+P277</f>
        <v>5000</v>
      </c>
      <c r="E277" s="178">
        <f t="shared" si="33"/>
        <v>150</v>
      </c>
      <c r="F277" s="179">
        <f t="shared" si="31"/>
        <v>3</v>
      </c>
      <c r="G277" s="180">
        <v>5000</v>
      </c>
      <c r="H277" s="181">
        <v>150</v>
      </c>
      <c r="I277" s="179">
        <f t="shared" si="32"/>
        <v>3</v>
      </c>
      <c r="J277" s="180"/>
      <c r="K277" s="181"/>
      <c r="L277" s="183"/>
      <c r="M277" s="180"/>
      <c r="N277" s="181"/>
      <c r="O277" s="183"/>
      <c r="P277" s="180"/>
      <c r="Q277" s="181"/>
      <c r="R277" s="183"/>
    </row>
    <row r="278" spans="1:18" ht="27" customHeight="1">
      <c r="A278" s="349" t="s">
        <v>920</v>
      </c>
      <c r="B278" s="86" t="s">
        <v>385</v>
      </c>
      <c r="C278" s="138">
        <v>195600</v>
      </c>
      <c r="D278" s="89">
        <f t="shared" si="33"/>
        <v>195600</v>
      </c>
      <c r="E278" s="89">
        <f t="shared" si="33"/>
        <v>18330</v>
      </c>
      <c r="F278" s="124">
        <f t="shared" si="31"/>
        <v>9.371165644171779</v>
      </c>
      <c r="G278" s="125">
        <v>195600</v>
      </c>
      <c r="H278" s="121">
        <v>18330</v>
      </c>
      <c r="I278" s="124">
        <f t="shared" si="32"/>
        <v>9.371165644171779</v>
      </c>
      <c r="J278" s="125"/>
      <c r="K278" s="121"/>
      <c r="L278" s="127"/>
      <c r="M278" s="125"/>
      <c r="N278" s="121"/>
      <c r="O278" s="127"/>
      <c r="P278" s="125"/>
      <c r="Q278" s="121"/>
      <c r="R278" s="127"/>
    </row>
    <row r="279" spans="1:18" s="139" customFormat="1" ht="37.5" customHeight="1">
      <c r="A279" s="349" t="s">
        <v>1070</v>
      </c>
      <c r="B279" s="86" t="s">
        <v>73</v>
      </c>
      <c r="C279" s="138"/>
      <c r="D279" s="89">
        <f t="shared" si="33"/>
        <v>558813</v>
      </c>
      <c r="E279" s="89">
        <f t="shared" si="33"/>
        <v>159660</v>
      </c>
      <c r="F279" s="124">
        <f t="shared" si="31"/>
        <v>28.571275185079802</v>
      </c>
      <c r="G279" s="125">
        <v>558813</v>
      </c>
      <c r="H279" s="121">
        <v>159660</v>
      </c>
      <c r="I279" s="124">
        <f t="shared" si="32"/>
        <v>28.571275185079802</v>
      </c>
      <c r="J279" s="125"/>
      <c r="K279" s="121"/>
      <c r="L279" s="127"/>
      <c r="M279" s="125"/>
      <c r="N279" s="121"/>
      <c r="O279" s="127"/>
      <c r="P279" s="125"/>
      <c r="Q279" s="121"/>
      <c r="R279" s="127"/>
    </row>
    <row r="280" spans="1:18" s="139" customFormat="1" ht="63" customHeight="1" thickBot="1">
      <c r="A280" s="349" t="s">
        <v>936</v>
      </c>
      <c r="B280" s="219" t="s">
        <v>937</v>
      </c>
      <c r="C280" s="138"/>
      <c r="D280" s="89">
        <f>P280</f>
        <v>0</v>
      </c>
      <c r="E280" s="89">
        <f>Q280</f>
        <v>0</v>
      </c>
      <c r="F280" s="124" t="e">
        <f t="shared" si="31"/>
        <v>#DIV/0!</v>
      </c>
      <c r="G280" s="125"/>
      <c r="H280" s="121" t="s">
        <v>631</v>
      </c>
      <c r="I280" s="124"/>
      <c r="J280" s="125"/>
      <c r="K280" s="121"/>
      <c r="L280" s="127"/>
      <c r="M280" s="125"/>
      <c r="N280" s="121"/>
      <c r="O280" s="127"/>
      <c r="P280" s="125"/>
      <c r="Q280" s="121"/>
      <c r="R280" s="127" t="e">
        <f>Q280/P280*100</f>
        <v>#DIV/0!</v>
      </c>
    </row>
    <row r="281" spans="1:18" ht="36.75" customHeight="1" thickBot="1" thickTop="1">
      <c r="A281" s="343" t="s">
        <v>82</v>
      </c>
      <c r="B281" s="201" t="s">
        <v>83</v>
      </c>
      <c r="C281" s="231">
        <f>C282+C284+C286+C288+C290</f>
        <v>921819</v>
      </c>
      <c r="D281" s="100">
        <f>D282+D284+D286+D288+D290</f>
        <v>1110004</v>
      </c>
      <c r="E281" s="100">
        <f>E282+E284+E286+E288+E290</f>
        <v>72681</v>
      </c>
      <c r="F281" s="103">
        <f t="shared" si="31"/>
        <v>6.547814242110839</v>
      </c>
      <c r="G281" s="232">
        <f>G282+G284+G286+G288+G290</f>
        <v>871314</v>
      </c>
      <c r="H281" s="100">
        <f>H282+H284+H286+H288+H290</f>
        <v>27870</v>
      </c>
      <c r="I281" s="103">
        <f t="shared" si="32"/>
        <v>3.1986172608267514</v>
      </c>
      <c r="J281" s="104"/>
      <c r="K281" s="101"/>
      <c r="L281" s="378"/>
      <c r="M281" s="232">
        <f>M284+M282+M286+M288+M290</f>
        <v>113690</v>
      </c>
      <c r="N281" s="100">
        <f>N284+N282+N286+N288+N290</f>
        <v>13563</v>
      </c>
      <c r="O281" s="103">
        <f>N281/M281*100</f>
        <v>11.929809130090598</v>
      </c>
      <c r="P281" s="232">
        <f>P282+P286+P288</f>
        <v>125000</v>
      </c>
      <c r="Q281" s="100">
        <f>Q282+Q286+Q288</f>
        <v>31248</v>
      </c>
      <c r="R281" s="103">
        <f>Q281/P281*100</f>
        <v>24.9984</v>
      </c>
    </row>
    <row r="282" spans="1:18" ht="15.75" customHeight="1" thickTop="1">
      <c r="A282" s="347" t="s">
        <v>84</v>
      </c>
      <c r="B282" s="348" t="s">
        <v>820</v>
      </c>
      <c r="C282" s="204">
        <f>C283</f>
        <v>1200</v>
      </c>
      <c r="D282" s="205">
        <f>D283</f>
        <v>1200</v>
      </c>
      <c r="E282" s="205">
        <f>E283</f>
        <v>300</v>
      </c>
      <c r="F282" s="249">
        <f t="shared" si="31"/>
        <v>25</v>
      </c>
      <c r="G282" s="208">
        <f>G283</f>
        <v>1200</v>
      </c>
      <c r="H282" s="209">
        <f>H283</f>
        <v>300</v>
      </c>
      <c r="I282" s="206">
        <f t="shared" si="32"/>
        <v>25</v>
      </c>
      <c r="J282" s="208"/>
      <c r="K282" s="209"/>
      <c r="L282" s="293"/>
      <c r="M282" s="208"/>
      <c r="N282" s="209"/>
      <c r="O282" s="206"/>
      <c r="P282" s="208"/>
      <c r="Q282" s="209"/>
      <c r="R282" s="206"/>
    </row>
    <row r="283" spans="1:18" ht="48" customHeight="1">
      <c r="A283" s="351" t="s">
        <v>930</v>
      </c>
      <c r="B283" s="379" t="s">
        <v>931</v>
      </c>
      <c r="C283" s="213">
        <v>1200</v>
      </c>
      <c r="D283" s="214">
        <f aca="true" t="shared" si="34" ref="D283:E285">G283+J283+M283+P283</f>
        <v>1200</v>
      </c>
      <c r="E283" s="214">
        <f t="shared" si="34"/>
        <v>300</v>
      </c>
      <c r="F283" s="241">
        <f t="shared" si="31"/>
        <v>25</v>
      </c>
      <c r="G283" s="215">
        <v>1200</v>
      </c>
      <c r="H283" s="216">
        <v>300</v>
      </c>
      <c r="I283" s="185">
        <f t="shared" si="32"/>
        <v>25</v>
      </c>
      <c r="J283" s="215"/>
      <c r="K283" s="216"/>
      <c r="L283" s="300"/>
      <c r="M283" s="215"/>
      <c r="N283" s="216"/>
      <c r="O283" s="185"/>
      <c r="P283" s="215"/>
      <c r="Q283" s="216"/>
      <c r="R283" s="185"/>
    </row>
    <row r="284" spans="1:18" s="336" customFormat="1" ht="37.5" customHeight="1">
      <c r="A284" s="304" t="s">
        <v>85</v>
      </c>
      <c r="B284" s="350" t="s">
        <v>821</v>
      </c>
      <c r="C284" s="130">
        <f>C285</f>
        <v>57540</v>
      </c>
      <c r="D284" s="131">
        <f t="shared" si="34"/>
        <v>54252</v>
      </c>
      <c r="E284" s="131">
        <f t="shared" si="34"/>
        <v>13563</v>
      </c>
      <c r="F284" s="229">
        <f t="shared" si="31"/>
        <v>25</v>
      </c>
      <c r="G284" s="133"/>
      <c r="H284" s="134"/>
      <c r="I284" s="185"/>
      <c r="J284" s="133"/>
      <c r="K284" s="134"/>
      <c r="L284" s="137"/>
      <c r="M284" s="133">
        <f>M285</f>
        <v>54252</v>
      </c>
      <c r="N284" s="134">
        <f>N285</f>
        <v>13563</v>
      </c>
      <c r="O284" s="132">
        <f>N284/M284*100</f>
        <v>25</v>
      </c>
      <c r="P284" s="133"/>
      <c r="Q284" s="134"/>
      <c r="R284" s="132"/>
    </row>
    <row r="285" spans="1:18" ht="46.5" customHeight="1">
      <c r="A285" s="310" t="s">
        <v>66</v>
      </c>
      <c r="B285" s="312" t="s">
        <v>67</v>
      </c>
      <c r="C285" s="222">
        <v>57540</v>
      </c>
      <c r="D285" s="223">
        <f t="shared" si="34"/>
        <v>54252</v>
      </c>
      <c r="E285" s="223">
        <f t="shared" si="34"/>
        <v>13563</v>
      </c>
      <c r="F285" s="252">
        <f t="shared" si="31"/>
        <v>25</v>
      </c>
      <c r="G285" s="225"/>
      <c r="H285" s="226"/>
      <c r="I285" s="224"/>
      <c r="J285" s="225"/>
      <c r="K285" s="226"/>
      <c r="L285" s="293"/>
      <c r="M285" s="225">
        <f>57540-3288</f>
        <v>54252</v>
      </c>
      <c r="N285" s="226">
        <v>13563</v>
      </c>
      <c r="O285" s="224">
        <f>N285/M285*100</f>
        <v>25</v>
      </c>
      <c r="P285" s="225"/>
      <c r="Q285" s="226"/>
      <c r="R285" s="224"/>
    </row>
    <row r="286" spans="1:18" ht="26.25" customHeight="1">
      <c r="A286" s="304" t="s">
        <v>86</v>
      </c>
      <c r="B286" s="350" t="s">
        <v>87</v>
      </c>
      <c r="C286" s="130">
        <f>C287</f>
        <v>125000</v>
      </c>
      <c r="D286" s="131">
        <f>D287</f>
        <v>125000</v>
      </c>
      <c r="E286" s="131">
        <f>E287</f>
        <v>31248</v>
      </c>
      <c r="F286" s="229">
        <f t="shared" si="31"/>
        <v>24.9984</v>
      </c>
      <c r="G286" s="215"/>
      <c r="H286" s="216"/>
      <c r="I286" s="185"/>
      <c r="J286" s="215"/>
      <c r="K286" s="216"/>
      <c r="L286" s="300"/>
      <c r="M286" s="215"/>
      <c r="N286" s="216"/>
      <c r="O286" s="300"/>
      <c r="P286" s="133">
        <f>P287</f>
        <v>125000</v>
      </c>
      <c r="Q286" s="134">
        <f>Q287</f>
        <v>31248</v>
      </c>
      <c r="R286" s="132">
        <f>Q286/P286*100</f>
        <v>24.9984</v>
      </c>
    </row>
    <row r="287" spans="1:18" ht="64.5" customHeight="1">
      <c r="A287" s="351" t="s">
        <v>936</v>
      </c>
      <c r="B287" s="352" t="s">
        <v>88</v>
      </c>
      <c r="C287" s="213">
        <v>125000</v>
      </c>
      <c r="D287" s="214">
        <f>G287+J287+M287+P287</f>
        <v>125000</v>
      </c>
      <c r="E287" s="214">
        <f>H287+K287+N287+Q287</f>
        <v>31248</v>
      </c>
      <c r="F287" s="241">
        <f t="shared" si="31"/>
        <v>24.9984</v>
      </c>
      <c r="G287" s="215"/>
      <c r="H287" s="216"/>
      <c r="I287" s="185"/>
      <c r="J287" s="215"/>
      <c r="K287" s="216"/>
      <c r="L287" s="300"/>
      <c r="M287" s="215"/>
      <c r="N287" s="216"/>
      <c r="O287" s="185"/>
      <c r="P287" s="215">
        <v>125000</v>
      </c>
      <c r="Q287" s="216">
        <v>31248</v>
      </c>
      <c r="R287" s="185">
        <f>Q287/P287*100</f>
        <v>24.9984</v>
      </c>
    </row>
    <row r="288" spans="1:18" ht="24.75" customHeight="1">
      <c r="A288" s="304" t="s">
        <v>89</v>
      </c>
      <c r="B288" s="350" t="s">
        <v>90</v>
      </c>
      <c r="C288" s="130">
        <f>C289</f>
        <v>83285</v>
      </c>
      <c r="D288" s="131">
        <f>D289</f>
        <v>59438</v>
      </c>
      <c r="E288" s="131">
        <f>E289</f>
        <v>0</v>
      </c>
      <c r="F288" s="229">
        <f>E288/D288*100</f>
        <v>0</v>
      </c>
      <c r="G288" s="133"/>
      <c r="H288" s="134"/>
      <c r="I288" s="185"/>
      <c r="J288" s="133"/>
      <c r="K288" s="134"/>
      <c r="L288" s="137"/>
      <c r="M288" s="133">
        <f>M289</f>
        <v>59438</v>
      </c>
      <c r="N288" s="134">
        <f>N289</f>
        <v>0</v>
      </c>
      <c r="O288" s="132">
        <f aca="true" t="shared" si="35" ref="O288:O315">N288/M288*100</f>
        <v>0</v>
      </c>
      <c r="P288" s="133"/>
      <c r="Q288" s="134"/>
      <c r="R288" s="137"/>
    </row>
    <row r="289" spans="1:18" ht="26.25" customHeight="1">
      <c r="A289" s="299" t="s">
        <v>920</v>
      </c>
      <c r="B289" s="314" t="s">
        <v>91</v>
      </c>
      <c r="C289" s="177">
        <v>83285</v>
      </c>
      <c r="D289" s="178">
        <f>G289+J289+M289+P289</f>
        <v>59438</v>
      </c>
      <c r="E289" s="178">
        <f>H289+K289+N289+Q289</f>
        <v>0</v>
      </c>
      <c r="F289" s="243">
        <f>E289/D289*100</f>
        <v>0</v>
      </c>
      <c r="G289" s="180"/>
      <c r="H289" s="181"/>
      <c r="I289" s="179"/>
      <c r="J289" s="180"/>
      <c r="K289" s="181"/>
      <c r="L289" s="183"/>
      <c r="M289" s="180">
        <f>83285-23847</f>
        <v>59438</v>
      </c>
      <c r="N289" s="181"/>
      <c r="O289" s="179">
        <f t="shared" si="35"/>
        <v>0</v>
      </c>
      <c r="P289" s="180"/>
      <c r="Q289" s="181"/>
      <c r="R289" s="183"/>
    </row>
    <row r="290" spans="1:18" s="248" customFormat="1" ht="17.25" customHeight="1">
      <c r="A290" s="304" t="s">
        <v>1048</v>
      </c>
      <c r="B290" s="350" t="s">
        <v>213</v>
      </c>
      <c r="C290" s="130">
        <f>C292+C293</f>
        <v>654794</v>
      </c>
      <c r="D290" s="131">
        <f>G290+M290</f>
        <v>870114</v>
      </c>
      <c r="E290" s="131">
        <f>H290+N290</f>
        <v>27570</v>
      </c>
      <c r="F290" s="229">
        <f>E290/D290*100</f>
        <v>3.1685503278880702</v>
      </c>
      <c r="G290" s="133">
        <f>G292+G293+G295+G296</f>
        <v>870114</v>
      </c>
      <c r="H290" s="134">
        <f>H292+H293+H295+H296</f>
        <v>27570</v>
      </c>
      <c r="I290" s="132">
        <f aca="true" t="shared" si="36" ref="I290:I297">H290/G290*100</f>
        <v>3.1685503278880702</v>
      </c>
      <c r="J290" s="133"/>
      <c r="K290" s="134"/>
      <c r="L290" s="137"/>
      <c r="M290" s="133"/>
      <c r="N290" s="134"/>
      <c r="O290" s="132" t="e">
        <f t="shared" si="35"/>
        <v>#DIV/0!</v>
      </c>
      <c r="P290" s="133"/>
      <c r="Q290" s="134"/>
      <c r="R290" s="137"/>
    </row>
    <row r="291" spans="1:18" s="248" customFormat="1" ht="16.5" customHeight="1">
      <c r="A291" s="380"/>
      <c r="B291" s="381" t="s">
        <v>1049</v>
      </c>
      <c r="C291" s="319">
        <f>SUM(C292:C293)</f>
        <v>654794</v>
      </c>
      <c r="D291" s="320">
        <f>SUM(D292:D293)</f>
        <v>654794</v>
      </c>
      <c r="E291" s="382">
        <f>H291+K291+N291+Q291</f>
        <v>0</v>
      </c>
      <c r="F291" s="258">
        <f>E291/D291*100</f>
        <v>0</v>
      </c>
      <c r="G291" s="323">
        <f>SUM(G292:G293)</f>
        <v>654794</v>
      </c>
      <c r="H291" s="322">
        <f>SUM(H292:H293)</f>
        <v>0</v>
      </c>
      <c r="I291" s="195">
        <f t="shared" si="36"/>
        <v>0</v>
      </c>
      <c r="J291" s="323"/>
      <c r="K291" s="322"/>
      <c r="L291" s="196"/>
      <c r="M291" s="188"/>
      <c r="N291" s="186"/>
      <c r="O291" s="187"/>
      <c r="P291" s="188"/>
      <c r="Q291" s="186"/>
      <c r="R291" s="190"/>
    </row>
    <row r="292" spans="1:18" s="139" customFormat="1" ht="55.5" customHeight="1">
      <c r="A292" s="349" t="s">
        <v>1050</v>
      </c>
      <c r="B292" s="325" t="s">
        <v>360</v>
      </c>
      <c r="C292" s="138">
        <v>618445</v>
      </c>
      <c r="D292" s="89">
        <f>G292</f>
        <v>618445</v>
      </c>
      <c r="E292" s="89">
        <f>H292+K292+N292+Q292</f>
        <v>0</v>
      </c>
      <c r="F292" s="122"/>
      <c r="G292" s="125">
        <v>618445</v>
      </c>
      <c r="H292" s="121"/>
      <c r="I292" s="124">
        <f t="shared" si="36"/>
        <v>0</v>
      </c>
      <c r="J292" s="125"/>
      <c r="K292" s="121"/>
      <c r="L292" s="127"/>
      <c r="M292" s="125"/>
      <c r="N292" s="121"/>
      <c r="O292" s="124"/>
      <c r="P292" s="125"/>
      <c r="Q292" s="121"/>
      <c r="R292" s="127"/>
    </row>
    <row r="293" spans="1:18" s="139" customFormat="1" ht="54" customHeight="1">
      <c r="A293" s="349" t="s">
        <v>1051</v>
      </c>
      <c r="B293" s="325" t="s">
        <v>360</v>
      </c>
      <c r="C293" s="138">
        <v>36349</v>
      </c>
      <c r="D293" s="89">
        <f>G293</f>
        <v>36349</v>
      </c>
      <c r="E293" s="89">
        <f>H293+K293+N293+Q293</f>
        <v>0</v>
      </c>
      <c r="F293" s="122"/>
      <c r="G293" s="125">
        <v>36349</v>
      </c>
      <c r="H293" s="121"/>
      <c r="I293" s="124">
        <f t="shared" si="36"/>
        <v>0</v>
      </c>
      <c r="J293" s="125"/>
      <c r="K293" s="121"/>
      <c r="L293" s="127"/>
      <c r="M293" s="125"/>
      <c r="N293" s="121"/>
      <c r="O293" s="124"/>
      <c r="P293" s="125"/>
      <c r="Q293" s="121"/>
      <c r="R293" s="127"/>
    </row>
    <row r="294" spans="1:18" s="386" customFormat="1" ht="37.5" customHeight="1">
      <c r="A294" s="383"/>
      <c r="B294" s="318" t="s">
        <v>386</v>
      </c>
      <c r="C294" s="319"/>
      <c r="D294" s="320">
        <f>SUM(D295:D296)</f>
        <v>215320</v>
      </c>
      <c r="E294" s="320">
        <f>H294</f>
        <v>27570</v>
      </c>
      <c r="F294" s="384">
        <f>E294/D294*100</f>
        <v>12.804198402377857</v>
      </c>
      <c r="G294" s="323">
        <f>SUM(G295:G296)</f>
        <v>215320</v>
      </c>
      <c r="H294" s="322">
        <f>SUM(H295:H296)</f>
        <v>27570</v>
      </c>
      <c r="I294" s="384">
        <f t="shared" si="36"/>
        <v>12.804198402377857</v>
      </c>
      <c r="J294" s="323"/>
      <c r="K294" s="322"/>
      <c r="L294" s="385"/>
      <c r="M294" s="323"/>
      <c r="N294" s="322"/>
      <c r="O294" s="384"/>
      <c r="P294" s="323"/>
      <c r="Q294" s="322"/>
      <c r="R294" s="385"/>
    </row>
    <row r="295" spans="1:18" ht="54" customHeight="1">
      <c r="A295" s="310" t="s">
        <v>1050</v>
      </c>
      <c r="B295" s="326" t="s">
        <v>360</v>
      </c>
      <c r="C295" s="222"/>
      <c r="D295" s="223">
        <f>G295</f>
        <v>183022</v>
      </c>
      <c r="E295" s="223">
        <f>H295</f>
        <v>23435</v>
      </c>
      <c r="F295" s="387"/>
      <c r="G295" s="225">
        <v>183022</v>
      </c>
      <c r="H295" s="226">
        <v>23435</v>
      </c>
      <c r="I295" s="340">
        <f t="shared" si="36"/>
        <v>12.804471593578914</v>
      </c>
      <c r="J295" s="225"/>
      <c r="K295" s="226"/>
      <c r="L295" s="293"/>
      <c r="M295" s="225"/>
      <c r="N295" s="226"/>
      <c r="O295" s="340"/>
      <c r="P295" s="225"/>
      <c r="Q295" s="226"/>
      <c r="R295" s="293"/>
    </row>
    <row r="296" spans="1:18" ht="54.75" customHeight="1" thickBot="1">
      <c r="A296" s="349" t="s">
        <v>1051</v>
      </c>
      <c r="B296" s="388" t="s">
        <v>360</v>
      </c>
      <c r="C296" s="138"/>
      <c r="D296" s="89">
        <f>G296</f>
        <v>32298</v>
      </c>
      <c r="E296" s="89">
        <f>H296</f>
        <v>4135</v>
      </c>
      <c r="F296" s="389"/>
      <c r="G296" s="125">
        <v>32298</v>
      </c>
      <c r="H296" s="121">
        <v>4135</v>
      </c>
      <c r="I296" s="296">
        <f t="shared" si="36"/>
        <v>12.802650318905195</v>
      </c>
      <c r="J296" s="125"/>
      <c r="K296" s="121"/>
      <c r="L296" s="127"/>
      <c r="M296" s="125"/>
      <c r="N296" s="121"/>
      <c r="O296" s="296"/>
      <c r="P296" s="125"/>
      <c r="Q296" s="121"/>
      <c r="R296" s="127"/>
    </row>
    <row r="297" spans="1:18" ht="30" customHeight="1" thickBot="1" thickTop="1">
      <c r="A297" s="343" t="s">
        <v>92</v>
      </c>
      <c r="B297" s="98" t="s">
        <v>93</v>
      </c>
      <c r="C297" s="231">
        <f>C298+C304+C308+C311+C315+C320</f>
        <v>359300</v>
      </c>
      <c r="D297" s="100">
        <f>G297+J297+M297+P297</f>
        <v>780705</v>
      </c>
      <c r="E297" s="100">
        <f>E298+E304+E308+E311+E315+E320+E323</f>
        <v>302467</v>
      </c>
      <c r="F297" s="103">
        <f t="shared" si="31"/>
        <v>38.7428029793584</v>
      </c>
      <c r="G297" s="104">
        <f>G298+G304+G308+G311+G315+G320+G323</f>
        <v>535405</v>
      </c>
      <c r="H297" s="101">
        <f>H298+H304+H308+H311+H315+H320+H323</f>
        <v>234533</v>
      </c>
      <c r="I297" s="103">
        <f t="shared" si="36"/>
        <v>43.804783294888914</v>
      </c>
      <c r="J297" s="104"/>
      <c r="K297" s="101"/>
      <c r="L297" s="106"/>
      <c r="M297" s="104">
        <f>M298+M304+M308+M311+M315+M323</f>
        <v>245300</v>
      </c>
      <c r="N297" s="101">
        <f>N298+N304+N308+N311+N315+N323</f>
        <v>67934</v>
      </c>
      <c r="O297" s="106">
        <f t="shared" si="35"/>
        <v>27.694251936404402</v>
      </c>
      <c r="P297" s="104"/>
      <c r="Q297" s="101"/>
      <c r="R297" s="106"/>
    </row>
    <row r="298" spans="1:18" ht="26.25" customHeight="1" thickTop="1">
      <c r="A298" s="347" t="s">
        <v>94</v>
      </c>
      <c r="B298" s="348" t="s">
        <v>95</v>
      </c>
      <c r="C298" s="234">
        <f>SUM(C299:C303)</f>
        <v>70300</v>
      </c>
      <c r="D298" s="110">
        <f>SUM(D299:D303)</f>
        <v>70300</v>
      </c>
      <c r="E298" s="205">
        <f>SUM(E299:E303)</f>
        <v>28932</v>
      </c>
      <c r="F298" s="206">
        <f t="shared" si="31"/>
        <v>41.15504978662873</v>
      </c>
      <c r="G298" s="208"/>
      <c r="H298" s="209"/>
      <c r="I298" s="224"/>
      <c r="J298" s="208"/>
      <c r="K298" s="209"/>
      <c r="L298" s="283"/>
      <c r="M298" s="234">
        <f>SUM(M299:M303)</f>
        <v>70300</v>
      </c>
      <c r="N298" s="110">
        <f>SUM(N299:N303)</f>
        <v>28932</v>
      </c>
      <c r="O298" s="283">
        <f t="shared" si="35"/>
        <v>41.15504978662873</v>
      </c>
      <c r="P298" s="208"/>
      <c r="Q298" s="209"/>
      <c r="R298" s="283"/>
    </row>
    <row r="299" spans="1:18" s="139" customFormat="1" ht="18" customHeight="1">
      <c r="A299" s="299" t="s">
        <v>929</v>
      </c>
      <c r="B299" s="314" t="s">
        <v>1072</v>
      </c>
      <c r="C299" s="177">
        <v>60000</v>
      </c>
      <c r="D299" s="178">
        <f aca="true" t="shared" si="37" ref="D299:E303">G299+J299+M299+P299</f>
        <v>60000</v>
      </c>
      <c r="E299" s="178">
        <f t="shared" si="37"/>
        <v>18551</v>
      </c>
      <c r="F299" s="179">
        <f t="shared" si="31"/>
        <v>30.91833333333333</v>
      </c>
      <c r="G299" s="180"/>
      <c r="H299" s="181"/>
      <c r="I299" s="179"/>
      <c r="J299" s="180"/>
      <c r="K299" s="181"/>
      <c r="L299" s="183"/>
      <c r="M299" s="180">
        <v>60000</v>
      </c>
      <c r="N299" s="181">
        <v>18551</v>
      </c>
      <c r="O299" s="179">
        <f t="shared" si="35"/>
        <v>30.91833333333333</v>
      </c>
      <c r="P299" s="180"/>
      <c r="Q299" s="181"/>
      <c r="R299" s="183"/>
    </row>
    <row r="300" spans="1:18" s="139" customFormat="1" ht="64.5" customHeight="1">
      <c r="A300" s="349" t="s">
        <v>930</v>
      </c>
      <c r="B300" s="86" t="s">
        <v>931</v>
      </c>
      <c r="C300" s="138">
        <v>2000</v>
      </c>
      <c r="D300" s="89">
        <f t="shared" si="37"/>
        <v>2000</v>
      </c>
      <c r="E300" s="89">
        <f t="shared" si="37"/>
        <v>307</v>
      </c>
      <c r="F300" s="124">
        <f t="shared" si="31"/>
        <v>15.35</v>
      </c>
      <c r="G300" s="125"/>
      <c r="H300" s="121"/>
      <c r="I300" s="124"/>
      <c r="J300" s="125"/>
      <c r="K300" s="121"/>
      <c r="L300" s="127"/>
      <c r="M300" s="125">
        <v>2000</v>
      </c>
      <c r="N300" s="121">
        <v>307</v>
      </c>
      <c r="O300" s="218">
        <f t="shared" si="35"/>
        <v>15.35</v>
      </c>
      <c r="P300" s="125"/>
      <c r="Q300" s="121"/>
      <c r="R300" s="127"/>
    </row>
    <row r="301" spans="1:18" s="139" customFormat="1" ht="14.25" customHeight="1">
      <c r="A301" s="349" t="s">
        <v>1068</v>
      </c>
      <c r="B301" s="119" t="s">
        <v>1069</v>
      </c>
      <c r="C301" s="138">
        <v>8000</v>
      </c>
      <c r="D301" s="89">
        <f t="shared" si="37"/>
        <v>8000</v>
      </c>
      <c r="E301" s="89">
        <f t="shared" si="37"/>
        <v>8345</v>
      </c>
      <c r="F301" s="124">
        <f t="shared" si="31"/>
        <v>104.31250000000001</v>
      </c>
      <c r="G301" s="125"/>
      <c r="H301" s="121"/>
      <c r="I301" s="124"/>
      <c r="J301" s="125"/>
      <c r="K301" s="121"/>
      <c r="L301" s="127"/>
      <c r="M301" s="125">
        <v>8000</v>
      </c>
      <c r="N301" s="121">
        <v>8345</v>
      </c>
      <c r="O301" s="124">
        <f t="shared" si="35"/>
        <v>104.31250000000001</v>
      </c>
      <c r="P301" s="125"/>
      <c r="Q301" s="121"/>
      <c r="R301" s="127"/>
    </row>
    <row r="302" spans="1:18" s="139" customFormat="1" ht="14.25" customHeight="1">
      <c r="A302" s="349" t="s">
        <v>947</v>
      </c>
      <c r="B302" s="119" t="s">
        <v>223</v>
      </c>
      <c r="C302" s="138">
        <v>100</v>
      </c>
      <c r="D302" s="89">
        <f t="shared" si="37"/>
        <v>100</v>
      </c>
      <c r="E302" s="89">
        <f t="shared" si="37"/>
        <v>16</v>
      </c>
      <c r="F302" s="124">
        <f t="shared" si="31"/>
        <v>16</v>
      </c>
      <c r="G302" s="125"/>
      <c r="H302" s="121"/>
      <c r="I302" s="124"/>
      <c r="J302" s="125"/>
      <c r="K302" s="121"/>
      <c r="L302" s="127"/>
      <c r="M302" s="125">
        <v>100</v>
      </c>
      <c r="N302" s="121">
        <v>16</v>
      </c>
      <c r="O302" s="124">
        <f t="shared" si="35"/>
        <v>16</v>
      </c>
      <c r="P302" s="125"/>
      <c r="Q302" s="121"/>
      <c r="R302" s="127"/>
    </row>
    <row r="303" spans="1:18" ht="14.25" customHeight="1">
      <c r="A303" s="310" t="s">
        <v>920</v>
      </c>
      <c r="B303" s="251" t="s">
        <v>915</v>
      </c>
      <c r="C303" s="222">
        <v>200</v>
      </c>
      <c r="D303" s="223">
        <f t="shared" si="37"/>
        <v>200</v>
      </c>
      <c r="E303" s="223">
        <f t="shared" si="37"/>
        <v>1713</v>
      </c>
      <c r="F303" s="224">
        <f t="shared" si="31"/>
        <v>856.5</v>
      </c>
      <c r="G303" s="225"/>
      <c r="H303" s="226"/>
      <c r="I303" s="224"/>
      <c r="J303" s="225"/>
      <c r="K303" s="226"/>
      <c r="L303" s="293"/>
      <c r="M303" s="225">
        <v>200</v>
      </c>
      <c r="N303" s="226">
        <v>1713</v>
      </c>
      <c r="O303" s="224">
        <f t="shared" si="35"/>
        <v>856.5</v>
      </c>
      <c r="P303" s="225"/>
      <c r="Q303" s="226"/>
      <c r="R303" s="293"/>
    </row>
    <row r="304" spans="1:18" ht="29.25" customHeight="1">
      <c r="A304" s="304" t="s">
        <v>96</v>
      </c>
      <c r="B304" s="350" t="s">
        <v>97</v>
      </c>
      <c r="C304" s="130">
        <f>C305</f>
        <v>3000</v>
      </c>
      <c r="D304" s="131">
        <f>SUM(D305:D307)</f>
        <v>3000</v>
      </c>
      <c r="E304" s="131">
        <f>SUM(E305:E307)</f>
        <v>3440</v>
      </c>
      <c r="F304" s="229">
        <f t="shared" si="31"/>
        <v>114.66666666666667</v>
      </c>
      <c r="G304" s="133"/>
      <c r="H304" s="134"/>
      <c r="I304" s="185"/>
      <c r="J304" s="133"/>
      <c r="K304" s="134"/>
      <c r="L304" s="300"/>
      <c r="M304" s="133">
        <f>SUM(M305:M307)</f>
        <v>3000</v>
      </c>
      <c r="N304" s="134">
        <f>SUM(N305:N307)</f>
        <v>3440</v>
      </c>
      <c r="O304" s="132">
        <f t="shared" si="35"/>
        <v>114.66666666666667</v>
      </c>
      <c r="P304" s="133"/>
      <c r="Q304" s="134"/>
      <c r="R304" s="185"/>
    </row>
    <row r="305" spans="1:18" s="139" customFormat="1" ht="62.25" customHeight="1">
      <c r="A305" s="299" t="s">
        <v>930</v>
      </c>
      <c r="B305" s="176" t="s">
        <v>931</v>
      </c>
      <c r="C305" s="177">
        <v>3000</v>
      </c>
      <c r="D305" s="178">
        <f aca="true" t="shared" si="38" ref="D305:E307">G305+J305+M305+P305</f>
        <v>3000</v>
      </c>
      <c r="E305" s="178">
        <f t="shared" si="38"/>
        <v>981</v>
      </c>
      <c r="F305" s="179">
        <f t="shared" si="31"/>
        <v>32.7</v>
      </c>
      <c r="G305" s="180"/>
      <c r="H305" s="181"/>
      <c r="I305" s="179"/>
      <c r="J305" s="180"/>
      <c r="K305" s="181"/>
      <c r="L305" s="183"/>
      <c r="M305" s="180">
        <v>3000</v>
      </c>
      <c r="N305" s="181">
        <v>981</v>
      </c>
      <c r="O305" s="179">
        <f t="shared" si="35"/>
        <v>32.7</v>
      </c>
      <c r="P305" s="180"/>
      <c r="Q305" s="181"/>
      <c r="R305" s="183"/>
    </row>
    <row r="306" spans="1:18" s="139" customFormat="1" ht="15.75" customHeight="1">
      <c r="A306" s="349" t="s">
        <v>947</v>
      </c>
      <c r="B306" s="119" t="s">
        <v>223</v>
      </c>
      <c r="C306" s="138"/>
      <c r="D306" s="89"/>
      <c r="E306" s="89">
        <f>N306</f>
        <v>0</v>
      </c>
      <c r="F306" s="124"/>
      <c r="G306" s="125"/>
      <c r="H306" s="121"/>
      <c r="I306" s="124"/>
      <c r="J306" s="125"/>
      <c r="K306" s="121"/>
      <c r="L306" s="127"/>
      <c r="M306" s="125"/>
      <c r="N306" s="121"/>
      <c r="O306" s="124"/>
      <c r="P306" s="125"/>
      <c r="Q306" s="121"/>
      <c r="R306" s="127"/>
    </row>
    <row r="307" spans="1:18" s="139" customFormat="1" ht="17.25" customHeight="1">
      <c r="A307" s="349" t="s">
        <v>920</v>
      </c>
      <c r="B307" s="119" t="s">
        <v>915</v>
      </c>
      <c r="C307" s="138"/>
      <c r="D307" s="89">
        <f t="shared" si="38"/>
        <v>0</v>
      </c>
      <c r="E307" s="89">
        <f t="shared" si="38"/>
        <v>2459</v>
      </c>
      <c r="F307" s="124" t="e">
        <f t="shared" si="31"/>
        <v>#DIV/0!</v>
      </c>
      <c r="G307" s="125"/>
      <c r="H307" s="121"/>
      <c r="I307" s="124"/>
      <c r="J307" s="125"/>
      <c r="K307" s="121"/>
      <c r="L307" s="127"/>
      <c r="M307" s="125"/>
      <c r="N307" s="121">
        <v>2459</v>
      </c>
      <c r="O307" s="124" t="e">
        <f>N307/M307*100</f>
        <v>#DIV/0!</v>
      </c>
      <c r="P307" s="125"/>
      <c r="Q307" s="121"/>
      <c r="R307" s="127"/>
    </row>
    <row r="308" spans="1:18" ht="28.5" customHeight="1">
      <c r="A308" s="304" t="s">
        <v>98</v>
      </c>
      <c r="B308" s="129" t="s">
        <v>99</v>
      </c>
      <c r="C308" s="130">
        <f>SUM(C309:C310)</f>
        <v>21000</v>
      </c>
      <c r="D308" s="131">
        <f>SUM(D309:D310)</f>
        <v>22000</v>
      </c>
      <c r="E308" s="131">
        <f>SUM(E309:E310)</f>
        <v>4835</v>
      </c>
      <c r="F308" s="229">
        <f t="shared" si="31"/>
        <v>21.97727272727273</v>
      </c>
      <c r="G308" s="133"/>
      <c r="H308" s="134"/>
      <c r="I308" s="185"/>
      <c r="J308" s="133"/>
      <c r="K308" s="134"/>
      <c r="L308" s="185"/>
      <c r="M308" s="133">
        <f>M309+M310</f>
        <v>22000</v>
      </c>
      <c r="N308" s="134">
        <f>N309+N310</f>
        <v>4835</v>
      </c>
      <c r="O308" s="132">
        <f t="shared" si="35"/>
        <v>21.97727272727273</v>
      </c>
      <c r="P308" s="133"/>
      <c r="Q308" s="134"/>
      <c r="R308" s="300"/>
    </row>
    <row r="309" spans="1:18" s="139" customFormat="1" ht="60.75" customHeight="1">
      <c r="A309" s="299" t="s">
        <v>930</v>
      </c>
      <c r="B309" s="86" t="s">
        <v>931</v>
      </c>
      <c r="C309" s="177">
        <v>7000</v>
      </c>
      <c r="D309" s="178">
        <f>G309+J309+M309+P309</f>
        <v>7000</v>
      </c>
      <c r="E309" s="178">
        <f>H309+K309+N309+Q309</f>
        <v>1070</v>
      </c>
      <c r="F309" s="179">
        <f t="shared" si="31"/>
        <v>15.285714285714286</v>
      </c>
      <c r="G309" s="180"/>
      <c r="H309" s="181"/>
      <c r="I309" s="179"/>
      <c r="J309" s="180"/>
      <c r="K309" s="181"/>
      <c r="L309" s="183"/>
      <c r="M309" s="180">
        <v>7000</v>
      </c>
      <c r="N309" s="181">
        <v>1070</v>
      </c>
      <c r="O309" s="179">
        <f t="shared" si="35"/>
        <v>15.285714285714286</v>
      </c>
      <c r="P309" s="180"/>
      <c r="Q309" s="181"/>
      <c r="R309" s="183"/>
    </row>
    <row r="310" spans="1:18" ht="15.75" customHeight="1">
      <c r="A310" s="310" t="s">
        <v>1068</v>
      </c>
      <c r="B310" s="312" t="s">
        <v>1069</v>
      </c>
      <c r="C310" s="222">
        <v>14000</v>
      </c>
      <c r="D310" s="223">
        <f>G310+J310+M310+P310</f>
        <v>15000</v>
      </c>
      <c r="E310" s="223">
        <f>H310+K310+N310+Q310</f>
        <v>3765</v>
      </c>
      <c r="F310" s="252">
        <f t="shared" si="31"/>
        <v>25.1</v>
      </c>
      <c r="G310" s="225"/>
      <c r="H310" s="226"/>
      <c r="I310" s="224"/>
      <c r="J310" s="225"/>
      <c r="K310" s="226"/>
      <c r="L310" s="293"/>
      <c r="M310" s="225">
        <f>14000+1000</f>
        <v>15000</v>
      </c>
      <c r="N310" s="226">
        <v>3765</v>
      </c>
      <c r="O310" s="224">
        <f t="shared" si="35"/>
        <v>25.1</v>
      </c>
      <c r="P310" s="225"/>
      <c r="Q310" s="226"/>
      <c r="R310" s="293"/>
    </row>
    <row r="311" spans="1:18" ht="18.75" customHeight="1">
      <c r="A311" s="304" t="s">
        <v>100</v>
      </c>
      <c r="B311" s="350" t="s">
        <v>834</v>
      </c>
      <c r="C311" s="130">
        <f>C312</f>
        <v>150000</v>
      </c>
      <c r="D311" s="131">
        <f>SUM(D312:D313)</f>
        <v>150000</v>
      </c>
      <c r="E311" s="131">
        <f>SUM(E312:E314)</f>
        <v>30727</v>
      </c>
      <c r="F311" s="229">
        <f t="shared" si="31"/>
        <v>20.48466666666667</v>
      </c>
      <c r="G311" s="133"/>
      <c r="H311" s="134"/>
      <c r="I311" s="185"/>
      <c r="J311" s="133"/>
      <c r="K311" s="134"/>
      <c r="L311" s="137"/>
      <c r="M311" s="133">
        <f>SUM(M312:M313)</f>
        <v>150000</v>
      </c>
      <c r="N311" s="134">
        <f>SUM(N312:N314)</f>
        <v>30727</v>
      </c>
      <c r="O311" s="132">
        <f t="shared" si="35"/>
        <v>20.48466666666667</v>
      </c>
      <c r="P311" s="133"/>
      <c r="Q311" s="134"/>
      <c r="R311" s="137"/>
    </row>
    <row r="312" spans="1:18" s="139" customFormat="1" ht="59.25" customHeight="1">
      <c r="A312" s="299" t="s">
        <v>930</v>
      </c>
      <c r="B312" s="86" t="s">
        <v>931</v>
      </c>
      <c r="C312" s="177">
        <v>150000</v>
      </c>
      <c r="D312" s="178">
        <f aca="true" t="shared" si="39" ref="D312:E316">G312+J312+M312+P312</f>
        <v>150000</v>
      </c>
      <c r="E312" s="178">
        <f t="shared" si="39"/>
        <v>30532</v>
      </c>
      <c r="F312" s="179">
        <f t="shared" si="31"/>
        <v>20.354666666666667</v>
      </c>
      <c r="G312" s="180"/>
      <c r="H312" s="181"/>
      <c r="I312" s="179"/>
      <c r="J312" s="180"/>
      <c r="K312" s="181"/>
      <c r="L312" s="183"/>
      <c r="M312" s="180">
        <v>150000</v>
      </c>
      <c r="N312" s="181">
        <v>30532</v>
      </c>
      <c r="O312" s="179">
        <f t="shared" si="35"/>
        <v>20.354666666666667</v>
      </c>
      <c r="P312" s="180"/>
      <c r="Q312" s="181"/>
      <c r="R312" s="183"/>
    </row>
    <row r="313" spans="1:18" s="139" customFormat="1" ht="26.25" customHeight="1">
      <c r="A313" s="349" t="s">
        <v>914</v>
      </c>
      <c r="B313" s="119" t="s">
        <v>1052</v>
      </c>
      <c r="C313" s="138"/>
      <c r="D313" s="89">
        <f t="shared" si="39"/>
        <v>0</v>
      </c>
      <c r="E313" s="89">
        <f t="shared" si="39"/>
        <v>193</v>
      </c>
      <c r="F313" s="122"/>
      <c r="G313" s="125"/>
      <c r="H313" s="121"/>
      <c r="I313" s="124"/>
      <c r="J313" s="125"/>
      <c r="K313" s="121"/>
      <c r="L313" s="127"/>
      <c r="M313" s="125"/>
      <c r="N313" s="121">
        <v>193</v>
      </c>
      <c r="O313" s="124"/>
      <c r="P313" s="125"/>
      <c r="Q313" s="121"/>
      <c r="R313" s="127"/>
    </row>
    <row r="314" spans="1:18" s="139" customFormat="1" ht="18.75" customHeight="1">
      <c r="A314" s="349" t="s">
        <v>947</v>
      </c>
      <c r="B314" s="119" t="s">
        <v>223</v>
      </c>
      <c r="C314" s="222"/>
      <c r="D314" s="223"/>
      <c r="E314" s="223">
        <f>N314</f>
        <v>2</v>
      </c>
      <c r="F314" s="252"/>
      <c r="G314" s="225"/>
      <c r="H314" s="226"/>
      <c r="I314" s="224"/>
      <c r="J314" s="225"/>
      <c r="K314" s="226"/>
      <c r="L314" s="293"/>
      <c r="M314" s="225"/>
      <c r="N314" s="226">
        <v>2</v>
      </c>
      <c r="O314" s="224"/>
      <c r="P314" s="225"/>
      <c r="Q314" s="226"/>
      <c r="R314" s="293"/>
    </row>
    <row r="315" spans="1:18" ht="23.25" customHeight="1">
      <c r="A315" s="304" t="s">
        <v>101</v>
      </c>
      <c r="B315" s="350" t="s">
        <v>835</v>
      </c>
      <c r="C315" s="130"/>
      <c r="D315" s="131">
        <f t="shared" si="39"/>
        <v>420405</v>
      </c>
      <c r="E315" s="131">
        <f t="shared" si="39"/>
        <v>210203</v>
      </c>
      <c r="F315" s="229">
        <f t="shared" si="31"/>
        <v>50.000118932933724</v>
      </c>
      <c r="G315" s="133">
        <f>SUM(G316:G316)</f>
        <v>420405</v>
      </c>
      <c r="H315" s="134">
        <f>SUM(H316:H316)</f>
        <v>210203</v>
      </c>
      <c r="I315" s="132">
        <f>H315/G315*100</f>
        <v>50.000118932933724</v>
      </c>
      <c r="J315" s="133"/>
      <c r="K315" s="134"/>
      <c r="L315" s="137"/>
      <c r="M315" s="133">
        <f>M318+M319</f>
        <v>0</v>
      </c>
      <c r="N315" s="134">
        <f>N318+N319</f>
        <v>0</v>
      </c>
      <c r="O315" s="132" t="e">
        <f t="shared" si="35"/>
        <v>#DIV/0!</v>
      </c>
      <c r="P315" s="133"/>
      <c r="Q315" s="134"/>
      <c r="R315" s="137"/>
    </row>
    <row r="316" spans="1:18" s="139" customFormat="1" ht="39" customHeight="1">
      <c r="A316" s="212" t="s">
        <v>1070</v>
      </c>
      <c r="B316" s="352" t="s">
        <v>102</v>
      </c>
      <c r="C316" s="213"/>
      <c r="D316" s="214">
        <f t="shared" si="39"/>
        <v>420405</v>
      </c>
      <c r="E316" s="214">
        <f t="shared" si="39"/>
        <v>210203</v>
      </c>
      <c r="F316" s="241">
        <f t="shared" si="31"/>
        <v>50.000118932933724</v>
      </c>
      <c r="G316" s="215">
        <v>420405</v>
      </c>
      <c r="H316" s="216">
        <v>210203</v>
      </c>
      <c r="I316" s="185">
        <f>H316/G316*100</f>
        <v>50.000118932933724</v>
      </c>
      <c r="J316" s="215"/>
      <c r="K316" s="216"/>
      <c r="L316" s="300"/>
      <c r="M316" s="215"/>
      <c r="N316" s="216"/>
      <c r="O316" s="185"/>
      <c r="P316" s="215"/>
      <c r="Q316" s="216"/>
      <c r="R316" s="300"/>
    </row>
    <row r="317" spans="1:18" s="391" customFormat="1" ht="30" customHeight="1" hidden="1">
      <c r="A317" s="317"/>
      <c r="B317" s="390" t="s">
        <v>387</v>
      </c>
      <c r="C317" s="319"/>
      <c r="D317" s="320">
        <f>SUM(D318:D319)</f>
        <v>0</v>
      </c>
      <c r="E317" s="320">
        <f>N317</f>
        <v>0</v>
      </c>
      <c r="F317" s="258" t="e">
        <f t="shared" si="31"/>
        <v>#DIV/0!</v>
      </c>
      <c r="G317" s="323"/>
      <c r="H317" s="322"/>
      <c r="I317" s="384"/>
      <c r="J317" s="323"/>
      <c r="K317" s="322"/>
      <c r="L317" s="196"/>
      <c r="M317" s="323"/>
      <c r="N317" s="322">
        <f>SUM(N318:N319)</f>
        <v>0</v>
      </c>
      <c r="O317" s="195" t="e">
        <f>N317/M317*100</f>
        <v>#DIV/0!</v>
      </c>
      <c r="P317" s="323"/>
      <c r="Q317" s="322"/>
      <c r="R317" s="196"/>
    </row>
    <row r="318" spans="1:18" s="139" customFormat="1" ht="60" customHeight="1" hidden="1">
      <c r="A318" s="118" t="s">
        <v>388</v>
      </c>
      <c r="B318" s="119" t="s">
        <v>389</v>
      </c>
      <c r="C318" s="138"/>
      <c r="D318" s="89">
        <f>M318</f>
        <v>0</v>
      </c>
      <c r="E318" s="89">
        <f>N318</f>
        <v>0</v>
      </c>
      <c r="F318" s="122"/>
      <c r="G318" s="125"/>
      <c r="H318" s="121"/>
      <c r="I318" s="124"/>
      <c r="J318" s="125"/>
      <c r="K318" s="121"/>
      <c r="L318" s="127"/>
      <c r="M318" s="125"/>
      <c r="N318" s="121"/>
      <c r="O318" s="124"/>
      <c r="P318" s="125"/>
      <c r="Q318" s="121"/>
      <c r="R318" s="127"/>
    </row>
    <row r="319" spans="1:18" s="139" customFormat="1" ht="62.25" customHeight="1" hidden="1">
      <c r="A319" s="118" t="s">
        <v>390</v>
      </c>
      <c r="B319" s="119" t="s">
        <v>389</v>
      </c>
      <c r="C319" s="138"/>
      <c r="D319" s="89">
        <f>M319</f>
        <v>0</v>
      </c>
      <c r="E319" s="89">
        <f>N319</f>
        <v>0</v>
      </c>
      <c r="F319" s="122"/>
      <c r="G319" s="125"/>
      <c r="H319" s="121"/>
      <c r="I319" s="124"/>
      <c r="J319" s="125"/>
      <c r="K319" s="121"/>
      <c r="L319" s="127"/>
      <c r="M319" s="125"/>
      <c r="N319" s="121"/>
      <c r="O319" s="124"/>
      <c r="P319" s="125"/>
      <c r="Q319" s="121"/>
      <c r="R319" s="127"/>
    </row>
    <row r="320" spans="1:18" ht="12.75">
      <c r="A320" s="304" t="s">
        <v>103</v>
      </c>
      <c r="B320" s="350" t="s">
        <v>104</v>
      </c>
      <c r="C320" s="130">
        <f>SUM(C321:C322)</f>
        <v>115000</v>
      </c>
      <c r="D320" s="131">
        <f>SUM(D321:D322)</f>
        <v>115000</v>
      </c>
      <c r="E320" s="131">
        <f>SUM(E321:E322)</f>
        <v>24330</v>
      </c>
      <c r="F320" s="229">
        <f t="shared" si="31"/>
        <v>21.156521739130437</v>
      </c>
      <c r="G320" s="133">
        <f>SUM(G321:G322)</f>
        <v>115000</v>
      </c>
      <c r="H320" s="134">
        <f>SUM(H321:H322)</f>
        <v>24330</v>
      </c>
      <c r="I320" s="132">
        <f>H320/G320*100</f>
        <v>21.156521739130437</v>
      </c>
      <c r="J320" s="133"/>
      <c r="K320" s="134"/>
      <c r="L320" s="137"/>
      <c r="M320" s="133"/>
      <c r="N320" s="134"/>
      <c r="O320" s="132"/>
      <c r="P320" s="133"/>
      <c r="Q320" s="134"/>
      <c r="R320" s="132"/>
    </row>
    <row r="321" spans="1:18" ht="17.25" customHeight="1">
      <c r="A321" s="299" t="s">
        <v>1068</v>
      </c>
      <c r="B321" s="314" t="s">
        <v>1069</v>
      </c>
      <c r="C321" s="177">
        <v>112000</v>
      </c>
      <c r="D321" s="178">
        <f>G321+J321+M321+P321</f>
        <v>112000</v>
      </c>
      <c r="E321" s="178">
        <f>H321+K321+N321+Q321</f>
        <v>17281</v>
      </c>
      <c r="F321" s="179">
        <f t="shared" si="31"/>
        <v>15.429464285714287</v>
      </c>
      <c r="G321" s="180">
        <v>112000</v>
      </c>
      <c r="H321" s="181">
        <v>17281</v>
      </c>
      <c r="I321" s="179">
        <f>H321/G321*100</f>
        <v>15.429464285714287</v>
      </c>
      <c r="J321" s="180"/>
      <c r="K321" s="181"/>
      <c r="L321" s="183"/>
      <c r="M321" s="180"/>
      <c r="N321" s="181"/>
      <c r="O321" s="183"/>
      <c r="P321" s="180"/>
      <c r="Q321" s="181"/>
      <c r="R321" s="183"/>
    </row>
    <row r="322" spans="1:18" ht="14.25" customHeight="1">
      <c r="A322" s="349" t="s">
        <v>920</v>
      </c>
      <c r="B322" s="86" t="s">
        <v>940</v>
      </c>
      <c r="C322" s="138">
        <v>3000</v>
      </c>
      <c r="D322" s="89">
        <f>G322+J322+M322+P322</f>
        <v>3000</v>
      </c>
      <c r="E322" s="89">
        <f>H322+K322+N322+Q322</f>
        <v>7049</v>
      </c>
      <c r="F322" s="124">
        <f t="shared" si="31"/>
        <v>234.96666666666667</v>
      </c>
      <c r="G322" s="125">
        <v>3000</v>
      </c>
      <c r="H322" s="121">
        <v>7049</v>
      </c>
      <c r="I322" s="124">
        <f>H322/G322*100</f>
        <v>234.96666666666667</v>
      </c>
      <c r="J322" s="125"/>
      <c r="K322" s="121"/>
      <c r="L322" s="127"/>
      <c r="M322" s="125"/>
      <c r="N322" s="121"/>
      <c r="O322" s="127"/>
      <c r="P322" s="125"/>
      <c r="Q322" s="121"/>
      <c r="R322" s="127"/>
    </row>
    <row r="323" spans="1:18" ht="18" customHeight="1">
      <c r="A323" s="304" t="s">
        <v>391</v>
      </c>
      <c r="B323" s="129" t="s">
        <v>213</v>
      </c>
      <c r="C323" s="239"/>
      <c r="D323" s="131">
        <f>D324</f>
        <v>0</v>
      </c>
      <c r="E323" s="131">
        <f>E324</f>
        <v>0</v>
      </c>
      <c r="F323" s="229" t="e">
        <f t="shared" si="31"/>
        <v>#DIV/0!</v>
      </c>
      <c r="G323" s="230"/>
      <c r="H323" s="134"/>
      <c r="I323" s="392"/>
      <c r="J323" s="133"/>
      <c r="K323" s="134"/>
      <c r="L323" s="137"/>
      <c r="M323" s="230">
        <f>M324</f>
        <v>0</v>
      </c>
      <c r="N323" s="134">
        <f>N324</f>
        <v>0</v>
      </c>
      <c r="O323" s="137" t="e">
        <f>N323/M323*100</f>
        <v>#DIV/0!</v>
      </c>
      <c r="P323" s="133"/>
      <c r="Q323" s="134"/>
      <c r="R323" s="137"/>
    </row>
    <row r="324" spans="1:18" ht="63" customHeight="1" thickBot="1">
      <c r="A324" s="299" t="s">
        <v>1004</v>
      </c>
      <c r="B324" s="176" t="s">
        <v>392</v>
      </c>
      <c r="C324" s="393"/>
      <c r="D324" s="178">
        <f>G324+M324</f>
        <v>0</v>
      </c>
      <c r="E324" s="178">
        <f>N324</f>
        <v>0</v>
      </c>
      <c r="F324" s="243"/>
      <c r="G324" s="394"/>
      <c r="H324" s="181"/>
      <c r="I324" s="395"/>
      <c r="J324" s="180"/>
      <c r="K324" s="181"/>
      <c r="L324" s="183"/>
      <c r="M324" s="394"/>
      <c r="N324" s="181"/>
      <c r="O324" s="183"/>
      <c r="P324" s="180"/>
      <c r="Q324" s="181"/>
      <c r="R324" s="183"/>
    </row>
    <row r="325" spans="1:18" ht="29.25" customHeight="1" thickTop="1">
      <c r="A325" s="396" t="s">
        <v>105</v>
      </c>
      <c r="B325" s="233" t="s">
        <v>106</v>
      </c>
      <c r="C325" s="113">
        <f>C326+C328</f>
        <v>2793300</v>
      </c>
      <c r="D325" s="111">
        <f>D326+D328+D334+D331</f>
        <v>3956444</v>
      </c>
      <c r="E325" s="111">
        <f>E326+E328+E334+E331</f>
        <v>1147711</v>
      </c>
      <c r="F325" s="397">
        <f t="shared" si="31"/>
        <v>29.008650191940035</v>
      </c>
      <c r="G325" s="111">
        <f>G326+G328+G334+G331</f>
        <v>3875059</v>
      </c>
      <c r="H325" s="111">
        <f>H326+H328+H334+H331</f>
        <v>1057074</v>
      </c>
      <c r="I325" s="398">
        <f>H325/G325*100</f>
        <v>27.278913688798028</v>
      </c>
      <c r="J325" s="115"/>
      <c r="K325" s="111"/>
      <c r="L325" s="399"/>
      <c r="M325" s="111">
        <f>M326+M328+M334+M331</f>
        <v>81385</v>
      </c>
      <c r="N325" s="111">
        <f>N326+N328+N334+N331</f>
        <v>90637</v>
      </c>
      <c r="O325" s="117">
        <f>N325/M325*100</f>
        <v>111.36818824107637</v>
      </c>
      <c r="P325" s="115"/>
      <c r="Q325" s="111"/>
      <c r="R325" s="117"/>
    </row>
    <row r="326" spans="1:18" ht="27.75" customHeight="1">
      <c r="A326" s="347" t="s">
        <v>393</v>
      </c>
      <c r="B326" s="203" t="s">
        <v>845</v>
      </c>
      <c r="C326" s="400">
        <f>C327</f>
        <v>2793000</v>
      </c>
      <c r="D326" s="209">
        <f>G326</f>
        <v>2793000</v>
      </c>
      <c r="E326" s="209">
        <f>H326</f>
        <v>0</v>
      </c>
      <c r="F326" s="401">
        <f>E326/D326*100</f>
        <v>0</v>
      </c>
      <c r="G326" s="354">
        <f>G327</f>
        <v>2793000</v>
      </c>
      <c r="H326" s="209">
        <f>H327</f>
        <v>0</v>
      </c>
      <c r="I326" s="402">
        <f>H326/G326*100</f>
        <v>0</v>
      </c>
      <c r="J326" s="208"/>
      <c r="K326" s="209"/>
      <c r="L326" s="403"/>
      <c r="M326" s="354"/>
      <c r="N326" s="209"/>
      <c r="O326" s="283"/>
      <c r="P326" s="208"/>
      <c r="Q326" s="209"/>
      <c r="R326" s="283"/>
    </row>
    <row r="327" spans="1:18" ht="60" customHeight="1">
      <c r="A327" s="310" t="s">
        <v>916</v>
      </c>
      <c r="B327" s="251" t="s">
        <v>394</v>
      </c>
      <c r="C327" s="404">
        <v>2793000</v>
      </c>
      <c r="D327" s="121">
        <f>G327</f>
        <v>2793000</v>
      </c>
      <c r="E327" s="121">
        <f>H327</f>
        <v>0</v>
      </c>
      <c r="F327" s="389"/>
      <c r="G327" s="123">
        <v>2793000</v>
      </c>
      <c r="H327" s="121"/>
      <c r="I327" s="405"/>
      <c r="J327" s="125"/>
      <c r="K327" s="121"/>
      <c r="L327" s="406"/>
      <c r="M327" s="123"/>
      <c r="N327" s="121"/>
      <c r="O327" s="127"/>
      <c r="P327" s="125"/>
      <c r="Q327" s="121"/>
      <c r="R327" s="127"/>
    </row>
    <row r="328" spans="1:18" ht="17.25" customHeight="1">
      <c r="A328" s="304" t="s">
        <v>107</v>
      </c>
      <c r="B328" s="129" t="s">
        <v>846</v>
      </c>
      <c r="C328" s="130">
        <f>C330</f>
        <v>300</v>
      </c>
      <c r="D328" s="131">
        <f>SUM(D329:D330)</f>
        <v>300</v>
      </c>
      <c r="E328" s="131">
        <f>SUM(E329:E330)</f>
        <v>6313</v>
      </c>
      <c r="F328" s="229">
        <f>E328/D328*100</f>
        <v>2104.3333333333335</v>
      </c>
      <c r="G328" s="133"/>
      <c r="H328" s="134"/>
      <c r="I328" s="185"/>
      <c r="J328" s="133"/>
      <c r="K328" s="134"/>
      <c r="L328" s="185"/>
      <c r="M328" s="134">
        <f>M330</f>
        <v>300</v>
      </c>
      <c r="N328" s="134">
        <f>SUM(N329:N330)</f>
        <v>6313</v>
      </c>
      <c r="O328" s="137">
        <f>N328/M328*100</f>
        <v>2104.3333333333335</v>
      </c>
      <c r="P328" s="133"/>
      <c r="Q328" s="134"/>
      <c r="R328" s="137"/>
    </row>
    <row r="329" spans="1:18" ht="38.25" customHeight="1">
      <c r="A329" s="118" t="s">
        <v>912</v>
      </c>
      <c r="B329" s="86" t="s">
        <v>919</v>
      </c>
      <c r="C329" s="138"/>
      <c r="D329" s="89"/>
      <c r="E329" s="89">
        <f>H329+K329+N329</f>
        <v>6313</v>
      </c>
      <c r="F329" s="122"/>
      <c r="G329" s="125"/>
      <c r="H329" s="121"/>
      <c r="I329" s="124"/>
      <c r="J329" s="125"/>
      <c r="K329" s="121"/>
      <c r="L329" s="124"/>
      <c r="M329" s="123"/>
      <c r="N329" s="121">
        <v>6313</v>
      </c>
      <c r="O329" s="127"/>
      <c r="P329" s="125"/>
      <c r="Q329" s="121"/>
      <c r="R329" s="127"/>
    </row>
    <row r="330" spans="1:18" ht="17.25" customHeight="1">
      <c r="A330" s="118" t="s">
        <v>920</v>
      </c>
      <c r="B330" s="86" t="s">
        <v>940</v>
      </c>
      <c r="C330" s="138">
        <v>300</v>
      </c>
      <c r="D330" s="89">
        <f>G330+J330+M330</f>
        <v>300</v>
      </c>
      <c r="E330" s="89">
        <f>H330+K330+N330+Q330</f>
        <v>0</v>
      </c>
      <c r="F330" s="122"/>
      <c r="G330" s="125"/>
      <c r="H330" s="121"/>
      <c r="I330" s="124"/>
      <c r="J330" s="125"/>
      <c r="K330" s="121"/>
      <c r="L330" s="127"/>
      <c r="M330" s="125">
        <v>300</v>
      </c>
      <c r="N330" s="121"/>
      <c r="O330" s="127"/>
      <c r="P330" s="125"/>
      <c r="Q330" s="121"/>
      <c r="R330" s="127"/>
    </row>
    <row r="331" spans="1:18" ht="27" customHeight="1">
      <c r="A331" s="128" t="s">
        <v>395</v>
      </c>
      <c r="B331" s="129" t="s">
        <v>396</v>
      </c>
      <c r="C331" s="130"/>
      <c r="D331" s="131">
        <f>G331+J331+M331+P331</f>
        <v>1157758</v>
      </c>
      <c r="E331" s="131">
        <f>H331+K331+N331+Q331</f>
        <v>1025219</v>
      </c>
      <c r="F331" s="229">
        <f>E331/D331*100</f>
        <v>88.55209810685825</v>
      </c>
      <c r="G331" s="133">
        <f>SUM(G332:G333)</f>
        <v>1076673</v>
      </c>
      <c r="H331" s="134">
        <f>H332+H333</f>
        <v>940895</v>
      </c>
      <c r="I331" s="132">
        <f>H331/G331*100</f>
        <v>87.38911442935785</v>
      </c>
      <c r="J331" s="133"/>
      <c r="K331" s="134"/>
      <c r="L331" s="137"/>
      <c r="M331" s="133">
        <f>SUM(M332:M333)</f>
        <v>81085</v>
      </c>
      <c r="N331" s="134">
        <f>SUM(N332:N333)</f>
        <v>84324</v>
      </c>
      <c r="O331" s="137">
        <f>N331/M331*100</f>
        <v>103.99457359560955</v>
      </c>
      <c r="P331" s="133"/>
      <c r="Q331" s="134"/>
      <c r="R331" s="137"/>
    </row>
    <row r="332" spans="1:18" ht="17.25" customHeight="1">
      <c r="A332" s="118" t="s">
        <v>947</v>
      </c>
      <c r="B332" s="86" t="s">
        <v>223</v>
      </c>
      <c r="C332" s="138"/>
      <c r="D332" s="89">
        <f>G332</f>
        <v>50000</v>
      </c>
      <c r="E332" s="89">
        <f>H332+N332</f>
        <v>12131</v>
      </c>
      <c r="F332" s="122">
        <f>E332/D332*100</f>
        <v>24.262</v>
      </c>
      <c r="G332" s="125">
        <v>50000</v>
      </c>
      <c r="H332" s="121">
        <v>7393</v>
      </c>
      <c r="I332" s="124">
        <f>H332/G332*100</f>
        <v>14.786</v>
      </c>
      <c r="J332" s="125"/>
      <c r="K332" s="121"/>
      <c r="L332" s="127"/>
      <c r="M332" s="125">
        <v>1500</v>
      </c>
      <c r="N332" s="121">
        <v>4738</v>
      </c>
      <c r="O332" s="127">
        <f>N332/M332*100</f>
        <v>315.8666666666667</v>
      </c>
      <c r="P332" s="125"/>
      <c r="Q332" s="121"/>
      <c r="R332" s="127"/>
    </row>
    <row r="333" spans="1:18" ht="17.25" customHeight="1">
      <c r="A333" s="118" t="s">
        <v>920</v>
      </c>
      <c r="B333" s="86" t="s">
        <v>940</v>
      </c>
      <c r="C333" s="138"/>
      <c r="D333" s="89">
        <f>G333</f>
        <v>1026673</v>
      </c>
      <c r="E333" s="89">
        <f>H333+N333</f>
        <v>1013088</v>
      </c>
      <c r="F333" s="122">
        <f>E333/D333*100</f>
        <v>98.67679387692088</v>
      </c>
      <c r="G333" s="125">
        <v>1026673</v>
      </c>
      <c r="H333" s="121">
        <v>933502</v>
      </c>
      <c r="I333" s="124">
        <f>H333/G333*100</f>
        <v>90.92495857980097</v>
      </c>
      <c r="J333" s="125"/>
      <c r="K333" s="121"/>
      <c r="L333" s="127"/>
      <c r="M333" s="125">
        <v>79585</v>
      </c>
      <c r="N333" s="121">
        <v>79586</v>
      </c>
      <c r="O333" s="127">
        <f>N333/M333*100</f>
        <v>100.0012565181881</v>
      </c>
      <c r="P333" s="125"/>
      <c r="Q333" s="121"/>
      <c r="R333" s="127"/>
    </row>
    <row r="334" spans="1:18" ht="16.5" customHeight="1">
      <c r="A334" s="304" t="s">
        <v>108</v>
      </c>
      <c r="B334" s="129" t="s">
        <v>213</v>
      </c>
      <c r="C334" s="130"/>
      <c r="D334" s="131">
        <f>SUM(D335:D336)</f>
        <v>5386</v>
      </c>
      <c r="E334" s="131">
        <f>SUM(E335:E336)</f>
        <v>116179</v>
      </c>
      <c r="F334" s="229"/>
      <c r="G334" s="133">
        <f>SUM(G335:G336)</f>
        <v>5386</v>
      </c>
      <c r="H334" s="134">
        <f>SUM(H335:H336)</f>
        <v>116179</v>
      </c>
      <c r="I334" s="185"/>
      <c r="J334" s="133"/>
      <c r="K334" s="134"/>
      <c r="L334" s="185"/>
      <c r="M334" s="133"/>
      <c r="N334" s="134"/>
      <c r="O334" s="137"/>
      <c r="P334" s="133"/>
      <c r="Q334" s="134"/>
      <c r="R334" s="137"/>
    </row>
    <row r="335" spans="1:18" s="139" customFormat="1" ht="27" customHeight="1">
      <c r="A335" s="118" t="s">
        <v>920</v>
      </c>
      <c r="B335" s="86" t="s">
        <v>397</v>
      </c>
      <c r="C335" s="407"/>
      <c r="D335" s="408"/>
      <c r="E335" s="408">
        <f>H335</f>
        <v>116179</v>
      </c>
      <c r="F335" s="409"/>
      <c r="G335" s="306"/>
      <c r="H335" s="307">
        <v>116179</v>
      </c>
      <c r="I335" s="179"/>
      <c r="J335" s="306"/>
      <c r="K335" s="307"/>
      <c r="L335" s="179"/>
      <c r="M335" s="306"/>
      <c r="N335" s="307"/>
      <c r="O335" s="308"/>
      <c r="P335" s="306"/>
      <c r="Q335" s="307"/>
      <c r="R335" s="308"/>
    </row>
    <row r="336" spans="1:18" s="139" customFormat="1" ht="46.5" customHeight="1" thickBot="1">
      <c r="A336" s="349" t="s">
        <v>109</v>
      </c>
      <c r="B336" s="119" t="s">
        <v>398</v>
      </c>
      <c r="C336" s="138"/>
      <c r="D336" s="89">
        <f>G336</f>
        <v>5386</v>
      </c>
      <c r="E336" s="89">
        <f>H336+K336+N336+Q336</f>
        <v>0</v>
      </c>
      <c r="F336" s="122"/>
      <c r="G336" s="125">
        <v>5386</v>
      </c>
      <c r="H336" s="121"/>
      <c r="I336" s="124"/>
      <c r="J336" s="125"/>
      <c r="K336" s="121"/>
      <c r="L336" s="127"/>
      <c r="M336" s="125"/>
      <c r="N336" s="121"/>
      <c r="O336" s="127"/>
      <c r="P336" s="125"/>
      <c r="Q336" s="121"/>
      <c r="R336" s="127"/>
    </row>
    <row r="337" spans="1:18" ht="36.75" customHeight="1" thickBot="1" thickTop="1">
      <c r="A337" s="97" t="s">
        <v>110</v>
      </c>
      <c r="B337" s="98" t="s">
        <v>853</v>
      </c>
      <c r="C337" s="231">
        <f>C338+C341+C343+C346</f>
        <v>5989543</v>
      </c>
      <c r="D337" s="100">
        <f>D338+D341+D343+D346</f>
        <v>6049543</v>
      </c>
      <c r="E337" s="100">
        <f>E338+E341+E343+E346</f>
        <v>60000</v>
      </c>
      <c r="F337" s="103">
        <f aca="true" t="shared" si="40" ref="F337:F345">E337/D337*100</f>
        <v>0.9918104557650057</v>
      </c>
      <c r="G337" s="100">
        <f>G338+G341+G343+G346</f>
        <v>627143</v>
      </c>
      <c r="H337" s="100">
        <f>H338+H341+H343+H346</f>
        <v>0</v>
      </c>
      <c r="I337" s="103">
        <f>H337/G337*100</f>
        <v>0</v>
      </c>
      <c r="J337" s="100">
        <f>J338+J341+J343+J346</f>
        <v>0</v>
      </c>
      <c r="K337" s="100">
        <f>K338+K341+K343+K346</f>
        <v>0</v>
      </c>
      <c r="L337" s="103" t="e">
        <f>K337/J337*100</f>
        <v>#DIV/0!</v>
      </c>
      <c r="M337" s="100">
        <f>M338+M341+M343+M346</f>
        <v>5422400</v>
      </c>
      <c r="N337" s="100">
        <f>N338+N341+N343+N346</f>
        <v>60000</v>
      </c>
      <c r="O337" s="103">
        <f>N337/M337*100</f>
        <v>1.1065210976689288</v>
      </c>
      <c r="P337" s="100">
        <f>P338+P341+P343+P346</f>
        <v>0</v>
      </c>
      <c r="Q337" s="100">
        <f>Q338+Q341+Q343+Q346</f>
        <v>0</v>
      </c>
      <c r="R337" s="106" t="e">
        <f>Q337/P337*100</f>
        <v>#DIV/0!</v>
      </c>
    </row>
    <row r="338" spans="1:18" ht="15.75" customHeight="1" thickTop="1">
      <c r="A338" s="202" t="s">
        <v>111</v>
      </c>
      <c r="B338" s="348" t="s">
        <v>112</v>
      </c>
      <c r="C338" s="204">
        <f>C340</f>
        <v>2042400</v>
      </c>
      <c r="D338" s="205">
        <f>SUM(D339:D340)</f>
        <v>2042400</v>
      </c>
      <c r="E338" s="205">
        <f>SUM(E339:E340)</f>
        <v>0</v>
      </c>
      <c r="F338" s="206">
        <f t="shared" si="40"/>
        <v>0</v>
      </c>
      <c r="G338" s="208"/>
      <c r="H338" s="209"/>
      <c r="I338" s="206"/>
      <c r="J338" s="208"/>
      <c r="K338" s="209"/>
      <c r="L338" s="283"/>
      <c r="M338" s="208">
        <f>SUM(M339:M340)</f>
        <v>2042400</v>
      </c>
      <c r="N338" s="209">
        <f>SUM(N339:N340)</f>
        <v>0</v>
      </c>
      <c r="O338" s="206">
        <f>N338/M338*100</f>
        <v>0</v>
      </c>
      <c r="P338" s="208"/>
      <c r="Q338" s="209"/>
      <c r="R338" s="283" t="e">
        <f>Q338/P338*100</f>
        <v>#DIV/0!</v>
      </c>
    </row>
    <row r="339" spans="1:18" s="139" customFormat="1" ht="48.75" customHeight="1">
      <c r="A339" s="212" t="s">
        <v>977</v>
      </c>
      <c r="B339" s="352" t="s">
        <v>399</v>
      </c>
      <c r="C339" s="213"/>
      <c r="D339" s="214">
        <f>M339</f>
        <v>0</v>
      </c>
      <c r="E339" s="214">
        <f>N339</f>
        <v>0</v>
      </c>
      <c r="F339" s="185"/>
      <c r="G339" s="215"/>
      <c r="H339" s="216"/>
      <c r="I339" s="185"/>
      <c r="J339" s="215"/>
      <c r="K339" s="216"/>
      <c r="L339" s="300"/>
      <c r="M339" s="215"/>
      <c r="N339" s="216"/>
      <c r="O339" s="185"/>
      <c r="P339" s="215"/>
      <c r="Q339" s="216"/>
      <c r="R339" s="300"/>
    </row>
    <row r="340" spans="1:18" s="139" customFormat="1" ht="38.25" customHeight="1">
      <c r="A340" s="118" t="s">
        <v>916</v>
      </c>
      <c r="B340" s="119" t="s">
        <v>113</v>
      </c>
      <c r="C340" s="138">
        <v>2042400</v>
      </c>
      <c r="D340" s="89">
        <f aca="true" t="shared" si="41" ref="D340:E342">G340+J340+M340+P340</f>
        <v>2042400</v>
      </c>
      <c r="E340" s="89">
        <f t="shared" si="41"/>
        <v>0</v>
      </c>
      <c r="F340" s="124"/>
      <c r="G340" s="125"/>
      <c r="H340" s="121"/>
      <c r="I340" s="187"/>
      <c r="J340" s="125"/>
      <c r="K340" s="121"/>
      <c r="L340" s="127"/>
      <c r="M340" s="125">
        <v>2042400</v>
      </c>
      <c r="N340" s="121"/>
      <c r="O340" s="124"/>
      <c r="P340" s="125"/>
      <c r="Q340" s="121"/>
      <c r="R340" s="127"/>
    </row>
    <row r="341" spans="1:18" s="248" customFormat="1" ht="21" customHeight="1">
      <c r="A341" s="128" t="s">
        <v>114</v>
      </c>
      <c r="B341" s="350" t="s">
        <v>115</v>
      </c>
      <c r="C341" s="130">
        <f>C342</f>
        <v>1875000</v>
      </c>
      <c r="D341" s="131">
        <f>D342</f>
        <v>1875000</v>
      </c>
      <c r="E341" s="131">
        <f t="shared" si="41"/>
        <v>0</v>
      </c>
      <c r="F341" s="132">
        <f t="shared" si="40"/>
        <v>0</v>
      </c>
      <c r="G341" s="133"/>
      <c r="H341" s="134"/>
      <c r="I341" s="132"/>
      <c r="J341" s="133">
        <f>J342</f>
        <v>0</v>
      </c>
      <c r="K341" s="134">
        <f>K342</f>
        <v>0</v>
      </c>
      <c r="L341" s="137" t="e">
        <f>K341/J341*100</f>
        <v>#DIV/0!</v>
      </c>
      <c r="M341" s="133">
        <f>M342</f>
        <v>1875000</v>
      </c>
      <c r="N341" s="134"/>
      <c r="O341" s="132"/>
      <c r="P341" s="133"/>
      <c r="Q341" s="134"/>
      <c r="R341" s="137"/>
    </row>
    <row r="342" spans="1:18" ht="48.75" customHeight="1">
      <c r="A342" s="212" t="s">
        <v>916</v>
      </c>
      <c r="B342" s="352" t="s">
        <v>400</v>
      </c>
      <c r="C342" s="213">
        <v>1875000</v>
      </c>
      <c r="D342" s="214">
        <f t="shared" si="41"/>
        <v>1875000</v>
      </c>
      <c r="E342" s="214">
        <f t="shared" si="41"/>
        <v>0</v>
      </c>
      <c r="F342" s="185">
        <f t="shared" si="40"/>
        <v>0</v>
      </c>
      <c r="G342" s="215"/>
      <c r="H342" s="216"/>
      <c r="I342" s="132"/>
      <c r="J342" s="215"/>
      <c r="K342" s="216"/>
      <c r="L342" s="300" t="e">
        <f>K342/J342*100</f>
        <v>#DIV/0!</v>
      </c>
      <c r="M342" s="215">
        <v>1875000</v>
      </c>
      <c r="N342" s="216"/>
      <c r="O342" s="185"/>
      <c r="P342" s="215"/>
      <c r="Q342" s="216"/>
      <c r="R342" s="300"/>
    </row>
    <row r="343" spans="1:18" ht="15.75" customHeight="1">
      <c r="A343" s="128" t="s">
        <v>116</v>
      </c>
      <c r="B343" s="350" t="s">
        <v>876</v>
      </c>
      <c r="C343" s="130">
        <f>C345</f>
        <v>1445000</v>
      </c>
      <c r="D343" s="131">
        <f>SUM(D344:D345)</f>
        <v>1505000</v>
      </c>
      <c r="E343" s="131">
        <f>SUM(E344:E345)</f>
        <v>60000</v>
      </c>
      <c r="F343" s="132">
        <f t="shared" si="40"/>
        <v>3.9867109634551494</v>
      </c>
      <c r="G343" s="133"/>
      <c r="H343" s="134"/>
      <c r="I343" s="132"/>
      <c r="J343" s="133"/>
      <c r="K343" s="134"/>
      <c r="L343" s="137"/>
      <c r="M343" s="133">
        <f>SUM(M344:M345)</f>
        <v>1505000</v>
      </c>
      <c r="N343" s="134">
        <f>SUM(N344:N345)</f>
        <v>60000</v>
      </c>
      <c r="O343" s="132">
        <f>N343/M343*100</f>
        <v>3.9867109634551494</v>
      </c>
      <c r="P343" s="133"/>
      <c r="Q343" s="134"/>
      <c r="R343" s="137"/>
    </row>
    <row r="344" spans="1:18" ht="50.25" customHeight="1">
      <c r="A344" s="118" t="s">
        <v>66</v>
      </c>
      <c r="B344" s="176" t="s">
        <v>67</v>
      </c>
      <c r="C344" s="138"/>
      <c r="D344" s="89">
        <f>M344</f>
        <v>60000</v>
      </c>
      <c r="E344" s="89">
        <f>N344</f>
        <v>60000</v>
      </c>
      <c r="F344" s="124">
        <f>E344/D344*100</f>
        <v>100</v>
      </c>
      <c r="G344" s="125"/>
      <c r="H344" s="121"/>
      <c r="I344" s="124"/>
      <c r="J344" s="125"/>
      <c r="K344" s="121"/>
      <c r="L344" s="127"/>
      <c r="M344" s="125">
        <v>60000</v>
      </c>
      <c r="N344" s="121">
        <v>60000</v>
      </c>
      <c r="O344" s="124">
        <f>N344/M344*100</f>
        <v>100</v>
      </c>
      <c r="P344" s="125"/>
      <c r="Q344" s="121"/>
      <c r="R344" s="127"/>
    </row>
    <row r="345" spans="1:18" ht="49.5" customHeight="1">
      <c r="A345" s="118" t="s">
        <v>916</v>
      </c>
      <c r="B345" s="251" t="s">
        <v>401</v>
      </c>
      <c r="C345" s="138">
        <v>1445000</v>
      </c>
      <c r="D345" s="89">
        <f>G345+J345+M345+P345</f>
        <v>1445000</v>
      </c>
      <c r="E345" s="89">
        <f>H345+K345+N345+Q345</f>
        <v>0</v>
      </c>
      <c r="F345" s="124">
        <f t="shared" si="40"/>
        <v>0</v>
      </c>
      <c r="G345" s="125"/>
      <c r="H345" s="121"/>
      <c r="I345" s="187"/>
      <c r="J345" s="125"/>
      <c r="K345" s="121"/>
      <c r="L345" s="127"/>
      <c r="M345" s="125">
        <v>1445000</v>
      </c>
      <c r="N345" s="121"/>
      <c r="O345" s="124">
        <f>N345/M345*100</f>
        <v>0</v>
      </c>
      <c r="P345" s="125"/>
      <c r="Q345" s="121"/>
      <c r="R345" s="127"/>
    </row>
    <row r="346" spans="1:18" s="248" customFormat="1" ht="18.75" customHeight="1">
      <c r="A346" s="128" t="s">
        <v>402</v>
      </c>
      <c r="B346" s="350" t="s">
        <v>213</v>
      </c>
      <c r="C346" s="130">
        <f>C347</f>
        <v>627143</v>
      </c>
      <c r="D346" s="131">
        <f>D347</f>
        <v>627143</v>
      </c>
      <c r="E346" s="131"/>
      <c r="F346" s="132"/>
      <c r="G346" s="133">
        <f>G347</f>
        <v>627143</v>
      </c>
      <c r="H346" s="134"/>
      <c r="I346" s="132"/>
      <c r="J346" s="133"/>
      <c r="K346" s="134"/>
      <c r="L346" s="137"/>
      <c r="M346" s="133"/>
      <c r="N346" s="134"/>
      <c r="O346" s="132"/>
      <c r="P346" s="133"/>
      <c r="Q346" s="134"/>
      <c r="R346" s="137"/>
    </row>
    <row r="347" spans="1:18" ht="50.25" customHeight="1" thickBot="1">
      <c r="A347" s="118" t="s">
        <v>924</v>
      </c>
      <c r="B347" s="119" t="s">
        <v>403</v>
      </c>
      <c r="C347" s="138">
        <v>627143</v>
      </c>
      <c r="D347" s="89">
        <f>G347</f>
        <v>627143</v>
      </c>
      <c r="E347" s="89"/>
      <c r="F347" s="124"/>
      <c r="G347" s="125">
        <v>627143</v>
      </c>
      <c r="H347" s="121"/>
      <c r="I347" s="187"/>
      <c r="J347" s="125"/>
      <c r="K347" s="121"/>
      <c r="L347" s="127"/>
      <c r="M347" s="125"/>
      <c r="N347" s="121"/>
      <c r="O347" s="124"/>
      <c r="P347" s="125"/>
      <c r="Q347" s="121"/>
      <c r="R347" s="127"/>
    </row>
    <row r="348" spans="1:18" ht="22.5" customHeight="1" thickBot="1" thickTop="1">
      <c r="A348" s="343" t="s">
        <v>117</v>
      </c>
      <c r="B348" s="201" t="s">
        <v>888</v>
      </c>
      <c r="C348" s="104">
        <f>C349</f>
        <v>7349187</v>
      </c>
      <c r="D348" s="100">
        <f>G348+J348+M348+P348</f>
        <v>7353354</v>
      </c>
      <c r="E348" s="100">
        <f>H348+K348+N348+Q348</f>
        <v>4167</v>
      </c>
      <c r="F348" s="291">
        <f>E348/D348*100</f>
        <v>0.05666801843077322</v>
      </c>
      <c r="G348" s="104">
        <f>G349+G356</f>
        <v>7353354</v>
      </c>
      <c r="H348" s="101">
        <f>H349+H356</f>
        <v>4167</v>
      </c>
      <c r="I348" s="291">
        <f>H348/G348*100</f>
        <v>0.05666801843077322</v>
      </c>
      <c r="J348" s="104"/>
      <c r="K348" s="101"/>
      <c r="L348" s="106"/>
      <c r="M348" s="104"/>
      <c r="N348" s="101"/>
      <c r="O348" s="103"/>
      <c r="P348" s="104"/>
      <c r="Q348" s="101"/>
      <c r="R348" s="106"/>
    </row>
    <row r="349" spans="1:18" ht="15.75" customHeight="1" thickTop="1">
      <c r="A349" s="396" t="s">
        <v>1053</v>
      </c>
      <c r="B349" s="233" t="s">
        <v>889</v>
      </c>
      <c r="C349" s="234">
        <f>C351+C352+C354+C355</f>
        <v>7349187</v>
      </c>
      <c r="D349" s="110">
        <f>D351+D354+D355+D352</f>
        <v>7349187</v>
      </c>
      <c r="E349" s="110">
        <f>E351+E354+E355+E352</f>
        <v>0</v>
      </c>
      <c r="F349" s="114">
        <f>E349/D349*100</f>
        <v>0</v>
      </c>
      <c r="G349" s="110">
        <f>G351+G354+G355+G352</f>
        <v>7349187</v>
      </c>
      <c r="H349" s="110">
        <f>H351+H354+H355+H352</f>
        <v>0</v>
      </c>
      <c r="I349" s="114">
        <f>H349/G349*100</f>
        <v>0</v>
      </c>
      <c r="J349" s="115"/>
      <c r="K349" s="111"/>
      <c r="L349" s="117"/>
      <c r="M349" s="115"/>
      <c r="N349" s="111"/>
      <c r="O349" s="117"/>
      <c r="P349" s="115"/>
      <c r="Q349" s="111"/>
      <c r="R349" s="117"/>
    </row>
    <row r="350" spans="1:18" s="152" customFormat="1" ht="19.5" customHeight="1">
      <c r="A350" s="410"/>
      <c r="B350" s="411" t="s">
        <v>576</v>
      </c>
      <c r="C350" s="412">
        <f>C351+C352</f>
        <v>6017187</v>
      </c>
      <c r="D350" s="192">
        <f>D351+D352</f>
        <v>6017187</v>
      </c>
      <c r="E350" s="192"/>
      <c r="F350" s="195"/>
      <c r="G350" s="413">
        <f>G351+G352</f>
        <v>6017187</v>
      </c>
      <c r="H350" s="192"/>
      <c r="I350" s="195"/>
      <c r="J350" s="193"/>
      <c r="K350" s="194"/>
      <c r="L350" s="196"/>
      <c r="M350" s="193"/>
      <c r="N350" s="194"/>
      <c r="O350" s="196"/>
      <c r="P350" s="193"/>
      <c r="Q350" s="194"/>
      <c r="R350" s="196"/>
    </row>
    <row r="351" spans="1:18" s="139" customFormat="1" ht="36.75" customHeight="1">
      <c r="A351" s="349" t="s">
        <v>916</v>
      </c>
      <c r="B351" s="119" t="s">
        <v>404</v>
      </c>
      <c r="C351" s="238">
        <v>4017187</v>
      </c>
      <c r="D351" s="89">
        <f>G351</f>
        <v>4017187</v>
      </c>
      <c r="E351" s="89">
        <f>H351</f>
        <v>0</v>
      </c>
      <c r="F351" s="124"/>
      <c r="G351" s="125">
        <v>4017187</v>
      </c>
      <c r="H351" s="121"/>
      <c r="I351" s="124"/>
      <c r="J351" s="125"/>
      <c r="K351" s="121"/>
      <c r="L351" s="127"/>
      <c r="M351" s="125"/>
      <c r="N351" s="121"/>
      <c r="O351" s="127"/>
      <c r="P351" s="125"/>
      <c r="Q351" s="121"/>
      <c r="R351" s="127"/>
    </row>
    <row r="352" spans="1:18" s="139" customFormat="1" ht="51.75" customHeight="1">
      <c r="A352" s="349" t="s">
        <v>1035</v>
      </c>
      <c r="B352" s="86" t="s">
        <v>1056</v>
      </c>
      <c r="C352" s="238">
        <v>2000000</v>
      </c>
      <c r="D352" s="89">
        <f>G352</f>
        <v>2000000</v>
      </c>
      <c r="E352" s="89"/>
      <c r="F352" s="124"/>
      <c r="G352" s="125">
        <v>2000000</v>
      </c>
      <c r="H352" s="121"/>
      <c r="I352" s="124"/>
      <c r="J352" s="125"/>
      <c r="K352" s="121"/>
      <c r="L352" s="127"/>
      <c r="M352" s="125"/>
      <c r="N352" s="121"/>
      <c r="O352" s="127"/>
      <c r="P352" s="125"/>
      <c r="Q352" s="121"/>
      <c r="R352" s="127"/>
    </row>
    <row r="353" spans="1:18" s="169" customFormat="1" ht="18.75" customHeight="1">
      <c r="A353" s="383"/>
      <c r="B353" s="257" t="s">
        <v>1054</v>
      </c>
      <c r="C353" s="412">
        <f>SUM(C354:C355)</f>
        <v>1332000</v>
      </c>
      <c r="D353" s="192">
        <f>SUM(D354:D355)</f>
        <v>1332000</v>
      </c>
      <c r="E353" s="192"/>
      <c r="F353" s="195"/>
      <c r="G353" s="193">
        <f>SUM(G354:G355)</f>
        <v>1332000</v>
      </c>
      <c r="H353" s="322">
        <f>SUM(H354:H355)</f>
        <v>0</v>
      </c>
      <c r="I353" s="195"/>
      <c r="J353" s="323"/>
      <c r="K353" s="322"/>
      <c r="L353" s="196"/>
      <c r="M353" s="323"/>
      <c r="N353" s="322"/>
      <c r="O353" s="196"/>
      <c r="P353" s="323"/>
      <c r="Q353" s="322"/>
      <c r="R353" s="196"/>
    </row>
    <row r="354" spans="1:18" s="139" customFormat="1" ht="60" customHeight="1">
      <c r="A354" s="349" t="s">
        <v>1055</v>
      </c>
      <c r="B354" s="86" t="s">
        <v>405</v>
      </c>
      <c r="C354" s="238">
        <v>666000</v>
      </c>
      <c r="D354" s="89">
        <f>G354</f>
        <v>666000</v>
      </c>
      <c r="E354" s="89">
        <f>H354</f>
        <v>0</v>
      </c>
      <c r="F354" s="124"/>
      <c r="G354" s="125">
        <v>666000</v>
      </c>
      <c r="H354" s="121"/>
      <c r="I354" s="124"/>
      <c r="J354" s="125"/>
      <c r="K354" s="121"/>
      <c r="L354" s="127"/>
      <c r="M354" s="125"/>
      <c r="N354" s="121"/>
      <c r="O354" s="127"/>
      <c r="P354" s="125"/>
      <c r="Q354" s="121"/>
      <c r="R354" s="127"/>
    </row>
    <row r="355" spans="1:18" s="139" customFormat="1" ht="50.25" customHeight="1">
      <c r="A355" s="310" t="s">
        <v>1035</v>
      </c>
      <c r="B355" s="251" t="s">
        <v>1056</v>
      </c>
      <c r="C355" s="236">
        <v>666000</v>
      </c>
      <c r="D355" s="223">
        <f>G355+J355+M355+P355</f>
        <v>666000</v>
      </c>
      <c r="E355" s="373">
        <f>H355+K355+N355+Q355</f>
        <v>0</v>
      </c>
      <c r="F355" s="224"/>
      <c r="G355" s="225">
        <v>666000</v>
      </c>
      <c r="H355" s="226"/>
      <c r="I355" s="224"/>
      <c r="J355" s="225"/>
      <c r="K355" s="226"/>
      <c r="L355" s="293"/>
      <c r="M355" s="225"/>
      <c r="N355" s="226"/>
      <c r="O355" s="293"/>
      <c r="P355" s="225"/>
      <c r="Q355" s="226"/>
      <c r="R355" s="293"/>
    </row>
    <row r="356" spans="1:18" s="255" customFormat="1" ht="21" customHeight="1">
      <c r="A356" s="304" t="s">
        <v>406</v>
      </c>
      <c r="B356" s="129" t="s">
        <v>213</v>
      </c>
      <c r="C356" s="136"/>
      <c r="D356" s="131">
        <f>D357</f>
        <v>4167</v>
      </c>
      <c r="E356" s="377">
        <f>E357</f>
        <v>4167</v>
      </c>
      <c r="F356" s="132">
        <f>E356/D356*100</f>
        <v>100</v>
      </c>
      <c r="G356" s="230">
        <f>G357</f>
        <v>4167</v>
      </c>
      <c r="H356" s="134">
        <f>H357</f>
        <v>4167</v>
      </c>
      <c r="I356" s="132">
        <f>H356/G356*100</f>
        <v>100</v>
      </c>
      <c r="J356" s="230"/>
      <c r="K356" s="134"/>
      <c r="L356" s="137"/>
      <c r="M356" s="230"/>
      <c r="N356" s="134"/>
      <c r="O356" s="137"/>
      <c r="P356" s="230"/>
      <c r="Q356" s="134"/>
      <c r="R356" s="137"/>
    </row>
    <row r="357" spans="1:18" s="139" customFormat="1" ht="41.25" customHeight="1" thickBot="1">
      <c r="A357" s="414" t="s">
        <v>109</v>
      </c>
      <c r="B357" s="119" t="s">
        <v>404</v>
      </c>
      <c r="C357" s="238"/>
      <c r="D357" s="89">
        <f>G357</f>
        <v>4167</v>
      </c>
      <c r="E357" s="370">
        <f>H357</f>
        <v>4167</v>
      </c>
      <c r="F357" s="124"/>
      <c r="G357" s="123">
        <v>4167</v>
      </c>
      <c r="H357" s="121">
        <v>4167</v>
      </c>
      <c r="I357" s="124"/>
      <c r="J357" s="123"/>
      <c r="K357" s="121"/>
      <c r="L357" s="127"/>
      <c r="M357" s="123"/>
      <c r="N357" s="121"/>
      <c r="O357" s="127"/>
      <c r="P357" s="123"/>
      <c r="Q357" s="121"/>
      <c r="R357" s="127"/>
    </row>
    <row r="358" spans="1:18" ht="27" customHeight="1" thickBot="1" thickTop="1">
      <c r="A358" s="415" t="s">
        <v>118</v>
      </c>
      <c r="B358" s="416"/>
      <c r="C358" s="417">
        <f>C7+C10+C35+C49+C62+C84+C87+C95+C143+C156+C213+C221+C281+C297+C325+C337+C348</f>
        <v>372321697</v>
      </c>
      <c r="D358" s="418">
        <f>D7+D10+D35+D49+D62+D84+D87+D95+D143+D156+D213+D221+D281+D297+D325+D337+D348</f>
        <v>376653478</v>
      </c>
      <c r="E358" s="418">
        <f>E7+E10+E35+E49+E62+E84+E87+E95+E143+E156+E213+E221+E281+E297+E325+E337+E348</f>
        <v>99054624</v>
      </c>
      <c r="F358" s="106">
        <f>E358/D358*100</f>
        <v>26.298608611281693</v>
      </c>
      <c r="G358" s="418">
        <f>G7+G10+G35+G49+G62+G84+G87+G95+G143+G156+G213+G221+G281+G297+G325+G337+G348</f>
        <v>244187149</v>
      </c>
      <c r="H358" s="418">
        <f>H7+H10+H35+H49+H62+H84+H87+H95+H143+H156+H213+H221+H281+H297+H325+H337+H348</f>
        <v>62321588</v>
      </c>
      <c r="I358" s="103">
        <f>H358/G358*100</f>
        <v>25.522058902452727</v>
      </c>
      <c r="J358" s="418">
        <f>J7+J10+J35+J49+J62+J84+J87+J95+J143+J156+J213+J221+J281+J297+J325+J337+J348</f>
        <v>19727942</v>
      </c>
      <c r="K358" s="418">
        <f>K7+K10+K35+K49+K62+K84+K87+K95+K143+K156+K213+K221+K281+K297+K325+K337+K348</f>
        <v>5037966</v>
      </c>
      <c r="L358" s="344">
        <f>K358/J358*100</f>
        <v>25.537210115479862</v>
      </c>
      <c r="M358" s="418">
        <f>M7+M10+M35+M49+M62+M84+M87+M95+M143+M156+M213+M221+M281+M297+M325+M337+M348</f>
        <v>103918496</v>
      </c>
      <c r="N358" s="418">
        <f>N7+N10+N35+N49+N62+N84+N87+N95+N143+N156+N213+N221+N281+N297+N325+N337+N348</f>
        <v>28503857</v>
      </c>
      <c r="O358" s="103">
        <f>N358/M358*100</f>
        <v>27.4290507437675</v>
      </c>
      <c r="P358" s="418">
        <f>P7+P10+P35+P49+P62+P84+P87+P95+P143+P156+P213+P221+P281+P297+P325+P337+P348</f>
        <v>8819891</v>
      </c>
      <c r="Q358" s="418">
        <f>Q7+Q10+Q35+Q49+Q62+Q84+Q87+Q95+Q143+Q156+Q213+Q221+Q281+Q297+Q325+Q337+Q348</f>
        <v>3191213</v>
      </c>
      <c r="R358" s="103">
        <f>Q358/P358*100</f>
        <v>36.18200043515277</v>
      </c>
    </row>
    <row r="359" spans="1:18" s="248" customFormat="1" ht="15.75" customHeight="1" thickTop="1">
      <c r="A359" s="419" t="s">
        <v>119</v>
      </c>
      <c r="B359" s="420"/>
      <c r="C359" s="421">
        <f>C358-C362-C363</f>
        <v>343778520</v>
      </c>
      <c r="D359" s="422">
        <f>G359+M359</f>
        <v>348105645</v>
      </c>
      <c r="E359" s="422">
        <f>H359+K359+N359+Q359</f>
        <v>90825445</v>
      </c>
      <c r="F359" s="423">
        <f>E359/D359*100</f>
        <v>26.09134505704439</v>
      </c>
      <c r="G359" s="421">
        <f>G358</f>
        <v>244187149</v>
      </c>
      <c r="H359" s="424">
        <f>H358</f>
        <v>62321588</v>
      </c>
      <c r="I359" s="425">
        <f>H359/G359*100</f>
        <v>25.522058902452727</v>
      </c>
      <c r="J359" s="421"/>
      <c r="K359" s="426"/>
      <c r="L359" s="423"/>
      <c r="M359" s="427">
        <f>M358</f>
        <v>103918496</v>
      </c>
      <c r="N359" s="428">
        <f>N358</f>
        <v>28503857</v>
      </c>
      <c r="O359" s="425">
        <f>N359/M359*100</f>
        <v>27.4290507437675</v>
      </c>
      <c r="P359" s="421"/>
      <c r="Q359" s="429"/>
      <c r="R359" s="190"/>
    </row>
    <row r="360" spans="1:18" s="248" customFormat="1" ht="9.75" customHeight="1">
      <c r="A360" s="430" t="s">
        <v>120</v>
      </c>
      <c r="B360" s="431"/>
      <c r="C360" s="421"/>
      <c r="D360" s="422"/>
      <c r="E360" s="422"/>
      <c r="F360" s="423"/>
      <c r="G360" s="421"/>
      <c r="H360" s="429"/>
      <c r="I360" s="432"/>
      <c r="J360" s="421"/>
      <c r="K360" s="426"/>
      <c r="L360" s="423"/>
      <c r="M360" s="421"/>
      <c r="N360" s="429"/>
      <c r="O360" s="432"/>
      <c r="P360" s="421"/>
      <c r="Q360" s="429"/>
      <c r="R360" s="190"/>
    </row>
    <row r="361" spans="1:18" ht="18" customHeight="1">
      <c r="A361" s="433" t="s">
        <v>121</v>
      </c>
      <c r="B361" s="434"/>
      <c r="C361" s="435">
        <v>452540</v>
      </c>
      <c r="D361" s="200">
        <f>G361+J361+M361+P361</f>
        <v>509252</v>
      </c>
      <c r="E361" s="200">
        <f>H361+K361+N361+Q361</f>
        <v>174700</v>
      </c>
      <c r="F361" s="436">
        <f>E361/D361*100</f>
        <v>34.30521627799203</v>
      </c>
      <c r="G361" s="435"/>
      <c r="H361" s="437"/>
      <c r="I361" s="438"/>
      <c r="J361" s="435"/>
      <c r="K361" s="439"/>
      <c r="L361" s="436"/>
      <c r="M361" s="437">
        <f>M237+M285+M344</f>
        <v>509252</v>
      </c>
      <c r="N361" s="437">
        <f>N237+N285+N344</f>
        <v>174700</v>
      </c>
      <c r="O361" s="440">
        <f>N361/M361*100</f>
        <v>34.30521627799203</v>
      </c>
      <c r="P361" s="435"/>
      <c r="Q361" s="437"/>
      <c r="R361" s="150"/>
    </row>
    <row r="362" spans="1:18" s="248" customFormat="1" ht="14.25" customHeight="1">
      <c r="A362" s="441" t="s">
        <v>122</v>
      </c>
      <c r="B362" s="442"/>
      <c r="C362" s="421">
        <v>28521077</v>
      </c>
      <c r="D362" s="422">
        <f>J362+P362</f>
        <v>28525733</v>
      </c>
      <c r="E362" s="422">
        <f>K362+Q362</f>
        <v>8219530</v>
      </c>
      <c r="F362" s="423">
        <f>E362/D362*100</f>
        <v>28.8144392293092</v>
      </c>
      <c r="G362" s="421"/>
      <c r="H362" s="437"/>
      <c r="I362" s="432"/>
      <c r="J362" s="421">
        <f>J358-J363</f>
        <v>19711342</v>
      </c>
      <c r="K362" s="429">
        <f>K358-K363</f>
        <v>5033817</v>
      </c>
      <c r="L362" s="423">
        <f>K362/J362*100</f>
        <v>25.537667602743642</v>
      </c>
      <c r="M362" s="421"/>
      <c r="N362" s="429"/>
      <c r="O362" s="432"/>
      <c r="P362" s="421">
        <f>P358-P363</f>
        <v>8814391</v>
      </c>
      <c r="Q362" s="429">
        <f>Q358-Q363</f>
        <v>3185713</v>
      </c>
      <c r="R362" s="190">
        <f>Q362/P362*100</f>
        <v>36.142179306545394</v>
      </c>
    </row>
    <row r="363" spans="1:18" ht="21" customHeight="1" thickBot="1">
      <c r="A363" s="443" t="s">
        <v>1057</v>
      </c>
      <c r="B363" s="444"/>
      <c r="C363" s="445">
        <v>22100</v>
      </c>
      <c r="D363" s="446">
        <f>J363+P363</f>
        <v>22100</v>
      </c>
      <c r="E363" s="446">
        <f>K363+Q363</f>
        <v>9649</v>
      </c>
      <c r="F363" s="447">
        <f>E363/D363*100</f>
        <v>43.6606334841629</v>
      </c>
      <c r="G363" s="448"/>
      <c r="H363" s="449"/>
      <c r="I363" s="450"/>
      <c r="J363" s="451">
        <f>J59+J342+J198</f>
        <v>16600</v>
      </c>
      <c r="K363" s="451">
        <f>K59+K342+K198</f>
        <v>4149</v>
      </c>
      <c r="L363" s="452">
        <f>K363/J363*100</f>
        <v>24.99397590361446</v>
      </c>
      <c r="M363" s="448"/>
      <c r="N363" s="449"/>
      <c r="O363" s="450"/>
      <c r="P363" s="451">
        <f>P76</f>
        <v>5500</v>
      </c>
      <c r="Q363" s="451">
        <f>Q76</f>
        <v>5500</v>
      </c>
      <c r="R363" s="453">
        <f>Q363/P363*100</f>
        <v>100</v>
      </c>
    </row>
    <row r="364" spans="1:18" s="466" customFormat="1" ht="14.25" customHeight="1" thickBot="1" thickTop="1">
      <c r="A364" s="454" t="s">
        <v>123</v>
      </c>
      <c r="B364" s="455"/>
      <c r="C364" s="456">
        <v>256458177</v>
      </c>
      <c r="D364" s="192">
        <f>G358+J358</f>
        <v>263915091</v>
      </c>
      <c r="E364" s="192">
        <f>H358+K358</f>
        <v>67359554</v>
      </c>
      <c r="F364" s="457">
        <f>E364/D364*100</f>
        <v>25.52319147221483</v>
      </c>
      <c r="G364" s="458"/>
      <c r="H364" s="459"/>
      <c r="I364" s="460"/>
      <c r="J364" s="458"/>
      <c r="K364" s="461"/>
      <c r="L364" s="462"/>
      <c r="M364" s="458"/>
      <c r="N364" s="459"/>
      <c r="O364" s="463"/>
      <c r="P364" s="464"/>
      <c r="Q364" s="459"/>
      <c r="R364" s="465"/>
    </row>
    <row r="365" spans="1:18" s="466" customFormat="1" ht="12.75" customHeight="1" thickBot="1" thickTop="1">
      <c r="A365" s="467" t="s">
        <v>124</v>
      </c>
      <c r="B365" s="468"/>
      <c r="C365" s="469">
        <v>115863520</v>
      </c>
      <c r="D365" s="470">
        <f>M358+P358</f>
        <v>112738387</v>
      </c>
      <c r="E365" s="470">
        <f>N358+Q358</f>
        <v>31695070</v>
      </c>
      <c r="F365" s="462">
        <f>E365/D365*100</f>
        <v>28.113822490648193</v>
      </c>
      <c r="G365" s="459"/>
      <c r="H365" s="459"/>
      <c r="I365" s="463"/>
      <c r="J365" s="471"/>
      <c r="K365" s="461"/>
      <c r="L365" s="462"/>
      <c r="M365" s="458"/>
      <c r="N365" s="459"/>
      <c r="O365" s="463"/>
      <c r="P365" s="458"/>
      <c r="Q365" s="459"/>
      <c r="R365" s="465"/>
    </row>
    <row r="366" s="473" customFormat="1" ht="13.5" thickTop="1">
      <c r="A366" s="1" t="s">
        <v>1058</v>
      </c>
    </row>
    <row r="367" ht="12.75">
      <c r="A367" s="1" t="s">
        <v>581</v>
      </c>
    </row>
    <row r="368" s="473" customFormat="1" ht="12.75">
      <c r="A368" s="1" t="s">
        <v>407</v>
      </c>
    </row>
  </sheetData>
  <mergeCells count="16">
    <mergeCell ref="A363:B363"/>
    <mergeCell ref="A364:B364"/>
    <mergeCell ref="A365:B365"/>
    <mergeCell ref="A358:B358"/>
    <mergeCell ref="A359:B359"/>
    <mergeCell ref="A361:B361"/>
    <mergeCell ref="A362:B362"/>
    <mergeCell ref="A3:A5"/>
    <mergeCell ref="B3:B5"/>
    <mergeCell ref="C3:F4"/>
    <mergeCell ref="G3:L3"/>
    <mergeCell ref="M3:R3"/>
    <mergeCell ref="G4:I4"/>
    <mergeCell ref="J4:L4"/>
    <mergeCell ref="M4:O4"/>
    <mergeCell ref="P4:R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114"/>
  <sheetViews>
    <sheetView zoomScale="80" zoomScaleNormal="80" workbookViewId="0" topLeftCell="A2085">
      <selection activeCell="D2114" sqref="D2114"/>
    </sheetView>
  </sheetViews>
  <sheetFormatPr defaultColWidth="9.00390625" defaultRowHeight="12.75"/>
  <cols>
    <col min="1" max="1" width="5.75390625" style="475" customWidth="1"/>
    <col min="2" max="2" width="18.75390625" style="476" customWidth="1"/>
    <col min="3" max="3" width="12.625" style="477" customWidth="1"/>
    <col min="4" max="4" width="13.625" style="477" customWidth="1"/>
    <col min="5" max="5" width="12.75390625" style="477" customWidth="1"/>
    <col min="6" max="6" width="5.625" style="478" customWidth="1"/>
    <col min="7" max="7" width="12.00390625" style="477" customWidth="1"/>
    <col min="8" max="8" width="11.125" style="477" customWidth="1"/>
    <col min="9" max="9" width="5.875" style="479" customWidth="1"/>
    <col min="10" max="10" width="12.375" style="477" customWidth="1"/>
    <col min="11" max="11" width="11.75390625" style="477" customWidth="1"/>
    <col min="12" max="12" width="6.625" style="480" customWidth="1"/>
    <col min="13" max="13" width="13.25390625" style="477" customWidth="1"/>
    <col min="14" max="14" width="11.25390625" style="477" customWidth="1"/>
    <col min="15" max="15" width="5.375" style="479" customWidth="1"/>
    <col min="16" max="16" width="11.375" style="477" customWidth="1"/>
    <col min="17" max="17" width="9.375" style="477" customWidth="1"/>
    <col min="18" max="18" width="5.375" style="479" customWidth="1"/>
    <col min="19" max="20" width="9.125" style="482" customWidth="1"/>
    <col min="21" max="21" width="8.375" style="482" customWidth="1"/>
    <col min="22" max="22" width="9.125" style="482" customWidth="1"/>
    <col min="23" max="26" width="9.125" style="483" customWidth="1"/>
    <col min="27" max="16384" width="9.125" style="484" customWidth="1"/>
  </cols>
  <sheetData>
    <row r="1" spans="13:14" ht="12.75" hidden="1">
      <c r="M1" s="481"/>
      <c r="N1" s="481"/>
    </row>
    <row r="2" spans="1:18" ht="15.75">
      <c r="A2" s="485"/>
      <c r="B2" s="486"/>
      <c r="C2" s="487"/>
      <c r="D2" s="487"/>
      <c r="E2" s="487"/>
      <c r="F2" s="488"/>
      <c r="G2" s="487"/>
      <c r="H2" s="487"/>
      <c r="I2" s="489"/>
      <c r="J2" s="487"/>
      <c r="K2" s="487"/>
      <c r="L2" s="490"/>
      <c r="M2" s="487"/>
      <c r="N2" s="487"/>
      <c r="O2" s="491"/>
      <c r="P2" s="492"/>
      <c r="Q2" s="493"/>
      <c r="R2" s="489"/>
    </row>
    <row r="3" spans="1:26" s="504" customFormat="1" ht="29.25" customHeight="1">
      <c r="A3" s="494" t="s">
        <v>408</v>
      </c>
      <c r="B3" s="495"/>
      <c r="C3" s="496"/>
      <c r="D3" s="497"/>
      <c r="E3" s="496"/>
      <c r="F3" s="498"/>
      <c r="G3" s="496"/>
      <c r="H3" s="496"/>
      <c r="I3" s="499"/>
      <c r="J3" s="496"/>
      <c r="K3" s="496"/>
      <c r="L3" s="500"/>
      <c r="M3" s="497"/>
      <c r="N3" s="497"/>
      <c r="O3" s="499"/>
      <c r="P3" s="501"/>
      <c r="Q3" s="501"/>
      <c r="R3" s="499"/>
      <c r="S3" s="502"/>
      <c r="T3" s="502"/>
      <c r="U3" s="502"/>
      <c r="V3" s="502"/>
      <c r="W3" s="503"/>
      <c r="X3" s="503"/>
      <c r="Y3" s="503"/>
      <c r="Z3" s="503"/>
    </row>
    <row r="4" spans="1:18" ht="12" customHeight="1" thickBot="1">
      <c r="A4" s="505"/>
      <c r="B4" s="506"/>
      <c r="C4" s="497"/>
      <c r="D4" s="497"/>
      <c r="E4" s="497"/>
      <c r="F4" s="498"/>
      <c r="G4" s="497"/>
      <c r="H4" s="497"/>
      <c r="I4" s="499"/>
      <c r="J4" s="497"/>
      <c r="K4" s="497"/>
      <c r="L4" s="507"/>
      <c r="M4" s="508"/>
      <c r="N4" s="508"/>
      <c r="O4" s="509"/>
      <c r="P4" s="501" t="s">
        <v>154</v>
      </c>
      <c r="Q4" s="501"/>
      <c r="R4" s="499"/>
    </row>
    <row r="5" spans="1:26" s="529" customFormat="1" ht="26.25" thickTop="1">
      <c r="A5" s="510" t="s">
        <v>155</v>
      </c>
      <c r="B5" s="511"/>
      <c r="C5" s="512" t="s">
        <v>156</v>
      </c>
      <c r="D5" s="513"/>
      <c r="E5" s="514"/>
      <c r="F5" s="515"/>
      <c r="G5" s="516" t="s">
        <v>157</v>
      </c>
      <c r="H5" s="517"/>
      <c r="I5" s="518"/>
      <c r="J5" s="519" t="s">
        <v>255</v>
      </c>
      <c r="K5" s="520"/>
      <c r="L5" s="521"/>
      <c r="M5" s="522" t="s">
        <v>158</v>
      </c>
      <c r="N5" s="523"/>
      <c r="O5" s="524"/>
      <c r="P5" s="525" t="s">
        <v>256</v>
      </c>
      <c r="Q5" s="523"/>
      <c r="R5" s="526"/>
      <c r="S5" s="527"/>
      <c r="T5" s="527"/>
      <c r="U5" s="527"/>
      <c r="V5" s="527"/>
      <c r="W5" s="528"/>
      <c r="X5" s="528"/>
      <c r="Y5" s="528"/>
      <c r="Z5" s="528"/>
    </row>
    <row r="6" spans="1:26" s="543" customFormat="1" ht="36" customHeight="1" thickBot="1">
      <c r="A6" s="530" t="s">
        <v>159</v>
      </c>
      <c r="B6" s="531" t="s">
        <v>160</v>
      </c>
      <c r="C6" s="532" t="s">
        <v>161</v>
      </c>
      <c r="D6" s="533" t="s">
        <v>162</v>
      </c>
      <c r="E6" s="533" t="s">
        <v>163</v>
      </c>
      <c r="F6" s="534" t="s">
        <v>164</v>
      </c>
      <c r="G6" s="535" t="s">
        <v>165</v>
      </c>
      <c r="H6" s="536" t="s">
        <v>163</v>
      </c>
      <c r="I6" s="537" t="s">
        <v>166</v>
      </c>
      <c r="J6" s="535" t="s">
        <v>165</v>
      </c>
      <c r="K6" s="538" t="s">
        <v>163</v>
      </c>
      <c r="L6" s="539" t="s">
        <v>167</v>
      </c>
      <c r="M6" s="535" t="s">
        <v>165</v>
      </c>
      <c r="N6" s="540" t="s">
        <v>163</v>
      </c>
      <c r="O6" s="539" t="s">
        <v>167</v>
      </c>
      <c r="P6" s="535" t="s">
        <v>165</v>
      </c>
      <c r="Q6" s="541" t="s">
        <v>163</v>
      </c>
      <c r="R6" s="539" t="s">
        <v>166</v>
      </c>
      <c r="S6" s="542"/>
      <c r="T6" s="542"/>
      <c r="U6" s="542"/>
      <c r="V6" s="542"/>
      <c r="W6" s="485"/>
      <c r="X6" s="485"/>
      <c r="Y6" s="485"/>
      <c r="Z6" s="485"/>
    </row>
    <row r="7" spans="1:22" s="552" customFormat="1" ht="10.5" customHeight="1" thickBot="1" thickTop="1">
      <c r="A7" s="544">
        <v>1</v>
      </c>
      <c r="B7" s="545">
        <v>2</v>
      </c>
      <c r="C7" s="546">
        <v>3</v>
      </c>
      <c r="D7" s="547">
        <v>4</v>
      </c>
      <c r="E7" s="547">
        <v>5</v>
      </c>
      <c r="F7" s="548">
        <v>6</v>
      </c>
      <c r="G7" s="547">
        <v>7</v>
      </c>
      <c r="H7" s="549">
        <v>8</v>
      </c>
      <c r="I7" s="550">
        <v>9</v>
      </c>
      <c r="J7" s="549">
        <v>10</v>
      </c>
      <c r="K7" s="547">
        <v>11</v>
      </c>
      <c r="L7" s="550">
        <v>12</v>
      </c>
      <c r="M7" s="549">
        <v>13</v>
      </c>
      <c r="N7" s="547">
        <v>14</v>
      </c>
      <c r="O7" s="550">
        <v>15</v>
      </c>
      <c r="P7" s="549">
        <v>16</v>
      </c>
      <c r="Q7" s="549">
        <v>17</v>
      </c>
      <c r="R7" s="550">
        <v>18</v>
      </c>
      <c r="S7" s="551"/>
      <c r="T7" s="551"/>
      <c r="U7" s="551"/>
      <c r="V7" s="551"/>
    </row>
    <row r="8" spans="1:22" s="565" customFormat="1" ht="26.25" customHeight="1" thickBot="1" thickTop="1">
      <c r="A8" s="553" t="s">
        <v>168</v>
      </c>
      <c r="B8" s="554" t="s">
        <v>169</v>
      </c>
      <c r="C8" s="555">
        <f>C11+C29</f>
        <v>3500</v>
      </c>
      <c r="D8" s="556">
        <f aca="true" t="shared" si="0" ref="D8:E10">G8+J8+P8+M8</f>
        <v>3500</v>
      </c>
      <c r="E8" s="556">
        <f t="shared" si="0"/>
        <v>518</v>
      </c>
      <c r="F8" s="557">
        <f>E8/D8*100</f>
        <v>14.799999999999999</v>
      </c>
      <c r="G8" s="558">
        <f>G29+G31</f>
        <v>3500</v>
      </c>
      <c r="H8" s="558">
        <f>H29+H31</f>
        <v>518</v>
      </c>
      <c r="I8" s="559">
        <f>H8/G8*100</f>
        <v>14.799999999999999</v>
      </c>
      <c r="J8" s="560">
        <f>J31</f>
        <v>0</v>
      </c>
      <c r="K8" s="556">
        <f>K31</f>
        <v>0</v>
      </c>
      <c r="L8" s="561"/>
      <c r="M8" s="562"/>
      <c r="N8" s="562"/>
      <c r="O8" s="563"/>
      <c r="P8" s="558"/>
      <c r="Q8" s="558"/>
      <c r="R8" s="559"/>
      <c r="S8" s="564"/>
      <c r="T8" s="564"/>
      <c r="U8" s="564"/>
      <c r="V8" s="564"/>
    </row>
    <row r="9" spans="1:22" s="565" customFormat="1" ht="26.25" customHeight="1" hidden="1">
      <c r="A9" s="566" t="s">
        <v>170</v>
      </c>
      <c r="B9" s="567" t="s">
        <v>171</v>
      </c>
      <c r="C9" s="568"/>
      <c r="D9" s="569">
        <f t="shared" si="0"/>
        <v>0</v>
      </c>
      <c r="E9" s="569">
        <f t="shared" si="0"/>
        <v>0</v>
      </c>
      <c r="F9" s="570" t="e">
        <f>E9/D9*100</f>
        <v>#DIV/0!</v>
      </c>
      <c r="G9" s="571"/>
      <c r="H9" s="572"/>
      <c r="I9" s="573"/>
      <c r="J9" s="574"/>
      <c r="K9" s="569"/>
      <c r="L9" s="575"/>
      <c r="M9" s="576"/>
      <c r="N9" s="576"/>
      <c r="O9" s="577"/>
      <c r="P9" s="571">
        <f>SUM(P10)</f>
        <v>0</v>
      </c>
      <c r="Q9" s="571">
        <f>SUM(Q10)</f>
        <v>0</v>
      </c>
      <c r="R9" s="573" t="e">
        <f>Q9/P9*100</f>
        <v>#DIV/0!</v>
      </c>
      <c r="S9" s="564"/>
      <c r="T9" s="564"/>
      <c r="U9" s="564"/>
      <c r="V9" s="564"/>
    </row>
    <row r="10" spans="1:22" s="483" customFormat="1" ht="15.75" customHeight="1" hidden="1">
      <c r="A10" s="578" t="s">
        <v>172</v>
      </c>
      <c r="B10" s="579" t="s">
        <v>173</v>
      </c>
      <c r="C10" s="580"/>
      <c r="D10" s="581">
        <f t="shared" si="0"/>
        <v>0</v>
      </c>
      <c r="E10" s="581">
        <f t="shared" si="0"/>
        <v>0</v>
      </c>
      <c r="F10" s="582" t="e">
        <f>E10/D10*100</f>
        <v>#DIV/0!</v>
      </c>
      <c r="G10" s="583"/>
      <c r="H10" s="584"/>
      <c r="I10" s="585"/>
      <c r="J10" s="586"/>
      <c r="K10" s="581"/>
      <c r="L10" s="587"/>
      <c r="M10" s="588"/>
      <c r="N10" s="588"/>
      <c r="O10" s="589"/>
      <c r="P10" s="583"/>
      <c r="Q10" s="583"/>
      <c r="R10" s="590" t="e">
        <f>Q10/P10*100</f>
        <v>#DIV/0!</v>
      </c>
      <c r="S10" s="482"/>
      <c r="T10" s="482"/>
      <c r="U10" s="482"/>
      <c r="V10" s="482"/>
    </row>
    <row r="11" spans="1:22" s="565" customFormat="1" ht="15" customHeight="1" hidden="1">
      <c r="A11" s="591" t="s">
        <v>174</v>
      </c>
      <c r="B11" s="592" t="s">
        <v>175</v>
      </c>
      <c r="C11" s="593">
        <f>SUM(C12:C28)</f>
        <v>0</v>
      </c>
      <c r="D11" s="594">
        <f>SUM(D12:D28)</f>
        <v>0</v>
      </c>
      <c r="E11" s="595">
        <f aca="true" t="shared" si="1" ref="E11:E28">SUM(H11+K11+N11+Q11)</f>
        <v>0</v>
      </c>
      <c r="F11" s="596" t="e">
        <f>E11/D11*100</f>
        <v>#DIV/0!</v>
      </c>
      <c r="G11" s="597"/>
      <c r="H11" s="598"/>
      <c r="I11" s="599"/>
      <c r="J11" s="600"/>
      <c r="K11" s="595"/>
      <c r="L11" s="601"/>
      <c r="M11" s="597"/>
      <c r="N11" s="597"/>
      <c r="O11" s="599"/>
      <c r="P11" s="594">
        <f>SUM(P12:P28)</f>
        <v>0</v>
      </c>
      <c r="Q11" s="594">
        <f>SUM(Q12:Q28)</f>
        <v>0</v>
      </c>
      <c r="R11" s="602" t="e">
        <f>Q11/P11*100</f>
        <v>#DIV/0!</v>
      </c>
      <c r="S11" s="564"/>
      <c r="T11" s="564"/>
      <c r="U11" s="564"/>
      <c r="V11" s="564"/>
    </row>
    <row r="12" spans="1:22" s="483" customFormat="1" ht="36.75" hidden="1" thickTop="1">
      <c r="A12" s="578" t="s">
        <v>176</v>
      </c>
      <c r="B12" s="579" t="s">
        <v>177</v>
      </c>
      <c r="C12" s="603"/>
      <c r="D12" s="581">
        <f aca="true" t="shared" si="2" ref="D12:E43">G12+J12+P12+M12</f>
        <v>0</v>
      </c>
      <c r="E12" s="581">
        <f t="shared" si="1"/>
        <v>0</v>
      </c>
      <c r="F12" s="604" t="e">
        <f>E12/D12*100</f>
        <v>#DIV/0!</v>
      </c>
      <c r="G12" s="588"/>
      <c r="H12" s="605"/>
      <c r="I12" s="589"/>
      <c r="J12" s="586"/>
      <c r="K12" s="581"/>
      <c r="L12" s="587"/>
      <c r="M12" s="588"/>
      <c r="N12" s="588"/>
      <c r="O12" s="589"/>
      <c r="P12" s="606"/>
      <c r="Q12" s="607"/>
      <c r="R12" s="585" t="e">
        <f>Q12/P12*100</f>
        <v>#DIV/0!</v>
      </c>
      <c r="S12" s="482"/>
      <c r="T12" s="482"/>
      <c r="U12" s="482"/>
      <c r="V12" s="482"/>
    </row>
    <row r="13" spans="1:22" s="483" customFormat="1" ht="24.75" hidden="1" thickTop="1">
      <c r="A13" s="578" t="s">
        <v>178</v>
      </c>
      <c r="B13" s="579" t="s">
        <v>179</v>
      </c>
      <c r="C13" s="603"/>
      <c r="D13" s="581">
        <f t="shared" si="2"/>
        <v>0</v>
      </c>
      <c r="E13" s="581">
        <f t="shared" si="1"/>
        <v>0</v>
      </c>
      <c r="F13" s="582" t="e">
        <f aca="true" t="shared" si="3" ref="F13:F64">E13/D13*100</f>
        <v>#DIV/0!</v>
      </c>
      <c r="G13" s="588"/>
      <c r="H13" s="605"/>
      <c r="I13" s="589"/>
      <c r="J13" s="586"/>
      <c r="K13" s="581"/>
      <c r="L13" s="587"/>
      <c r="M13" s="588"/>
      <c r="N13" s="588"/>
      <c r="O13" s="589"/>
      <c r="P13" s="603"/>
      <c r="Q13" s="583"/>
      <c r="R13" s="585" t="e">
        <f aca="true" t="shared" si="4" ref="R13:R28">Q13/P13*100</f>
        <v>#DIV/0!</v>
      </c>
      <c r="S13" s="482"/>
      <c r="T13" s="482"/>
      <c r="U13" s="482"/>
      <c r="V13" s="482"/>
    </row>
    <row r="14" spans="1:22" s="483" customFormat="1" ht="24.75" customHeight="1" hidden="1">
      <c r="A14" s="578" t="s">
        <v>180</v>
      </c>
      <c r="B14" s="579" t="s">
        <v>181</v>
      </c>
      <c r="C14" s="603"/>
      <c r="D14" s="581">
        <f t="shared" si="2"/>
        <v>0</v>
      </c>
      <c r="E14" s="581">
        <f t="shared" si="1"/>
        <v>0</v>
      </c>
      <c r="F14" s="582" t="e">
        <f t="shared" si="3"/>
        <v>#DIV/0!</v>
      </c>
      <c r="G14" s="588"/>
      <c r="H14" s="605"/>
      <c r="I14" s="589"/>
      <c r="J14" s="586"/>
      <c r="K14" s="581"/>
      <c r="L14" s="587"/>
      <c r="M14" s="588"/>
      <c r="N14" s="588"/>
      <c r="O14" s="589"/>
      <c r="P14" s="603"/>
      <c r="Q14" s="583"/>
      <c r="R14" s="585" t="e">
        <f t="shared" si="4"/>
        <v>#DIV/0!</v>
      </c>
      <c r="S14" s="482"/>
      <c r="T14" s="482"/>
      <c r="U14" s="482"/>
      <c r="V14" s="482"/>
    </row>
    <row r="15" spans="1:22" s="483" customFormat="1" ht="48.75" hidden="1" thickTop="1">
      <c r="A15" s="578" t="s">
        <v>182</v>
      </c>
      <c r="B15" s="579" t="s">
        <v>183</v>
      </c>
      <c r="C15" s="603"/>
      <c r="D15" s="581">
        <f t="shared" si="2"/>
        <v>0</v>
      </c>
      <c r="E15" s="581">
        <f t="shared" si="1"/>
        <v>0</v>
      </c>
      <c r="F15" s="582" t="e">
        <f t="shared" si="3"/>
        <v>#DIV/0!</v>
      </c>
      <c r="G15" s="588"/>
      <c r="H15" s="605"/>
      <c r="I15" s="589"/>
      <c r="J15" s="586"/>
      <c r="K15" s="581"/>
      <c r="L15" s="587"/>
      <c r="M15" s="588"/>
      <c r="N15" s="588"/>
      <c r="O15" s="589"/>
      <c r="P15" s="603"/>
      <c r="Q15" s="583"/>
      <c r="R15" s="585" t="e">
        <f t="shared" si="4"/>
        <v>#DIV/0!</v>
      </c>
      <c r="S15" s="482"/>
      <c r="T15" s="482"/>
      <c r="U15" s="482"/>
      <c r="V15" s="482"/>
    </row>
    <row r="16" spans="1:22" s="483" customFormat="1" ht="24.75" hidden="1" thickTop="1">
      <c r="A16" s="578" t="s">
        <v>184</v>
      </c>
      <c r="B16" s="579" t="s">
        <v>185</v>
      </c>
      <c r="C16" s="603"/>
      <c r="D16" s="581">
        <f t="shared" si="2"/>
        <v>0</v>
      </c>
      <c r="E16" s="581">
        <f t="shared" si="1"/>
        <v>0</v>
      </c>
      <c r="F16" s="582" t="e">
        <f t="shared" si="3"/>
        <v>#DIV/0!</v>
      </c>
      <c r="G16" s="588"/>
      <c r="H16" s="605"/>
      <c r="I16" s="589"/>
      <c r="J16" s="586"/>
      <c r="K16" s="581"/>
      <c r="L16" s="587"/>
      <c r="M16" s="588"/>
      <c r="N16" s="588"/>
      <c r="O16" s="589"/>
      <c r="P16" s="603"/>
      <c r="Q16" s="583"/>
      <c r="R16" s="585" t="e">
        <f t="shared" si="4"/>
        <v>#DIV/0!</v>
      </c>
      <c r="S16" s="482"/>
      <c r="T16" s="482"/>
      <c r="U16" s="482"/>
      <c r="V16" s="482"/>
    </row>
    <row r="17" spans="1:18" ht="36.75" hidden="1" thickTop="1">
      <c r="A17" s="578" t="s">
        <v>186</v>
      </c>
      <c r="B17" s="579" t="s">
        <v>187</v>
      </c>
      <c r="C17" s="603"/>
      <c r="D17" s="581">
        <f t="shared" si="2"/>
        <v>0</v>
      </c>
      <c r="E17" s="581">
        <f t="shared" si="1"/>
        <v>0</v>
      </c>
      <c r="F17" s="582" t="e">
        <f t="shared" si="3"/>
        <v>#DIV/0!</v>
      </c>
      <c r="G17" s="588"/>
      <c r="H17" s="605"/>
      <c r="I17" s="589"/>
      <c r="J17" s="586"/>
      <c r="K17" s="581"/>
      <c r="L17" s="587"/>
      <c r="M17" s="588"/>
      <c r="N17" s="588"/>
      <c r="O17" s="589"/>
      <c r="P17" s="603"/>
      <c r="Q17" s="583"/>
      <c r="R17" s="585" t="e">
        <f t="shared" si="4"/>
        <v>#DIV/0!</v>
      </c>
    </row>
    <row r="18" spans="1:18" ht="24.75" hidden="1" thickTop="1">
      <c r="A18" s="578" t="s">
        <v>188</v>
      </c>
      <c r="B18" s="579" t="s">
        <v>189</v>
      </c>
      <c r="C18" s="603"/>
      <c r="D18" s="581">
        <f t="shared" si="2"/>
        <v>0</v>
      </c>
      <c r="E18" s="581">
        <f t="shared" si="1"/>
        <v>0</v>
      </c>
      <c r="F18" s="582" t="e">
        <f t="shared" si="3"/>
        <v>#DIV/0!</v>
      </c>
      <c r="G18" s="588"/>
      <c r="H18" s="605"/>
      <c r="I18" s="589"/>
      <c r="J18" s="586"/>
      <c r="K18" s="581"/>
      <c r="L18" s="587"/>
      <c r="M18" s="588"/>
      <c r="N18" s="588"/>
      <c r="O18" s="589"/>
      <c r="P18" s="603"/>
      <c r="Q18" s="583"/>
      <c r="R18" s="585" t="e">
        <f t="shared" si="4"/>
        <v>#DIV/0!</v>
      </c>
    </row>
    <row r="19" spans="1:18" ht="24.75" hidden="1" thickTop="1">
      <c r="A19" s="578" t="s">
        <v>190</v>
      </c>
      <c r="B19" s="579" t="s">
        <v>191</v>
      </c>
      <c r="C19" s="603"/>
      <c r="D19" s="581">
        <f t="shared" si="2"/>
        <v>0</v>
      </c>
      <c r="E19" s="581">
        <f t="shared" si="1"/>
        <v>0</v>
      </c>
      <c r="F19" s="582" t="e">
        <f t="shared" si="3"/>
        <v>#DIV/0!</v>
      </c>
      <c r="G19" s="588"/>
      <c r="H19" s="605"/>
      <c r="I19" s="589"/>
      <c r="J19" s="586"/>
      <c r="K19" s="581"/>
      <c r="L19" s="587"/>
      <c r="M19" s="588"/>
      <c r="N19" s="588"/>
      <c r="O19" s="589"/>
      <c r="P19" s="603"/>
      <c r="Q19" s="583"/>
      <c r="R19" s="585" t="e">
        <f t="shared" si="4"/>
        <v>#DIV/0!</v>
      </c>
    </row>
    <row r="20" spans="1:18" ht="36.75" hidden="1" thickTop="1">
      <c r="A20" s="578" t="s">
        <v>192</v>
      </c>
      <c r="B20" s="579" t="s">
        <v>193</v>
      </c>
      <c r="C20" s="603"/>
      <c r="D20" s="581">
        <f t="shared" si="2"/>
        <v>0</v>
      </c>
      <c r="E20" s="581">
        <f t="shared" si="1"/>
        <v>0</v>
      </c>
      <c r="F20" s="582" t="e">
        <f t="shared" si="3"/>
        <v>#DIV/0!</v>
      </c>
      <c r="G20" s="588"/>
      <c r="H20" s="605"/>
      <c r="I20" s="589"/>
      <c r="J20" s="586"/>
      <c r="K20" s="581"/>
      <c r="L20" s="587"/>
      <c r="M20" s="588"/>
      <c r="N20" s="588"/>
      <c r="O20" s="589"/>
      <c r="P20" s="603"/>
      <c r="Q20" s="583"/>
      <c r="R20" s="585" t="e">
        <f t="shared" si="4"/>
        <v>#DIV/0!</v>
      </c>
    </row>
    <row r="21" spans="1:18" ht="13.5" hidden="1" thickTop="1">
      <c r="A21" s="578" t="s">
        <v>194</v>
      </c>
      <c r="B21" s="579" t="s">
        <v>195</v>
      </c>
      <c r="C21" s="603"/>
      <c r="D21" s="581">
        <f t="shared" si="2"/>
        <v>0</v>
      </c>
      <c r="E21" s="581">
        <f t="shared" si="1"/>
        <v>0</v>
      </c>
      <c r="F21" s="582" t="e">
        <f t="shared" si="3"/>
        <v>#DIV/0!</v>
      </c>
      <c r="G21" s="588"/>
      <c r="H21" s="605"/>
      <c r="I21" s="589"/>
      <c r="J21" s="586"/>
      <c r="K21" s="581"/>
      <c r="L21" s="587"/>
      <c r="M21" s="588"/>
      <c r="N21" s="588"/>
      <c r="O21" s="589"/>
      <c r="P21" s="603"/>
      <c r="Q21" s="583"/>
      <c r="R21" s="585" t="e">
        <f t="shared" si="4"/>
        <v>#DIV/0!</v>
      </c>
    </row>
    <row r="22" spans="1:18" ht="24.75" hidden="1" thickTop="1">
      <c r="A22" s="578" t="s">
        <v>196</v>
      </c>
      <c r="B22" s="579" t="s">
        <v>197</v>
      </c>
      <c r="C22" s="603"/>
      <c r="D22" s="581">
        <f t="shared" si="2"/>
        <v>0</v>
      </c>
      <c r="E22" s="581">
        <f t="shared" si="1"/>
        <v>0</v>
      </c>
      <c r="F22" s="582" t="e">
        <f t="shared" si="3"/>
        <v>#DIV/0!</v>
      </c>
      <c r="G22" s="588"/>
      <c r="H22" s="605"/>
      <c r="I22" s="589"/>
      <c r="J22" s="586"/>
      <c r="K22" s="581"/>
      <c r="L22" s="587"/>
      <c r="M22" s="588"/>
      <c r="N22" s="588"/>
      <c r="O22" s="589"/>
      <c r="P22" s="603"/>
      <c r="Q22" s="583"/>
      <c r="R22" s="585" t="e">
        <f t="shared" si="4"/>
        <v>#DIV/0!</v>
      </c>
    </row>
    <row r="23" spans="1:18" ht="24.75" hidden="1" thickTop="1">
      <c r="A23" s="578" t="s">
        <v>198</v>
      </c>
      <c r="B23" s="579" t="s">
        <v>199</v>
      </c>
      <c r="C23" s="603"/>
      <c r="D23" s="581">
        <f t="shared" si="2"/>
        <v>0</v>
      </c>
      <c r="E23" s="581">
        <f t="shared" si="1"/>
        <v>0</v>
      </c>
      <c r="F23" s="582" t="e">
        <f t="shared" si="3"/>
        <v>#DIV/0!</v>
      </c>
      <c r="G23" s="588"/>
      <c r="H23" s="605"/>
      <c r="I23" s="589"/>
      <c r="J23" s="586"/>
      <c r="K23" s="581"/>
      <c r="L23" s="587"/>
      <c r="M23" s="588"/>
      <c r="N23" s="588"/>
      <c r="O23" s="589"/>
      <c r="P23" s="603"/>
      <c r="Q23" s="583"/>
      <c r="R23" s="585" t="e">
        <f t="shared" si="4"/>
        <v>#DIV/0!</v>
      </c>
    </row>
    <row r="24" spans="1:18" ht="24.75" hidden="1" thickTop="1">
      <c r="A24" s="578" t="s">
        <v>172</v>
      </c>
      <c r="B24" s="579" t="s">
        <v>173</v>
      </c>
      <c r="C24" s="603"/>
      <c r="D24" s="581">
        <f t="shared" si="2"/>
        <v>0</v>
      </c>
      <c r="E24" s="581">
        <f t="shared" si="1"/>
        <v>0</v>
      </c>
      <c r="F24" s="582" t="e">
        <f t="shared" si="3"/>
        <v>#DIV/0!</v>
      </c>
      <c r="G24" s="588"/>
      <c r="H24" s="605"/>
      <c r="I24" s="589"/>
      <c r="J24" s="586"/>
      <c r="K24" s="581"/>
      <c r="L24" s="587"/>
      <c r="M24" s="588"/>
      <c r="N24" s="588"/>
      <c r="O24" s="589"/>
      <c r="P24" s="603"/>
      <c r="Q24" s="583"/>
      <c r="R24" s="585" t="e">
        <f t="shared" si="4"/>
        <v>#DIV/0!</v>
      </c>
    </row>
    <row r="25" spans="1:18" ht="13.5" hidden="1" thickTop="1">
      <c r="A25" s="578" t="s">
        <v>200</v>
      </c>
      <c r="B25" s="579" t="s">
        <v>201</v>
      </c>
      <c r="C25" s="603"/>
      <c r="D25" s="581">
        <f t="shared" si="2"/>
        <v>0</v>
      </c>
      <c r="E25" s="581">
        <f t="shared" si="1"/>
        <v>0</v>
      </c>
      <c r="F25" s="582" t="e">
        <f t="shared" si="3"/>
        <v>#DIV/0!</v>
      </c>
      <c r="G25" s="588"/>
      <c r="H25" s="605"/>
      <c r="I25" s="589"/>
      <c r="J25" s="586"/>
      <c r="K25" s="581"/>
      <c r="L25" s="587"/>
      <c r="M25" s="588"/>
      <c r="N25" s="588"/>
      <c r="O25" s="589"/>
      <c r="P25" s="603"/>
      <c r="Q25" s="583"/>
      <c r="R25" s="585" t="e">
        <f t="shared" si="4"/>
        <v>#DIV/0!</v>
      </c>
    </row>
    <row r="26" spans="1:18" ht="13.5" hidden="1" thickTop="1">
      <c r="A26" s="578" t="s">
        <v>202</v>
      </c>
      <c r="B26" s="579" t="s">
        <v>203</v>
      </c>
      <c r="C26" s="603"/>
      <c r="D26" s="581">
        <f t="shared" si="2"/>
        <v>0</v>
      </c>
      <c r="E26" s="581">
        <f t="shared" si="1"/>
        <v>0</v>
      </c>
      <c r="F26" s="582" t="e">
        <f t="shared" si="3"/>
        <v>#DIV/0!</v>
      </c>
      <c r="G26" s="588"/>
      <c r="H26" s="605"/>
      <c r="I26" s="589"/>
      <c r="J26" s="586"/>
      <c r="K26" s="581"/>
      <c r="L26" s="587"/>
      <c r="M26" s="588"/>
      <c r="N26" s="588"/>
      <c r="O26" s="589"/>
      <c r="P26" s="603"/>
      <c r="Q26" s="583"/>
      <c r="R26" s="585" t="e">
        <f t="shared" si="4"/>
        <v>#DIV/0!</v>
      </c>
    </row>
    <row r="27" spans="1:18" ht="24.75" hidden="1" thickTop="1">
      <c r="A27" s="578" t="s">
        <v>204</v>
      </c>
      <c r="B27" s="579" t="s">
        <v>205</v>
      </c>
      <c r="C27" s="603"/>
      <c r="D27" s="581">
        <f t="shared" si="2"/>
        <v>0</v>
      </c>
      <c r="E27" s="581">
        <f t="shared" si="1"/>
        <v>0</v>
      </c>
      <c r="F27" s="582" t="e">
        <f t="shared" si="3"/>
        <v>#DIV/0!</v>
      </c>
      <c r="G27" s="588"/>
      <c r="H27" s="605"/>
      <c r="I27" s="589"/>
      <c r="J27" s="586"/>
      <c r="K27" s="581"/>
      <c r="L27" s="587"/>
      <c r="M27" s="588"/>
      <c r="N27" s="588"/>
      <c r="O27" s="589"/>
      <c r="P27" s="603"/>
      <c r="Q27" s="583"/>
      <c r="R27" s="585" t="e">
        <f t="shared" si="4"/>
        <v>#DIV/0!</v>
      </c>
    </row>
    <row r="28" spans="1:18" ht="36.75" hidden="1" thickTop="1">
      <c r="A28" s="578" t="s">
        <v>206</v>
      </c>
      <c r="B28" s="579" t="s">
        <v>207</v>
      </c>
      <c r="C28" s="603"/>
      <c r="D28" s="581">
        <f t="shared" si="2"/>
        <v>0</v>
      </c>
      <c r="E28" s="581">
        <f t="shared" si="1"/>
        <v>0</v>
      </c>
      <c r="F28" s="582" t="e">
        <f t="shared" si="3"/>
        <v>#DIV/0!</v>
      </c>
      <c r="G28" s="588"/>
      <c r="H28" s="605"/>
      <c r="I28" s="589"/>
      <c r="J28" s="586"/>
      <c r="K28" s="581"/>
      <c r="L28" s="587"/>
      <c r="M28" s="588"/>
      <c r="N28" s="588"/>
      <c r="O28" s="589"/>
      <c r="P28" s="603"/>
      <c r="Q28" s="583"/>
      <c r="R28" s="585" t="e">
        <f t="shared" si="4"/>
        <v>#DIV/0!</v>
      </c>
    </row>
    <row r="29" spans="1:22" s="565" customFormat="1" ht="14.25" customHeight="1" thickTop="1">
      <c r="A29" s="591" t="s">
        <v>208</v>
      </c>
      <c r="B29" s="592" t="s">
        <v>209</v>
      </c>
      <c r="C29" s="608">
        <f>SUM(C30:C30)</f>
        <v>3500</v>
      </c>
      <c r="D29" s="595">
        <f t="shared" si="2"/>
        <v>3500</v>
      </c>
      <c r="E29" s="595">
        <f>H29+K29+Q29+N29</f>
        <v>518</v>
      </c>
      <c r="F29" s="609">
        <f t="shared" si="3"/>
        <v>14.799999999999999</v>
      </c>
      <c r="G29" s="610">
        <f>SUM(G30:G30)</f>
        <v>3500</v>
      </c>
      <c r="H29" s="595">
        <f>SUM(H30:H30)</f>
        <v>518</v>
      </c>
      <c r="I29" s="602">
        <f>H29/G29*100</f>
        <v>14.799999999999999</v>
      </c>
      <c r="J29" s="600"/>
      <c r="K29" s="595"/>
      <c r="L29" s="601"/>
      <c r="M29" s="597"/>
      <c r="N29" s="597"/>
      <c r="O29" s="611"/>
      <c r="P29" s="593"/>
      <c r="Q29" s="594"/>
      <c r="R29" s="612"/>
      <c r="S29" s="564"/>
      <c r="T29" s="564"/>
      <c r="U29" s="564"/>
      <c r="V29" s="564"/>
    </row>
    <row r="30" spans="1:18" ht="54.75" customHeight="1" thickBot="1">
      <c r="A30" s="613" t="s">
        <v>210</v>
      </c>
      <c r="B30" s="614" t="s">
        <v>211</v>
      </c>
      <c r="C30" s="606">
        <v>3500</v>
      </c>
      <c r="D30" s="615">
        <f t="shared" si="2"/>
        <v>3500</v>
      </c>
      <c r="E30" s="615">
        <f>SUM(H30+K30+N30+Q30)</f>
        <v>518</v>
      </c>
      <c r="F30" s="616">
        <f t="shared" si="3"/>
        <v>14.799999999999999</v>
      </c>
      <c r="G30" s="617">
        <v>3500</v>
      </c>
      <c r="H30" s="615">
        <v>518</v>
      </c>
      <c r="I30" s="590">
        <f>H30/G30*100</f>
        <v>14.799999999999999</v>
      </c>
      <c r="J30" s="618"/>
      <c r="K30" s="615"/>
      <c r="L30" s="619"/>
      <c r="M30" s="620"/>
      <c r="N30" s="620"/>
      <c r="O30" s="621"/>
      <c r="P30" s="622"/>
      <c r="Q30" s="607"/>
      <c r="R30" s="623"/>
    </row>
    <row r="31" spans="1:18" ht="12.75" customHeight="1" hidden="1">
      <c r="A31" s="591" t="s">
        <v>212</v>
      </c>
      <c r="B31" s="592" t="s">
        <v>213</v>
      </c>
      <c r="C31" s="608"/>
      <c r="D31" s="595">
        <f t="shared" si="2"/>
        <v>0</v>
      </c>
      <c r="E31" s="595">
        <f>SUM(H31+K31+N31+Q31)</f>
        <v>0</v>
      </c>
      <c r="F31" s="609" t="e">
        <f>E31/D31*100</f>
        <v>#DIV/0!</v>
      </c>
      <c r="G31" s="610">
        <f>SUM(G33:G34)</f>
        <v>0</v>
      </c>
      <c r="H31" s="595">
        <f>SUM(H33:H34)</f>
        <v>0</v>
      </c>
      <c r="I31" s="624" t="e">
        <f>H31/G31*100</f>
        <v>#DIV/0!</v>
      </c>
      <c r="J31" s="600">
        <f>SUM(J32:J34)</f>
        <v>0</v>
      </c>
      <c r="K31" s="595">
        <f>SUM(K32:K34)</f>
        <v>0</v>
      </c>
      <c r="L31" s="625" t="e">
        <f>K31/J31*100</f>
        <v>#DIV/0!</v>
      </c>
      <c r="M31" s="597"/>
      <c r="N31" s="597"/>
      <c r="O31" s="611"/>
      <c r="P31" s="593"/>
      <c r="Q31" s="594"/>
      <c r="R31" s="612"/>
    </row>
    <row r="32" spans="1:18" ht="24.75" hidden="1" thickBot="1">
      <c r="A32" s="578" t="s">
        <v>190</v>
      </c>
      <c r="B32" s="579" t="s">
        <v>191</v>
      </c>
      <c r="C32" s="603"/>
      <c r="D32" s="615">
        <f t="shared" si="2"/>
        <v>0</v>
      </c>
      <c r="E32" s="615">
        <f>SUM(H32+K32+N32+Q32)</f>
        <v>0</v>
      </c>
      <c r="F32" s="616" t="e">
        <f>E32/D32*100</f>
        <v>#DIV/0!</v>
      </c>
      <c r="G32" s="626"/>
      <c r="H32" s="581"/>
      <c r="I32" s="627"/>
      <c r="J32" s="586"/>
      <c r="K32" s="581"/>
      <c r="L32" s="628" t="e">
        <f>K32/J32*100</f>
        <v>#DIV/0!</v>
      </c>
      <c r="M32" s="588"/>
      <c r="N32" s="588"/>
      <c r="O32" s="589"/>
      <c r="P32" s="580"/>
      <c r="Q32" s="583"/>
      <c r="R32" s="629"/>
    </row>
    <row r="33" spans="1:22" s="483" customFormat="1" ht="13.5" hidden="1" thickBot="1">
      <c r="A33" s="578" t="s">
        <v>200</v>
      </c>
      <c r="B33" s="579" t="s">
        <v>201</v>
      </c>
      <c r="C33" s="603"/>
      <c r="D33" s="581">
        <f t="shared" si="2"/>
        <v>0</v>
      </c>
      <c r="E33" s="581">
        <f>SUM(H33+K33+N33+Q33)</f>
        <v>0</v>
      </c>
      <c r="F33" s="630" t="e">
        <f>E33/D33*100</f>
        <v>#DIV/0!</v>
      </c>
      <c r="G33" s="583"/>
      <c r="H33" s="581"/>
      <c r="I33" s="627" t="e">
        <f>H33/G33*100</f>
        <v>#DIV/0!</v>
      </c>
      <c r="J33" s="586"/>
      <c r="K33" s="581"/>
      <c r="L33" s="628" t="e">
        <f>K33/J33*100</f>
        <v>#DIV/0!</v>
      </c>
      <c r="M33" s="588"/>
      <c r="N33" s="588"/>
      <c r="O33" s="589"/>
      <c r="P33" s="580"/>
      <c r="Q33" s="583"/>
      <c r="R33" s="629"/>
      <c r="S33" s="482"/>
      <c r="T33" s="482"/>
      <c r="U33" s="482"/>
      <c r="V33" s="482"/>
    </row>
    <row r="34" spans="1:22" s="483" customFormat="1" ht="60.75" hidden="1" thickBot="1">
      <c r="A34" s="578" t="s">
        <v>214</v>
      </c>
      <c r="B34" s="579" t="s">
        <v>215</v>
      </c>
      <c r="C34" s="603"/>
      <c r="D34" s="581">
        <f t="shared" si="2"/>
        <v>0</v>
      </c>
      <c r="E34" s="581">
        <f>SUM(H34+K34+N34+Q34)</f>
        <v>0</v>
      </c>
      <c r="F34" s="630" t="e">
        <f>E34/D34*100</f>
        <v>#DIV/0!</v>
      </c>
      <c r="G34" s="626"/>
      <c r="H34" s="631"/>
      <c r="I34" s="585"/>
      <c r="J34" s="586"/>
      <c r="K34" s="581"/>
      <c r="L34" s="628" t="e">
        <f>K34/J34*100</f>
        <v>#DIV/0!</v>
      </c>
      <c r="M34" s="588"/>
      <c r="N34" s="588"/>
      <c r="O34" s="589"/>
      <c r="P34" s="580"/>
      <c r="Q34" s="583"/>
      <c r="R34" s="629"/>
      <c r="S34" s="482"/>
      <c r="T34" s="482"/>
      <c r="U34" s="482"/>
      <c r="V34" s="482"/>
    </row>
    <row r="35" spans="1:26" s="639" customFormat="1" ht="15.75" customHeight="1" thickBot="1" thickTop="1">
      <c r="A35" s="632">
        <v>500</v>
      </c>
      <c r="B35" s="633" t="s">
        <v>217</v>
      </c>
      <c r="C35" s="634">
        <f>C36</f>
        <v>194000</v>
      </c>
      <c r="D35" s="556">
        <f t="shared" si="2"/>
        <v>194000</v>
      </c>
      <c r="E35" s="556">
        <f>H35+K35+Q35+N35</f>
        <v>48547</v>
      </c>
      <c r="F35" s="557">
        <f t="shared" si="3"/>
        <v>25.02422680412371</v>
      </c>
      <c r="G35" s="556">
        <f>G36</f>
        <v>194000</v>
      </c>
      <c r="H35" s="556">
        <f>H36</f>
        <v>48547</v>
      </c>
      <c r="I35" s="635">
        <f aca="true" t="shared" si="5" ref="I35:I49">H35/G35*100</f>
        <v>25.02422680412371</v>
      </c>
      <c r="J35" s="560"/>
      <c r="K35" s="556"/>
      <c r="L35" s="636"/>
      <c r="M35" s="556"/>
      <c r="N35" s="556"/>
      <c r="O35" s="637"/>
      <c r="P35" s="555"/>
      <c r="Q35" s="558"/>
      <c r="R35" s="638"/>
      <c r="S35" s="564"/>
      <c r="T35" s="564"/>
      <c r="U35" s="564"/>
      <c r="V35" s="564"/>
      <c r="W35" s="565"/>
      <c r="X35" s="565"/>
      <c r="Y35" s="565"/>
      <c r="Z35" s="565"/>
    </row>
    <row r="36" spans="1:26" s="639" customFormat="1" ht="18" customHeight="1" thickTop="1">
      <c r="A36" s="640">
        <v>50095</v>
      </c>
      <c r="B36" s="641" t="s">
        <v>213</v>
      </c>
      <c r="C36" s="608">
        <f>SUM(C37:C42)</f>
        <v>194000</v>
      </c>
      <c r="D36" s="642">
        <f t="shared" si="2"/>
        <v>194000</v>
      </c>
      <c r="E36" s="595">
        <f>SUM(E37:E42)</f>
        <v>48547</v>
      </c>
      <c r="F36" s="643">
        <f t="shared" si="3"/>
        <v>25.02422680412371</v>
      </c>
      <c r="G36" s="595">
        <f>SUM(G37:G42)</f>
        <v>194000</v>
      </c>
      <c r="H36" s="595">
        <f>SUM(H37:H42)</f>
        <v>48547</v>
      </c>
      <c r="I36" s="644">
        <f t="shared" si="5"/>
        <v>25.02422680412371</v>
      </c>
      <c r="J36" s="600"/>
      <c r="K36" s="595"/>
      <c r="L36" s="601"/>
      <c r="M36" s="595"/>
      <c r="N36" s="595"/>
      <c r="O36" s="645"/>
      <c r="P36" s="593"/>
      <c r="Q36" s="594"/>
      <c r="R36" s="646"/>
      <c r="S36" s="564"/>
      <c r="T36" s="564"/>
      <c r="U36" s="564"/>
      <c r="V36" s="564"/>
      <c r="W36" s="565"/>
      <c r="X36" s="565"/>
      <c r="Y36" s="565"/>
      <c r="Z36" s="565"/>
    </row>
    <row r="37" spans="1:26" s="529" customFormat="1" ht="24">
      <c r="A37" s="647">
        <v>4210</v>
      </c>
      <c r="B37" s="648" t="s">
        <v>191</v>
      </c>
      <c r="C37" s="603">
        <v>3000</v>
      </c>
      <c r="D37" s="581">
        <f t="shared" si="2"/>
        <v>3000</v>
      </c>
      <c r="E37" s="581">
        <f aca="true" t="shared" si="6" ref="E37:E42">SUM(H37+K37+N37+Q37)</f>
        <v>226</v>
      </c>
      <c r="F37" s="582">
        <f t="shared" si="3"/>
        <v>7.533333333333333</v>
      </c>
      <c r="G37" s="606">
        <v>3000</v>
      </c>
      <c r="H37" s="615">
        <v>226</v>
      </c>
      <c r="I37" s="627">
        <f t="shared" si="5"/>
        <v>7.533333333333333</v>
      </c>
      <c r="J37" s="586"/>
      <c r="K37" s="581"/>
      <c r="L37" s="587"/>
      <c r="M37" s="581"/>
      <c r="N37" s="581"/>
      <c r="O37" s="649"/>
      <c r="P37" s="580"/>
      <c r="Q37" s="583"/>
      <c r="R37" s="650"/>
      <c r="S37" s="527"/>
      <c r="T37" s="527"/>
      <c r="U37" s="527"/>
      <c r="V37" s="527"/>
      <c r="W37" s="528"/>
      <c r="X37" s="528"/>
      <c r="Y37" s="528"/>
      <c r="Z37" s="528"/>
    </row>
    <row r="38" spans="1:26" s="529" customFormat="1" ht="14.25" customHeight="1">
      <c r="A38" s="647">
        <v>4260</v>
      </c>
      <c r="B38" s="648" t="s">
        <v>195</v>
      </c>
      <c r="C38" s="603">
        <v>4000</v>
      </c>
      <c r="D38" s="581">
        <f t="shared" si="2"/>
        <v>4000</v>
      </c>
      <c r="E38" s="581">
        <f t="shared" si="6"/>
        <v>138</v>
      </c>
      <c r="F38" s="582">
        <f t="shared" si="3"/>
        <v>3.45</v>
      </c>
      <c r="G38" s="603">
        <v>4000</v>
      </c>
      <c r="H38" s="581">
        <v>138</v>
      </c>
      <c r="I38" s="627">
        <f t="shared" si="5"/>
        <v>3.45</v>
      </c>
      <c r="J38" s="586"/>
      <c r="K38" s="581"/>
      <c r="L38" s="587"/>
      <c r="M38" s="581"/>
      <c r="N38" s="581"/>
      <c r="O38" s="649"/>
      <c r="P38" s="580"/>
      <c r="Q38" s="583"/>
      <c r="R38" s="650"/>
      <c r="S38" s="527"/>
      <c r="T38" s="527"/>
      <c r="U38" s="527"/>
      <c r="V38" s="527"/>
      <c r="W38" s="528"/>
      <c r="X38" s="528"/>
      <c r="Y38" s="528"/>
      <c r="Z38" s="528"/>
    </row>
    <row r="39" spans="1:26" s="529" customFormat="1" ht="14.25" customHeight="1">
      <c r="A39" s="647">
        <v>4270</v>
      </c>
      <c r="B39" s="648" t="s">
        <v>197</v>
      </c>
      <c r="C39" s="603">
        <v>25000</v>
      </c>
      <c r="D39" s="581">
        <f t="shared" si="2"/>
        <v>25000</v>
      </c>
      <c r="E39" s="581">
        <f t="shared" si="6"/>
        <v>0</v>
      </c>
      <c r="F39" s="582">
        <f>E39/D39*100</f>
        <v>0</v>
      </c>
      <c r="G39" s="603">
        <v>25000</v>
      </c>
      <c r="H39" s="581"/>
      <c r="I39" s="627">
        <f t="shared" si="5"/>
        <v>0</v>
      </c>
      <c r="J39" s="586"/>
      <c r="K39" s="581"/>
      <c r="L39" s="587"/>
      <c r="M39" s="581"/>
      <c r="N39" s="581"/>
      <c r="O39" s="649"/>
      <c r="P39" s="580"/>
      <c r="Q39" s="583"/>
      <c r="R39" s="650"/>
      <c r="S39" s="527"/>
      <c r="T39" s="527"/>
      <c r="U39" s="527"/>
      <c r="V39" s="527"/>
      <c r="W39" s="528"/>
      <c r="X39" s="528"/>
      <c r="Y39" s="528"/>
      <c r="Z39" s="528"/>
    </row>
    <row r="40" spans="1:26" s="529" customFormat="1" ht="14.25" customHeight="1">
      <c r="A40" s="647">
        <v>4300</v>
      </c>
      <c r="B40" s="651" t="s">
        <v>199</v>
      </c>
      <c r="C40" s="603">
        <v>142000</v>
      </c>
      <c r="D40" s="581">
        <f t="shared" si="2"/>
        <v>142000</v>
      </c>
      <c r="E40" s="581">
        <f t="shared" si="6"/>
        <v>48183</v>
      </c>
      <c r="F40" s="582">
        <f>E40/D40*100</f>
        <v>33.93169014084507</v>
      </c>
      <c r="G40" s="603">
        <v>142000</v>
      </c>
      <c r="H40" s="581">
        <v>48183</v>
      </c>
      <c r="I40" s="627">
        <f t="shared" si="5"/>
        <v>33.93169014084507</v>
      </c>
      <c r="J40" s="586"/>
      <c r="K40" s="581"/>
      <c r="L40" s="587"/>
      <c r="M40" s="581"/>
      <c r="N40" s="581"/>
      <c r="O40" s="649"/>
      <c r="P40" s="580"/>
      <c r="Q40" s="583"/>
      <c r="R40" s="650"/>
      <c r="S40" s="527"/>
      <c r="T40" s="527"/>
      <c r="U40" s="527"/>
      <c r="V40" s="527"/>
      <c r="W40" s="528"/>
      <c r="X40" s="528"/>
      <c r="Y40" s="528"/>
      <c r="Z40" s="528"/>
    </row>
    <row r="41" spans="1:26" s="529" customFormat="1" ht="48" hidden="1">
      <c r="A41" s="647">
        <v>6060</v>
      </c>
      <c r="B41" s="651" t="s">
        <v>628</v>
      </c>
      <c r="C41" s="603"/>
      <c r="D41" s="581">
        <f>G41+J41+P41+M41</f>
        <v>0</v>
      </c>
      <c r="E41" s="581">
        <f t="shared" si="6"/>
        <v>0</v>
      </c>
      <c r="F41" s="582" t="e">
        <f>E41/D41*100</f>
        <v>#DIV/0!</v>
      </c>
      <c r="G41" s="603"/>
      <c r="H41" s="581"/>
      <c r="I41" s="627" t="e">
        <f t="shared" si="5"/>
        <v>#DIV/0!</v>
      </c>
      <c r="J41" s="586"/>
      <c r="K41" s="581"/>
      <c r="L41" s="587"/>
      <c r="M41" s="581"/>
      <c r="N41" s="581"/>
      <c r="O41" s="649"/>
      <c r="P41" s="580"/>
      <c r="Q41" s="583"/>
      <c r="R41" s="650"/>
      <c r="S41" s="527"/>
      <c r="T41" s="527"/>
      <c r="U41" s="527"/>
      <c r="V41" s="527"/>
      <c r="W41" s="528"/>
      <c r="X41" s="528"/>
      <c r="Y41" s="528"/>
      <c r="Z41" s="528"/>
    </row>
    <row r="42" spans="1:26" s="529" customFormat="1" ht="22.5" customHeight="1" thickBot="1">
      <c r="A42" s="647">
        <v>6050</v>
      </c>
      <c r="B42" s="651" t="s">
        <v>245</v>
      </c>
      <c r="C42" s="603">
        <v>20000</v>
      </c>
      <c r="D42" s="581">
        <f t="shared" si="2"/>
        <v>20000</v>
      </c>
      <c r="E42" s="581">
        <f t="shared" si="6"/>
        <v>0</v>
      </c>
      <c r="F42" s="582">
        <f t="shared" si="3"/>
        <v>0</v>
      </c>
      <c r="G42" s="652">
        <v>20000</v>
      </c>
      <c r="H42" s="631"/>
      <c r="I42" s="627">
        <f t="shared" si="5"/>
        <v>0</v>
      </c>
      <c r="J42" s="586"/>
      <c r="K42" s="581"/>
      <c r="L42" s="587"/>
      <c r="M42" s="581"/>
      <c r="N42" s="581"/>
      <c r="O42" s="649"/>
      <c r="P42" s="603"/>
      <c r="Q42" s="581"/>
      <c r="R42" s="653"/>
      <c r="S42" s="527"/>
      <c r="T42" s="527"/>
      <c r="U42" s="527"/>
      <c r="V42" s="527"/>
      <c r="W42" s="528"/>
      <c r="X42" s="528"/>
      <c r="Y42" s="528"/>
      <c r="Z42" s="528"/>
    </row>
    <row r="43" spans="1:26" s="639" customFormat="1" ht="19.5" customHeight="1" thickBot="1" thickTop="1">
      <c r="A43" s="632">
        <v>600</v>
      </c>
      <c r="B43" s="633" t="s">
        <v>218</v>
      </c>
      <c r="C43" s="634">
        <f>SUM(C47+C50+C87+C116+C122+C125)+C44</f>
        <v>57083563</v>
      </c>
      <c r="D43" s="556">
        <f t="shared" si="2"/>
        <v>58126593</v>
      </c>
      <c r="E43" s="556">
        <f t="shared" si="2"/>
        <v>4521554</v>
      </c>
      <c r="F43" s="654">
        <f t="shared" si="3"/>
        <v>7.778804444980975</v>
      </c>
      <c r="G43" s="556">
        <f>SUM(G87+G125+G50)+G47+G116+G122+G44</f>
        <v>32053593</v>
      </c>
      <c r="H43" s="556">
        <f>SUM(H87+H125+H50)+H47+H116+H122+H44</f>
        <v>3514194</v>
      </c>
      <c r="I43" s="635">
        <f t="shared" si="5"/>
        <v>10.963494794483726</v>
      </c>
      <c r="J43" s="560"/>
      <c r="K43" s="556"/>
      <c r="L43" s="636"/>
      <c r="M43" s="556">
        <f>SUM(M87+M125+M50)</f>
        <v>26073000</v>
      </c>
      <c r="N43" s="556">
        <f>SUM(N87+N125+N50)</f>
        <v>1007360</v>
      </c>
      <c r="O43" s="655">
        <f>N43/M43*100</f>
        <v>3.863613699996164</v>
      </c>
      <c r="P43" s="634"/>
      <c r="Q43" s="556"/>
      <c r="R43" s="656"/>
      <c r="S43" s="564"/>
      <c r="T43" s="564"/>
      <c r="U43" s="564"/>
      <c r="V43" s="564"/>
      <c r="W43" s="565"/>
      <c r="X43" s="565"/>
      <c r="Y43" s="565"/>
      <c r="Z43" s="565"/>
    </row>
    <row r="44" spans="1:26" s="639" customFormat="1" ht="13.5" thickTop="1">
      <c r="A44" s="657">
        <v>60002</v>
      </c>
      <c r="B44" s="658" t="s">
        <v>257</v>
      </c>
      <c r="C44" s="659">
        <f>SUM(C45)</f>
        <v>200000</v>
      </c>
      <c r="D44" s="660">
        <f aca="true" t="shared" si="7" ref="D44:E71">G44+J44+P44+M44</f>
        <v>200000</v>
      </c>
      <c r="E44" s="660">
        <f t="shared" si="7"/>
        <v>0</v>
      </c>
      <c r="F44" s="630">
        <f t="shared" si="3"/>
        <v>0</v>
      </c>
      <c r="G44" s="660">
        <f>SUM(G45:G46)</f>
        <v>200000</v>
      </c>
      <c r="H44" s="660">
        <f>SUM(H45:H46)</f>
        <v>0</v>
      </c>
      <c r="I44" s="627">
        <f t="shared" si="5"/>
        <v>0</v>
      </c>
      <c r="J44" s="661"/>
      <c r="K44" s="660"/>
      <c r="L44" s="662"/>
      <c r="M44" s="663"/>
      <c r="N44" s="664"/>
      <c r="O44" s="665"/>
      <c r="P44" s="659"/>
      <c r="Q44" s="660"/>
      <c r="R44" s="666"/>
      <c r="S44" s="564"/>
      <c r="T44" s="564"/>
      <c r="U44" s="564"/>
      <c r="V44" s="564"/>
      <c r="W44" s="565"/>
      <c r="X44" s="565"/>
      <c r="Y44" s="565"/>
      <c r="Z44" s="565"/>
    </row>
    <row r="45" spans="1:18" ht="60" customHeight="1">
      <c r="A45" s="667">
        <v>2710</v>
      </c>
      <c r="B45" s="668" t="s">
        <v>600</v>
      </c>
      <c r="C45" s="606">
        <v>200000</v>
      </c>
      <c r="D45" s="615">
        <f t="shared" si="7"/>
        <v>200000</v>
      </c>
      <c r="E45" s="615">
        <f t="shared" si="7"/>
        <v>0</v>
      </c>
      <c r="F45" s="604">
        <f>E45/D45*100</f>
        <v>0</v>
      </c>
      <c r="G45" s="615">
        <v>200000</v>
      </c>
      <c r="H45" s="615"/>
      <c r="I45" s="669">
        <f t="shared" si="5"/>
        <v>0</v>
      </c>
      <c r="J45" s="618"/>
      <c r="K45" s="615"/>
      <c r="L45" s="619"/>
      <c r="M45" s="670"/>
      <c r="N45" s="615"/>
      <c r="O45" s="590"/>
      <c r="P45" s="606"/>
      <c r="Q45" s="615"/>
      <c r="R45" s="671"/>
    </row>
    <row r="46" spans="1:26" s="639" customFormat="1" ht="28.5" customHeight="1" hidden="1">
      <c r="A46" s="672">
        <v>6050</v>
      </c>
      <c r="B46" s="673" t="s">
        <v>225</v>
      </c>
      <c r="C46" s="674"/>
      <c r="D46" s="675">
        <f t="shared" si="7"/>
        <v>0</v>
      </c>
      <c r="E46" s="675">
        <f t="shared" si="7"/>
        <v>0</v>
      </c>
      <c r="F46" s="643" t="e">
        <f t="shared" si="3"/>
        <v>#DIV/0!</v>
      </c>
      <c r="G46" s="675"/>
      <c r="H46" s="675"/>
      <c r="I46" s="644" t="e">
        <f t="shared" si="5"/>
        <v>#DIV/0!</v>
      </c>
      <c r="J46" s="676"/>
      <c r="K46" s="675"/>
      <c r="L46" s="677"/>
      <c r="M46" s="678"/>
      <c r="N46" s="675"/>
      <c r="O46" s="679"/>
      <c r="P46" s="674"/>
      <c r="Q46" s="675"/>
      <c r="R46" s="680"/>
      <c r="S46" s="564"/>
      <c r="T46" s="564"/>
      <c r="U46" s="564"/>
      <c r="V46" s="564"/>
      <c r="W46" s="565"/>
      <c r="X46" s="565"/>
      <c r="Y46" s="565"/>
      <c r="Z46" s="565"/>
    </row>
    <row r="47" spans="1:26" s="639" customFormat="1" ht="27" customHeight="1">
      <c r="A47" s="640">
        <v>60004</v>
      </c>
      <c r="B47" s="681" t="s">
        <v>219</v>
      </c>
      <c r="C47" s="608">
        <f>SUM(C48:C49)</f>
        <v>6900000</v>
      </c>
      <c r="D47" s="595">
        <f t="shared" si="7"/>
        <v>6900000</v>
      </c>
      <c r="E47" s="595">
        <f t="shared" si="7"/>
        <v>1316666</v>
      </c>
      <c r="F47" s="609">
        <f>E47/D47*100</f>
        <v>19.082115942028985</v>
      </c>
      <c r="G47" s="595">
        <f>SUM(G48:G49)</f>
        <v>6900000</v>
      </c>
      <c r="H47" s="595">
        <f>SUM(H48:H49)</f>
        <v>1316666</v>
      </c>
      <c r="I47" s="624">
        <f t="shared" si="5"/>
        <v>19.082115942028985</v>
      </c>
      <c r="J47" s="600"/>
      <c r="K47" s="594"/>
      <c r="L47" s="682"/>
      <c r="M47" s="683"/>
      <c r="N47" s="595"/>
      <c r="O47" s="684"/>
      <c r="P47" s="608"/>
      <c r="Q47" s="595"/>
      <c r="R47" s="685"/>
      <c r="S47" s="564"/>
      <c r="T47" s="564"/>
      <c r="U47" s="564"/>
      <c r="V47" s="564"/>
      <c r="W47" s="565"/>
      <c r="X47" s="565"/>
      <c r="Y47" s="565"/>
      <c r="Z47" s="565"/>
    </row>
    <row r="48" spans="1:18" ht="15.75" customHeight="1">
      <c r="A48" s="667">
        <v>4300</v>
      </c>
      <c r="B48" s="668" t="s">
        <v>199</v>
      </c>
      <c r="C48" s="606">
        <v>6100000</v>
      </c>
      <c r="D48" s="615">
        <f t="shared" si="7"/>
        <v>6100000</v>
      </c>
      <c r="E48" s="615">
        <f t="shared" si="7"/>
        <v>1016666</v>
      </c>
      <c r="F48" s="669">
        <f>E48/D48*100</f>
        <v>16.666655737704918</v>
      </c>
      <c r="G48" s="615">
        <v>6100000</v>
      </c>
      <c r="H48" s="618">
        <v>1016666</v>
      </c>
      <c r="I48" s="669">
        <f t="shared" si="5"/>
        <v>16.666655737704918</v>
      </c>
      <c r="J48" s="618"/>
      <c r="K48" s="607"/>
      <c r="L48" s="590"/>
      <c r="M48" s="670"/>
      <c r="N48" s="615"/>
      <c r="O48" s="686"/>
      <c r="P48" s="606"/>
      <c r="Q48" s="615"/>
      <c r="R48" s="671"/>
    </row>
    <row r="49" spans="1:18" ht="111.75" customHeight="1">
      <c r="A49" s="672">
        <v>6010</v>
      </c>
      <c r="B49" s="687" t="s">
        <v>409</v>
      </c>
      <c r="C49" s="674">
        <v>800000</v>
      </c>
      <c r="D49" s="675">
        <f t="shared" si="7"/>
        <v>800000</v>
      </c>
      <c r="E49" s="675">
        <f t="shared" si="7"/>
        <v>300000</v>
      </c>
      <c r="F49" s="644">
        <f>E49/D49*100</f>
        <v>37.5</v>
      </c>
      <c r="G49" s="675">
        <v>800000</v>
      </c>
      <c r="H49" s="676">
        <v>300000</v>
      </c>
      <c r="I49" s="644">
        <f t="shared" si="5"/>
        <v>37.5</v>
      </c>
      <c r="J49" s="676"/>
      <c r="K49" s="688"/>
      <c r="L49" s="679"/>
      <c r="M49" s="678"/>
      <c r="N49" s="675"/>
      <c r="O49" s="689"/>
      <c r="P49" s="674"/>
      <c r="Q49" s="675"/>
      <c r="R49" s="680"/>
    </row>
    <row r="50" spans="1:26" s="639" customFormat="1" ht="39" customHeight="1">
      <c r="A50" s="640">
        <v>60015</v>
      </c>
      <c r="B50" s="641" t="s">
        <v>220</v>
      </c>
      <c r="C50" s="593">
        <f>SUM(C51:C61)+SUM(C83:C86)</f>
        <v>25134000</v>
      </c>
      <c r="D50" s="595">
        <f t="shared" si="7"/>
        <v>26073000</v>
      </c>
      <c r="E50" s="595">
        <f t="shared" si="7"/>
        <v>1007360</v>
      </c>
      <c r="F50" s="609">
        <f t="shared" si="3"/>
        <v>3.863613699996164</v>
      </c>
      <c r="G50" s="594"/>
      <c r="H50" s="690"/>
      <c r="I50" s="691"/>
      <c r="J50" s="690"/>
      <c r="K50" s="594"/>
      <c r="L50" s="682"/>
      <c r="M50" s="610">
        <f>SUM(M51:M61)+SUM(M83:M86)</f>
        <v>26073000</v>
      </c>
      <c r="N50" s="594">
        <f>SUM(N51:N61)+SUM(N83:N86)</f>
        <v>1007360</v>
      </c>
      <c r="O50" s="682">
        <f aca="true" t="shared" si="8" ref="O50:O86">N50/M50*100</f>
        <v>3.863613699996164</v>
      </c>
      <c r="P50" s="593"/>
      <c r="Q50" s="594"/>
      <c r="R50" s="612"/>
      <c r="S50" s="564"/>
      <c r="T50" s="564"/>
      <c r="U50" s="564"/>
      <c r="V50" s="564"/>
      <c r="W50" s="565"/>
      <c r="X50" s="565"/>
      <c r="Y50" s="565"/>
      <c r="Z50" s="565"/>
    </row>
    <row r="51" spans="1:18" ht="36" hidden="1">
      <c r="A51" s="647">
        <v>4110</v>
      </c>
      <c r="B51" s="648" t="s">
        <v>187</v>
      </c>
      <c r="C51" s="603"/>
      <c r="D51" s="581">
        <f t="shared" si="7"/>
        <v>0</v>
      </c>
      <c r="E51" s="581">
        <f aca="true" t="shared" si="9" ref="E51:E114">SUM(H51+K51+N51+Q51)</f>
        <v>0</v>
      </c>
      <c r="F51" s="582" t="e">
        <f t="shared" si="3"/>
        <v>#DIV/0!</v>
      </c>
      <c r="G51" s="583"/>
      <c r="H51" s="584"/>
      <c r="I51" s="692"/>
      <c r="J51" s="584"/>
      <c r="K51" s="583"/>
      <c r="L51" s="585"/>
      <c r="M51" s="693"/>
      <c r="N51" s="583"/>
      <c r="O51" s="627" t="e">
        <f t="shared" si="8"/>
        <v>#DIV/0!</v>
      </c>
      <c r="P51" s="580"/>
      <c r="Q51" s="583"/>
      <c r="R51" s="650"/>
    </row>
    <row r="52" spans="1:18" ht="12.75" hidden="1">
      <c r="A52" s="647">
        <v>4120</v>
      </c>
      <c r="B52" s="648" t="s">
        <v>619</v>
      </c>
      <c r="C52" s="603"/>
      <c r="D52" s="581">
        <f t="shared" si="7"/>
        <v>0</v>
      </c>
      <c r="E52" s="581">
        <f t="shared" si="9"/>
        <v>0</v>
      </c>
      <c r="F52" s="582" t="e">
        <f>E52/D52*100</f>
        <v>#DIV/0!</v>
      </c>
      <c r="G52" s="583"/>
      <c r="H52" s="584"/>
      <c r="I52" s="692"/>
      <c r="J52" s="584"/>
      <c r="K52" s="583"/>
      <c r="L52" s="585"/>
      <c r="M52" s="693"/>
      <c r="N52" s="583"/>
      <c r="O52" s="627" t="e">
        <f t="shared" si="8"/>
        <v>#DIV/0!</v>
      </c>
      <c r="P52" s="580"/>
      <c r="Q52" s="583"/>
      <c r="R52" s="650"/>
    </row>
    <row r="53" spans="1:18" ht="24" hidden="1">
      <c r="A53" s="647">
        <v>4170</v>
      </c>
      <c r="B53" s="648" t="s">
        <v>221</v>
      </c>
      <c r="C53" s="603"/>
      <c r="D53" s="581">
        <f t="shared" si="7"/>
        <v>0</v>
      </c>
      <c r="E53" s="581">
        <f t="shared" si="9"/>
        <v>0</v>
      </c>
      <c r="F53" s="582" t="e">
        <f>E53/D53*100</f>
        <v>#DIV/0!</v>
      </c>
      <c r="G53" s="583"/>
      <c r="H53" s="584"/>
      <c r="I53" s="692"/>
      <c r="J53" s="584"/>
      <c r="K53" s="583"/>
      <c r="L53" s="585"/>
      <c r="M53" s="693"/>
      <c r="N53" s="583"/>
      <c r="O53" s="627" t="e">
        <f t="shared" si="8"/>
        <v>#DIV/0!</v>
      </c>
      <c r="P53" s="580"/>
      <c r="Q53" s="583"/>
      <c r="R53" s="650"/>
    </row>
    <row r="54" spans="1:18" ht="24">
      <c r="A54" s="647">
        <v>4210</v>
      </c>
      <c r="B54" s="648" t="s">
        <v>191</v>
      </c>
      <c r="C54" s="603">
        <v>40000</v>
      </c>
      <c r="D54" s="581">
        <f t="shared" si="7"/>
        <v>40000</v>
      </c>
      <c r="E54" s="581">
        <f t="shared" si="9"/>
        <v>7299</v>
      </c>
      <c r="F54" s="582">
        <f>E54/D54*100</f>
        <v>18.2475</v>
      </c>
      <c r="G54" s="583"/>
      <c r="H54" s="584"/>
      <c r="I54" s="692"/>
      <c r="J54" s="584"/>
      <c r="K54" s="583"/>
      <c r="L54" s="585"/>
      <c r="M54" s="693">
        <v>40000</v>
      </c>
      <c r="N54" s="583">
        <v>7299</v>
      </c>
      <c r="O54" s="627">
        <f t="shared" si="8"/>
        <v>18.2475</v>
      </c>
      <c r="P54" s="580"/>
      <c r="Q54" s="583"/>
      <c r="R54" s="650"/>
    </row>
    <row r="55" spans="1:18" ht="15.75" customHeight="1">
      <c r="A55" s="647">
        <v>4260</v>
      </c>
      <c r="B55" s="648" t="s">
        <v>195</v>
      </c>
      <c r="C55" s="603">
        <v>70000</v>
      </c>
      <c r="D55" s="581">
        <f t="shared" si="7"/>
        <v>70000</v>
      </c>
      <c r="E55" s="581">
        <f t="shared" si="9"/>
        <v>35775</v>
      </c>
      <c r="F55" s="582">
        <f t="shared" si="3"/>
        <v>51.10714285714286</v>
      </c>
      <c r="G55" s="583"/>
      <c r="H55" s="584"/>
      <c r="I55" s="692"/>
      <c r="J55" s="584"/>
      <c r="K55" s="583"/>
      <c r="L55" s="585"/>
      <c r="M55" s="693">
        <v>70000</v>
      </c>
      <c r="N55" s="583">
        <v>35775</v>
      </c>
      <c r="O55" s="627">
        <f t="shared" si="8"/>
        <v>51.10714285714286</v>
      </c>
      <c r="P55" s="580"/>
      <c r="Q55" s="583"/>
      <c r="R55" s="650"/>
    </row>
    <row r="56" spans="1:18" ht="15.75" customHeight="1">
      <c r="A56" s="647">
        <v>4270</v>
      </c>
      <c r="B56" s="651" t="s">
        <v>197</v>
      </c>
      <c r="C56" s="603">
        <v>700000</v>
      </c>
      <c r="D56" s="581">
        <f t="shared" si="7"/>
        <v>700000</v>
      </c>
      <c r="E56" s="581">
        <f t="shared" si="9"/>
        <v>297505</v>
      </c>
      <c r="F56" s="582">
        <f t="shared" si="3"/>
        <v>42.50071428571429</v>
      </c>
      <c r="G56" s="581"/>
      <c r="H56" s="586"/>
      <c r="I56" s="649"/>
      <c r="J56" s="586"/>
      <c r="K56" s="581"/>
      <c r="L56" s="587"/>
      <c r="M56" s="693">
        <v>700000</v>
      </c>
      <c r="N56" s="581">
        <v>297505</v>
      </c>
      <c r="O56" s="627">
        <f t="shared" si="8"/>
        <v>42.50071428571429</v>
      </c>
      <c r="P56" s="603"/>
      <c r="Q56" s="581"/>
      <c r="R56" s="650"/>
    </row>
    <row r="57" spans="1:18" ht="15.75" customHeight="1">
      <c r="A57" s="647">
        <v>4300</v>
      </c>
      <c r="B57" s="651" t="s">
        <v>199</v>
      </c>
      <c r="C57" s="603">
        <v>30000</v>
      </c>
      <c r="D57" s="581">
        <f t="shared" si="7"/>
        <v>30000</v>
      </c>
      <c r="E57" s="581">
        <f t="shared" si="9"/>
        <v>5414</v>
      </c>
      <c r="F57" s="582">
        <f t="shared" si="3"/>
        <v>18.046666666666667</v>
      </c>
      <c r="G57" s="581"/>
      <c r="H57" s="586"/>
      <c r="I57" s="649"/>
      <c r="J57" s="586"/>
      <c r="K57" s="581"/>
      <c r="L57" s="587"/>
      <c r="M57" s="693">
        <v>30000</v>
      </c>
      <c r="N57" s="581">
        <v>5414</v>
      </c>
      <c r="O57" s="627">
        <f t="shared" si="8"/>
        <v>18.046666666666667</v>
      </c>
      <c r="P57" s="603"/>
      <c r="Q57" s="581"/>
      <c r="R57" s="650"/>
    </row>
    <row r="58" spans="1:18" ht="39" customHeight="1">
      <c r="A58" s="647">
        <v>4390</v>
      </c>
      <c r="B58" s="651" t="s">
        <v>222</v>
      </c>
      <c r="C58" s="603">
        <v>3000</v>
      </c>
      <c r="D58" s="581">
        <f t="shared" si="7"/>
        <v>3000</v>
      </c>
      <c r="E58" s="581">
        <f>SUM(H58+K58+N58+Q58)</f>
        <v>0</v>
      </c>
      <c r="F58" s="582">
        <f>E58/D58*100</f>
        <v>0</v>
      </c>
      <c r="G58" s="581"/>
      <c r="H58" s="586"/>
      <c r="I58" s="649"/>
      <c r="J58" s="586"/>
      <c r="K58" s="581"/>
      <c r="L58" s="587"/>
      <c r="M58" s="693">
        <v>3000</v>
      </c>
      <c r="N58" s="581"/>
      <c r="O58" s="627">
        <f t="shared" si="8"/>
        <v>0</v>
      </c>
      <c r="P58" s="603"/>
      <c r="Q58" s="581"/>
      <c r="R58" s="650"/>
    </row>
    <row r="59" spans="1:18" ht="12.75" hidden="1">
      <c r="A59" s="647">
        <v>4580</v>
      </c>
      <c r="B59" s="651" t="s">
        <v>223</v>
      </c>
      <c r="C59" s="603"/>
      <c r="D59" s="581">
        <f t="shared" si="7"/>
        <v>0</v>
      </c>
      <c r="E59" s="581">
        <f>SUM(H59+K59+N59+Q59)</f>
        <v>0</v>
      </c>
      <c r="F59" s="582" t="e">
        <f>E59/D59*100</f>
        <v>#DIV/0!</v>
      </c>
      <c r="G59" s="581"/>
      <c r="H59" s="586"/>
      <c r="I59" s="649"/>
      <c r="J59" s="586"/>
      <c r="K59" s="581"/>
      <c r="L59" s="587"/>
      <c r="M59" s="693"/>
      <c r="N59" s="581"/>
      <c r="O59" s="627" t="e">
        <f t="shared" si="8"/>
        <v>#DIV/0!</v>
      </c>
      <c r="P59" s="603"/>
      <c r="Q59" s="581"/>
      <c r="R59" s="650"/>
    </row>
    <row r="60" spans="1:18" ht="60" hidden="1">
      <c r="A60" s="647">
        <v>4600</v>
      </c>
      <c r="B60" s="651" t="s">
        <v>614</v>
      </c>
      <c r="C60" s="603"/>
      <c r="D60" s="581">
        <f t="shared" si="7"/>
        <v>0</v>
      </c>
      <c r="E60" s="581">
        <f>SUM(H60+K60+N60+Q60)</f>
        <v>0</v>
      </c>
      <c r="F60" s="582" t="e">
        <f>E60/D60*100</f>
        <v>#DIV/0!</v>
      </c>
      <c r="G60" s="581"/>
      <c r="H60" s="586"/>
      <c r="I60" s="649"/>
      <c r="J60" s="586"/>
      <c r="K60" s="581"/>
      <c r="L60" s="587"/>
      <c r="M60" s="693"/>
      <c r="N60" s="581"/>
      <c r="O60" s="627" t="e">
        <f t="shared" si="8"/>
        <v>#DIV/0!</v>
      </c>
      <c r="P60" s="603"/>
      <c r="Q60" s="581"/>
      <c r="R60" s="650"/>
    </row>
    <row r="61" spans="1:18" ht="28.5" customHeight="1">
      <c r="A61" s="647">
        <v>6050</v>
      </c>
      <c r="B61" s="651" t="s">
        <v>225</v>
      </c>
      <c r="C61" s="603">
        <f>SUM(C62:C80)</f>
        <v>24291000</v>
      </c>
      <c r="D61" s="581">
        <f t="shared" si="7"/>
        <v>25230000</v>
      </c>
      <c r="E61" s="581">
        <f t="shared" si="9"/>
        <v>661367</v>
      </c>
      <c r="F61" s="582">
        <f t="shared" si="3"/>
        <v>2.621351565596512</v>
      </c>
      <c r="G61" s="581"/>
      <c r="H61" s="586"/>
      <c r="I61" s="649"/>
      <c r="J61" s="586"/>
      <c r="K61" s="581"/>
      <c r="L61" s="587"/>
      <c r="M61" s="693">
        <f>SUM(M62:M80)</f>
        <v>25230000</v>
      </c>
      <c r="N61" s="581">
        <f>SUM(N62:N80)</f>
        <v>661367</v>
      </c>
      <c r="O61" s="627">
        <f t="shared" si="8"/>
        <v>2.621351565596512</v>
      </c>
      <c r="P61" s="603"/>
      <c r="Q61" s="581"/>
      <c r="R61" s="629"/>
    </row>
    <row r="62" spans="1:26" s="702" customFormat="1" ht="24">
      <c r="A62" s="694"/>
      <c r="B62" s="695" t="s">
        <v>226</v>
      </c>
      <c r="C62" s="696">
        <v>100000</v>
      </c>
      <c r="D62" s="697">
        <f t="shared" si="7"/>
        <v>100000</v>
      </c>
      <c r="E62" s="697">
        <f t="shared" si="9"/>
        <v>0</v>
      </c>
      <c r="F62" s="582">
        <f t="shared" si="3"/>
        <v>0</v>
      </c>
      <c r="G62" s="697"/>
      <c r="H62" s="698"/>
      <c r="I62" s="587"/>
      <c r="J62" s="698"/>
      <c r="K62" s="697"/>
      <c r="L62" s="587"/>
      <c r="M62" s="696">
        <v>100000</v>
      </c>
      <c r="N62" s="697"/>
      <c r="O62" s="627">
        <f t="shared" si="8"/>
        <v>0</v>
      </c>
      <c r="P62" s="699"/>
      <c r="Q62" s="697"/>
      <c r="R62" s="629"/>
      <c r="S62" s="700"/>
      <c r="T62" s="700"/>
      <c r="U62" s="700"/>
      <c r="V62" s="700"/>
      <c r="W62" s="701"/>
      <c r="X62" s="701"/>
      <c r="Y62" s="701"/>
      <c r="Z62" s="701"/>
    </row>
    <row r="63" spans="1:26" s="702" customFormat="1" ht="36">
      <c r="A63" s="694"/>
      <c r="B63" s="695" t="s">
        <v>410</v>
      </c>
      <c r="C63" s="696">
        <v>200000</v>
      </c>
      <c r="D63" s="697">
        <f t="shared" si="7"/>
        <v>200000</v>
      </c>
      <c r="E63" s="697">
        <f t="shared" si="9"/>
        <v>0</v>
      </c>
      <c r="F63" s="582">
        <f t="shared" si="3"/>
        <v>0</v>
      </c>
      <c r="G63" s="697"/>
      <c r="H63" s="698"/>
      <c r="I63" s="587"/>
      <c r="J63" s="698"/>
      <c r="K63" s="697"/>
      <c r="L63" s="587"/>
      <c r="M63" s="696">
        <v>200000</v>
      </c>
      <c r="N63" s="697"/>
      <c r="O63" s="627">
        <f t="shared" si="8"/>
        <v>0</v>
      </c>
      <c r="P63" s="699"/>
      <c r="Q63" s="697"/>
      <c r="R63" s="629"/>
      <c r="S63" s="700"/>
      <c r="T63" s="700"/>
      <c r="U63" s="700"/>
      <c r="V63" s="700"/>
      <c r="W63" s="701"/>
      <c r="X63" s="701"/>
      <c r="Y63" s="701"/>
      <c r="Z63" s="701"/>
    </row>
    <row r="64" spans="1:26" s="702" customFormat="1" ht="24">
      <c r="A64" s="694"/>
      <c r="B64" s="695" t="s">
        <v>411</v>
      </c>
      <c r="C64" s="696">
        <v>500000</v>
      </c>
      <c r="D64" s="697">
        <f t="shared" si="7"/>
        <v>500000</v>
      </c>
      <c r="E64" s="697">
        <f>SUM(H64+K64+N64+Q64)</f>
        <v>0</v>
      </c>
      <c r="F64" s="582">
        <f t="shared" si="3"/>
        <v>0</v>
      </c>
      <c r="G64" s="697"/>
      <c r="H64" s="698"/>
      <c r="I64" s="587"/>
      <c r="J64" s="698"/>
      <c r="K64" s="697"/>
      <c r="L64" s="587"/>
      <c r="M64" s="696">
        <v>500000</v>
      </c>
      <c r="N64" s="697"/>
      <c r="O64" s="627">
        <f t="shared" si="8"/>
        <v>0</v>
      </c>
      <c r="P64" s="699"/>
      <c r="Q64" s="697"/>
      <c r="R64" s="629"/>
      <c r="S64" s="700"/>
      <c r="T64" s="700"/>
      <c r="U64" s="700"/>
      <c r="V64" s="700"/>
      <c r="W64" s="701"/>
      <c r="X64" s="701"/>
      <c r="Y64" s="701"/>
      <c r="Z64" s="701"/>
    </row>
    <row r="65" spans="1:26" s="702" customFormat="1" ht="36">
      <c r="A65" s="694"/>
      <c r="B65" s="695" t="s">
        <v>412</v>
      </c>
      <c r="C65" s="696">
        <v>20000</v>
      </c>
      <c r="D65" s="697">
        <f t="shared" si="7"/>
        <v>20000</v>
      </c>
      <c r="E65" s="697">
        <f t="shared" si="9"/>
        <v>0</v>
      </c>
      <c r="F65" s="582">
        <f>E65/D65*100</f>
        <v>0</v>
      </c>
      <c r="G65" s="697"/>
      <c r="H65" s="698"/>
      <c r="I65" s="587"/>
      <c r="J65" s="698"/>
      <c r="K65" s="697"/>
      <c r="L65" s="587"/>
      <c r="M65" s="696">
        <v>20000</v>
      </c>
      <c r="N65" s="697"/>
      <c r="O65" s="585">
        <f t="shared" si="8"/>
        <v>0</v>
      </c>
      <c r="P65" s="699"/>
      <c r="Q65" s="697"/>
      <c r="R65" s="629"/>
      <c r="S65" s="700"/>
      <c r="T65" s="700"/>
      <c r="U65" s="700"/>
      <c r="V65" s="700"/>
      <c r="W65" s="701"/>
      <c r="X65" s="701"/>
      <c r="Y65" s="701"/>
      <c r="Z65" s="701"/>
    </row>
    <row r="66" spans="1:26" s="702" customFormat="1" ht="36" customHeight="1" hidden="1">
      <c r="A66" s="694"/>
      <c r="B66" s="695" t="s">
        <v>227</v>
      </c>
      <c r="C66" s="696"/>
      <c r="D66" s="697">
        <f t="shared" si="7"/>
        <v>0</v>
      </c>
      <c r="E66" s="697">
        <f>SUM(H66+K66+N66+Q66)</f>
        <v>0</v>
      </c>
      <c r="F66" s="582" t="e">
        <f>E66/D66*100</f>
        <v>#DIV/0!</v>
      </c>
      <c r="G66" s="697"/>
      <c r="H66" s="698"/>
      <c r="I66" s="587"/>
      <c r="J66" s="698"/>
      <c r="K66" s="697"/>
      <c r="L66" s="587"/>
      <c r="M66" s="696"/>
      <c r="N66" s="697"/>
      <c r="O66" s="585" t="e">
        <f t="shared" si="8"/>
        <v>#DIV/0!</v>
      </c>
      <c r="P66" s="699"/>
      <c r="Q66" s="697"/>
      <c r="R66" s="629"/>
      <c r="S66" s="700"/>
      <c r="T66" s="700"/>
      <c r="U66" s="700"/>
      <c r="V66" s="700"/>
      <c r="W66" s="701"/>
      <c r="X66" s="701"/>
      <c r="Y66" s="701"/>
      <c r="Z66" s="701"/>
    </row>
    <row r="67" spans="1:26" s="702" customFormat="1" ht="13.5" customHeight="1" hidden="1">
      <c r="A67" s="694"/>
      <c r="B67" s="695" t="s">
        <v>228</v>
      </c>
      <c r="C67" s="696"/>
      <c r="D67" s="697">
        <f t="shared" si="7"/>
        <v>0</v>
      </c>
      <c r="E67" s="697">
        <f t="shared" si="9"/>
        <v>0</v>
      </c>
      <c r="F67" s="582" t="e">
        <f aca="true" t="shared" si="10" ref="F67:F87">E67/D67*100</f>
        <v>#DIV/0!</v>
      </c>
      <c r="G67" s="697"/>
      <c r="H67" s="698"/>
      <c r="I67" s="587"/>
      <c r="J67" s="698"/>
      <c r="K67" s="697"/>
      <c r="L67" s="587"/>
      <c r="M67" s="696"/>
      <c r="N67" s="697"/>
      <c r="O67" s="585" t="e">
        <f t="shared" si="8"/>
        <v>#DIV/0!</v>
      </c>
      <c r="P67" s="699"/>
      <c r="Q67" s="697"/>
      <c r="R67" s="629"/>
      <c r="S67" s="700"/>
      <c r="T67" s="700"/>
      <c r="U67" s="700"/>
      <c r="V67" s="700"/>
      <c r="W67" s="701"/>
      <c r="X67" s="701"/>
      <c r="Y67" s="701"/>
      <c r="Z67" s="701"/>
    </row>
    <row r="68" spans="1:26" s="702" customFormat="1" ht="12.75">
      <c r="A68" s="694"/>
      <c r="B68" s="695" t="s">
        <v>413</v>
      </c>
      <c r="C68" s="696">
        <v>3271000</v>
      </c>
      <c r="D68" s="697">
        <f t="shared" si="7"/>
        <v>3271000</v>
      </c>
      <c r="E68" s="697">
        <f t="shared" si="9"/>
        <v>0</v>
      </c>
      <c r="F68" s="582">
        <f t="shared" si="10"/>
        <v>0</v>
      </c>
      <c r="G68" s="697"/>
      <c r="H68" s="698"/>
      <c r="I68" s="587"/>
      <c r="J68" s="698"/>
      <c r="K68" s="697"/>
      <c r="L68" s="587"/>
      <c r="M68" s="696">
        <v>3271000</v>
      </c>
      <c r="N68" s="697"/>
      <c r="O68" s="585">
        <f t="shared" si="8"/>
        <v>0</v>
      </c>
      <c r="P68" s="699"/>
      <c r="Q68" s="697"/>
      <c r="R68" s="629"/>
      <c r="S68" s="700"/>
      <c r="T68" s="700"/>
      <c r="U68" s="700"/>
      <c r="V68" s="700"/>
      <c r="W68" s="701"/>
      <c r="X68" s="701"/>
      <c r="Y68" s="701"/>
      <c r="Z68" s="701"/>
    </row>
    <row r="69" spans="1:26" s="702" customFormat="1" ht="27.75" customHeight="1">
      <c r="A69" s="694"/>
      <c r="B69" s="695" t="s">
        <v>414</v>
      </c>
      <c r="C69" s="696">
        <v>150000</v>
      </c>
      <c r="D69" s="697">
        <f t="shared" si="7"/>
        <v>150000</v>
      </c>
      <c r="E69" s="697">
        <f t="shared" si="9"/>
        <v>0</v>
      </c>
      <c r="F69" s="582">
        <f t="shared" si="10"/>
        <v>0</v>
      </c>
      <c r="G69" s="697"/>
      <c r="H69" s="698"/>
      <c r="I69" s="587"/>
      <c r="J69" s="698"/>
      <c r="K69" s="697"/>
      <c r="L69" s="587"/>
      <c r="M69" s="696">
        <v>150000</v>
      </c>
      <c r="N69" s="697"/>
      <c r="O69" s="585">
        <f t="shared" si="8"/>
        <v>0</v>
      </c>
      <c r="P69" s="699"/>
      <c r="Q69" s="697"/>
      <c r="R69" s="629"/>
      <c r="S69" s="700"/>
      <c r="T69" s="700"/>
      <c r="U69" s="700"/>
      <c r="V69" s="700"/>
      <c r="W69" s="701"/>
      <c r="X69" s="701"/>
      <c r="Y69" s="701"/>
      <c r="Z69" s="701"/>
    </row>
    <row r="70" spans="1:26" s="702" customFormat="1" ht="36" hidden="1">
      <c r="A70" s="694"/>
      <c r="B70" s="695" t="s">
        <v>229</v>
      </c>
      <c r="C70" s="696"/>
      <c r="D70" s="697">
        <f t="shared" si="7"/>
        <v>0</v>
      </c>
      <c r="E70" s="697">
        <f t="shared" si="9"/>
        <v>0</v>
      </c>
      <c r="F70" s="582" t="e">
        <f t="shared" si="10"/>
        <v>#DIV/0!</v>
      </c>
      <c r="G70" s="697"/>
      <c r="H70" s="698"/>
      <c r="I70" s="587"/>
      <c r="J70" s="698"/>
      <c r="K70" s="697"/>
      <c r="L70" s="587"/>
      <c r="M70" s="696"/>
      <c r="N70" s="697"/>
      <c r="O70" s="585" t="e">
        <f t="shared" si="8"/>
        <v>#DIV/0!</v>
      </c>
      <c r="P70" s="699"/>
      <c r="Q70" s="697"/>
      <c r="R70" s="629"/>
      <c r="S70" s="700"/>
      <c r="T70" s="700"/>
      <c r="U70" s="700"/>
      <c r="V70" s="700"/>
      <c r="W70" s="701"/>
      <c r="X70" s="701"/>
      <c r="Y70" s="701"/>
      <c r="Z70" s="701"/>
    </row>
    <row r="71" spans="1:26" s="702" customFormat="1" ht="36">
      <c r="A71" s="694"/>
      <c r="B71" s="695" t="s">
        <v>230</v>
      </c>
      <c r="C71" s="696">
        <v>5800000</v>
      </c>
      <c r="D71" s="697">
        <f t="shared" si="7"/>
        <v>5800000</v>
      </c>
      <c r="E71" s="697">
        <f t="shared" si="9"/>
        <v>656193</v>
      </c>
      <c r="F71" s="582">
        <f t="shared" si="10"/>
        <v>11.313672413793103</v>
      </c>
      <c r="G71" s="697"/>
      <c r="H71" s="698"/>
      <c r="I71" s="587"/>
      <c r="J71" s="698"/>
      <c r="K71" s="697"/>
      <c r="L71" s="587"/>
      <c r="M71" s="696">
        <v>5800000</v>
      </c>
      <c r="N71" s="697">
        <v>656193</v>
      </c>
      <c r="O71" s="585">
        <f t="shared" si="8"/>
        <v>11.313672413793103</v>
      </c>
      <c r="P71" s="699"/>
      <c r="Q71" s="697"/>
      <c r="R71" s="629"/>
      <c r="S71" s="700"/>
      <c r="T71" s="700"/>
      <c r="U71" s="700"/>
      <c r="V71" s="700"/>
      <c r="W71" s="701"/>
      <c r="X71" s="701"/>
      <c r="Y71" s="701"/>
      <c r="Z71" s="701"/>
    </row>
    <row r="72" spans="1:26" s="702" customFormat="1" ht="60">
      <c r="A72" s="694"/>
      <c r="B72" s="695" t="s">
        <v>258</v>
      </c>
      <c r="C72" s="696">
        <v>1770000</v>
      </c>
      <c r="D72" s="697">
        <f aca="true" t="shared" si="11" ref="D72:D135">G72+J72+P72+M72</f>
        <v>1270000</v>
      </c>
      <c r="E72" s="697">
        <f t="shared" si="9"/>
        <v>1898</v>
      </c>
      <c r="F72" s="582">
        <f>E72/D72*100</f>
        <v>0.14944881889763778</v>
      </c>
      <c r="G72" s="697"/>
      <c r="H72" s="698"/>
      <c r="I72" s="587"/>
      <c r="J72" s="698"/>
      <c r="K72" s="697"/>
      <c r="L72" s="587"/>
      <c r="M72" s="696">
        <f>1770000-500000</f>
        <v>1270000</v>
      </c>
      <c r="N72" s="697">
        <v>1898</v>
      </c>
      <c r="O72" s="585">
        <f t="shared" si="8"/>
        <v>0.14944881889763778</v>
      </c>
      <c r="P72" s="699"/>
      <c r="Q72" s="697"/>
      <c r="R72" s="629"/>
      <c r="S72" s="700"/>
      <c r="T72" s="700"/>
      <c r="U72" s="700"/>
      <c r="V72" s="700"/>
      <c r="W72" s="701"/>
      <c r="X72" s="701"/>
      <c r="Y72" s="701"/>
      <c r="Z72" s="701"/>
    </row>
    <row r="73" spans="1:26" s="702" customFormat="1" ht="24">
      <c r="A73" s="694"/>
      <c r="B73" s="695" t="s">
        <v>231</v>
      </c>
      <c r="C73" s="696">
        <v>400000</v>
      </c>
      <c r="D73" s="697">
        <f t="shared" si="11"/>
        <v>900000</v>
      </c>
      <c r="E73" s="697">
        <f t="shared" si="9"/>
        <v>2185</v>
      </c>
      <c r="F73" s="582">
        <f t="shared" si="10"/>
        <v>0.2427777777777778</v>
      </c>
      <c r="G73" s="697"/>
      <c r="H73" s="698"/>
      <c r="I73" s="587"/>
      <c r="J73" s="698"/>
      <c r="K73" s="697"/>
      <c r="L73" s="587"/>
      <c r="M73" s="696">
        <f>400000+500000</f>
        <v>900000</v>
      </c>
      <c r="N73" s="697">
        <v>2185</v>
      </c>
      <c r="O73" s="627">
        <f t="shared" si="8"/>
        <v>0.2427777777777778</v>
      </c>
      <c r="P73" s="699"/>
      <c r="Q73" s="697"/>
      <c r="R73" s="629"/>
      <c r="S73" s="700"/>
      <c r="T73" s="700"/>
      <c r="U73" s="700"/>
      <c r="V73" s="700"/>
      <c r="W73" s="701"/>
      <c r="X73" s="701"/>
      <c r="Y73" s="701"/>
      <c r="Z73" s="701"/>
    </row>
    <row r="74" spans="1:26" s="702" customFormat="1" ht="24">
      <c r="A74" s="694"/>
      <c r="B74" s="695" t="s">
        <v>415</v>
      </c>
      <c r="C74" s="696">
        <v>2500000</v>
      </c>
      <c r="D74" s="697">
        <f t="shared" si="11"/>
        <v>3439000</v>
      </c>
      <c r="E74" s="697">
        <f t="shared" si="9"/>
        <v>0</v>
      </c>
      <c r="F74" s="582">
        <f t="shared" si="10"/>
        <v>0</v>
      </c>
      <c r="G74" s="697"/>
      <c r="H74" s="698"/>
      <c r="I74" s="587"/>
      <c r="J74" s="698"/>
      <c r="K74" s="697"/>
      <c r="L74" s="587"/>
      <c r="M74" s="696">
        <f>2500000+939000</f>
        <v>3439000</v>
      </c>
      <c r="N74" s="697"/>
      <c r="O74" s="627">
        <f t="shared" si="8"/>
        <v>0</v>
      </c>
      <c r="P74" s="699"/>
      <c r="Q74" s="697"/>
      <c r="R74" s="629"/>
      <c r="S74" s="700"/>
      <c r="T74" s="700"/>
      <c r="U74" s="700"/>
      <c r="V74" s="700"/>
      <c r="W74" s="701"/>
      <c r="X74" s="701"/>
      <c r="Y74" s="701"/>
      <c r="Z74" s="701"/>
    </row>
    <row r="75" spans="1:26" s="702" customFormat="1" ht="24">
      <c r="A75" s="694"/>
      <c r="B75" s="695" t="s">
        <v>416</v>
      </c>
      <c r="C75" s="696">
        <v>350000</v>
      </c>
      <c r="D75" s="697">
        <f t="shared" si="11"/>
        <v>350000</v>
      </c>
      <c r="E75" s="697">
        <f t="shared" si="9"/>
        <v>586</v>
      </c>
      <c r="F75" s="582">
        <f t="shared" si="10"/>
        <v>0.16742857142857143</v>
      </c>
      <c r="G75" s="697"/>
      <c r="H75" s="698"/>
      <c r="I75" s="587"/>
      <c r="J75" s="698"/>
      <c r="K75" s="697"/>
      <c r="L75" s="587"/>
      <c r="M75" s="696">
        <v>350000</v>
      </c>
      <c r="N75" s="697">
        <v>586</v>
      </c>
      <c r="O75" s="627">
        <f t="shared" si="8"/>
        <v>0.16742857142857143</v>
      </c>
      <c r="P75" s="699"/>
      <c r="Q75" s="697"/>
      <c r="R75" s="629"/>
      <c r="S75" s="700"/>
      <c r="T75" s="700"/>
      <c r="U75" s="700"/>
      <c r="V75" s="700"/>
      <c r="W75" s="701"/>
      <c r="X75" s="701"/>
      <c r="Y75" s="701"/>
      <c r="Z75" s="701"/>
    </row>
    <row r="76" spans="1:26" s="702" customFormat="1" ht="36">
      <c r="A76" s="694"/>
      <c r="B76" s="695" t="s">
        <v>417</v>
      </c>
      <c r="C76" s="696">
        <v>500000</v>
      </c>
      <c r="D76" s="697">
        <f t="shared" si="11"/>
        <v>500000</v>
      </c>
      <c r="E76" s="697">
        <f t="shared" si="9"/>
        <v>0</v>
      </c>
      <c r="F76" s="582">
        <f t="shared" si="10"/>
        <v>0</v>
      </c>
      <c r="G76" s="697"/>
      <c r="H76" s="698"/>
      <c r="I76" s="587"/>
      <c r="J76" s="698"/>
      <c r="K76" s="697"/>
      <c r="L76" s="587"/>
      <c r="M76" s="696">
        <v>500000</v>
      </c>
      <c r="N76" s="697"/>
      <c r="O76" s="627">
        <f t="shared" si="8"/>
        <v>0</v>
      </c>
      <c r="P76" s="699"/>
      <c r="Q76" s="697"/>
      <c r="R76" s="629"/>
      <c r="S76" s="700"/>
      <c r="T76" s="700"/>
      <c r="U76" s="700"/>
      <c r="V76" s="700"/>
      <c r="W76" s="701"/>
      <c r="X76" s="701"/>
      <c r="Y76" s="701"/>
      <c r="Z76" s="701"/>
    </row>
    <row r="77" spans="1:26" s="702" customFormat="1" ht="48">
      <c r="A77" s="694"/>
      <c r="B77" s="695" t="s">
        <v>232</v>
      </c>
      <c r="C77" s="696">
        <v>8000000</v>
      </c>
      <c r="D77" s="697">
        <f t="shared" si="11"/>
        <v>8000000</v>
      </c>
      <c r="E77" s="697">
        <f t="shared" si="9"/>
        <v>505</v>
      </c>
      <c r="F77" s="582">
        <f t="shared" si="10"/>
        <v>0.0063125</v>
      </c>
      <c r="G77" s="697"/>
      <c r="H77" s="698"/>
      <c r="I77" s="587"/>
      <c r="J77" s="698"/>
      <c r="K77" s="697"/>
      <c r="L77" s="587"/>
      <c r="M77" s="696">
        <v>8000000</v>
      </c>
      <c r="N77" s="697">
        <v>505</v>
      </c>
      <c r="O77" s="627">
        <f t="shared" si="8"/>
        <v>0.0063125</v>
      </c>
      <c r="P77" s="699"/>
      <c r="Q77" s="697"/>
      <c r="R77" s="629"/>
      <c r="S77" s="700"/>
      <c r="T77" s="700"/>
      <c r="U77" s="700"/>
      <c r="V77" s="700"/>
      <c r="W77" s="701"/>
      <c r="X77" s="701"/>
      <c r="Y77" s="701"/>
      <c r="Z77" s="701"/>
    </row>
    <row r="78" spans="1:26" s="702" customFormat="1" ht="48">
      <c r="A78" s="694"/>
      <c r="B78" s="695" t="s">
        <v>418</v>
      </c>
      <c r="C78" s="696">
        <v>480000</v>
      </c>
      <c r="D78" s="697">
        <f t="shared" si="11"/>
        <v>480000</v>
      </c>
      <c r="E78" s="697">
        <f>SUM(H78+K78+N78+Q78)</f>
        <v>0</v>
      </c>
      <c r="F78" s="582">
        <f>E78/D78*100</f>
        <v>0</v>
      </c>
      <c r="G78" s="697"/>
      <c r="H78" s="698"/>
      <c r="I78" s="587"/>
      <c r="J78" s="698"/>
      <c r="K78" s="697"/>
      <c r="L78" s="587"/>
      <c r="M78" s="696">
        <v>480000</v>
      </c>
      <c r="N78" s="697"/>
      <c r="O78" s="627">
        <f t="shared" si="8"/>
        <v>0</v>
      </c>
      <c r="P78" s="699"/>
      <c r="Q78" s="697"/>
      <c r="R78" s="629"/>
      <c r="S78" s="700"/>
      <c r="T78" s="700"/>
      <c r="U78" s="700"/>
      <c r="V78" s="700"/>
      <c r="W78" s="701"/>
      <c r="X78" s="701"/>
      <c r="Y78" s="701"/>
      <c r="Z78" s="701"/>
    </row>
    <row r="79" spans="1:26" s="702" customFormat="1" ht="24">
      <c r="A79" s="694"/>
      <c r="B79" s="703" t="s">
        <v>259</v>
      </c>
      <c r="C79" s="696">
        <v>200000</v>
      </c>
      <c r="D79" s="697">
        <f t="shared" si="11"/>
        <v>200000</v>
      </c>
      <c r="E79" s="697">
        <f>SUM(H79+K79+N79+Q79)</f>
        <v>0</v>
      </c>
      <c r="F79" s="582">
        <f>E79/D79*100</f>
        <v>0</v>
      </c>
      <c r="G79" s="697"/>
      <c r="H79" s="698"/>
      <c r="I79" s="587"/>
      <c r="J79" s="698"/>
      <c r="K79" s="697"/>
      <c r="L79" s="587"/>
      <c r="M79" s="696">
        <v>200000</v>
      </c>
      <c r="N79" s="697"/>
      <c r="O79" s="627">
        <f t="shared" si="8"/>
        <v>0</v>
      </c>
      <c r="P79" s="699"/>
      <c r="Q79" s="697"/>
      <c r="R79" s="629"/>
      <c r="S79" s="700"/>
      <c r="T79" s="700"/>
      <c r="U79" s="700"/>
      <c r="V79" s="700"/>
      <c r="W79" s="701"/>
      <c r="X79" s="701"/>
      <c r="Y79" s="701"/>
      <c r="Z79" s="701"/>
    </row>
    <row r="80" spans="1:26" s="702" customFormat="1" ht="12" customHeight="1">
      <c r="A80" s="704"/>
      <c r="B80" s="705" t="s">
        <v>243</v>
      </c>
      <c r="C80" s="706">
        <v>50000</v>
      </c>
      <c r="D80" s="707">
        <f t="shared" si="11"/>
        <v>50000</v>
      </c>
      <c r="E80" s="707">
        <f t="shared" si="9"/>
        <v>0</v>
      </c>
      <c r="F80" s="643">
        <f t="shared" si="10"/>
        <v>0</v>
      </c>
      <c r="G80" s="707"/>
      <c r="H80" s="708"/>
      <c r="I80" s="677"/>
      <c r="J80" s="708"/>
      <c r="K80" s="707"/>
      <c r="L80" s="677"/>
      <c r="M80" s="706">
        <v>50000</v>
      </c>
      <c r="N80" s="707"/>
      <c r="O80" s="644">
        <f t="shared" si="8"/>
        <v>0</v>
      </c>
      <c r="P80" s="709"/>
      <c r="Q80" s="707"/>
      <c r="R80" s="710"/>
      <c r="S80" s="700"/>
      <c r="T80" s="700"/>
      <c r="U80" s="700"/>
      <c r="V80" s="700"/>
      <c r="W80" s="701"/>
      <c r="X80" s="701"/>
      <c r="Y80" s="701"/>
      <c r="Z80" s="701"/>
    </row>
    <row r="81" spans="1:18" ht="48" hidden="1">
      <c r="A81" s="647">
        <v>6058</v>
      </c>
      <c r="B81" s="651" t="s">
        <v>419</v>
      </c>
      <c r="C81" s="603"/>
      <c r="D81" s="581">
        <f t="shared" si="11"/>
        <v>0</v>
      </c>
      <c r="E81" s="581">
        <f t="shared" si="9"/>
        <v>0</v>
      </c>
      <c r="F81" s="582" t="e">
        <f t="shared" si="10"/>
        <v>#DIV/0!</v>
      </c>
      <c r="G81" s="581"/>
      <c r="H81" s="586"/>
      <c r="I81" s="649"/>
      <c r="J81" s="586"/>
      <c r="K81" s="581"/>
      <c r="L81" s="587"/>
      <c r="M81" s="693"/>
      <c r="N81" s="581"/>
      <c r="O81" s="585" t="e">
        <f t="shared" si="8"/>
        <v>#DIV/0!</v>
      </c>
      <c r="P81" s="603"/>
      <c r="Q81" s="581"/>
      <c r="R81" s="650"/>
    </row>
    <row r="82" spans="1:18" ht="48" hidden="1">
      <c r="A82" s="647">
        <v>6059</v>
      </c>
      <c r="B82" s="651" t="s">
        <v>419</v>
      </c>
      <c r="C82" s="603"/>
      <c r="D82" s="581">
        <f t="shared" si="11"/>
        <v>0</v>
      </c>
      <c r="E82" s="581">
        <f t="shared" si="9"/>
        <v>0</v>
      </c>
      <c r="F82" s="582" t="e">
        <f t="shared" si="10"/>
        <v>#DIV/0!</v>
      </c>
      <c r="G82" s="581"/>
      <c r="H82" s="586"/>
      <c r="I82" s="649"/>
      <c r="J82" s="586"/>
      <c r="K82" s="581"/>
      <c r="L82" s="587"/>
      <c r="M82" s="693"/>
      <c r="N82" s="581"/>
      <c r="O82" s="585" t="e">
        <f t="shared" si="8"/>
        <v>#DIV/0!</v>
      </c>
      <c r="P82" s="603"/>
      <c r="Q82" s="581"/>
      <c r="R82" s="650"/>
    </row>
    <row r="83" spans="1:18" ht="48" hidden="1">
      <c r="A83" s="647">
        <v>6058</v>
      </c>
      <c r="B83" s="651" t="s">
        <v>233</v>
      </c>
      <c r="C83" s="603"/>
      <c r="D83" s="581">
        <f t="shared" si="11"/>
        <v>0</v>
      </c>
      <c r="E83" s="581">
        <f t="shared" si="9"/>
        <v>0</v>
      </c>
      <c r="F83" s="582" t="e">
        <f t="shared" si="10"/>
        <v>#DIV/0!</v>
      </c>
      <c r="G83" s="581"/>
      <c r="H83" s="586"/>
      <c r="I83" s="649"/>
      <c r="J83" s="586"/>
      <c r="K83" s="581"/>
      <c r="L83" s="587"/>
      <c r="M83" s="693"/>
      <c r="N83" s="581"/>
      <c r="O83" s="585" t="e">
        <f t="shared" si="8"/>
        <v>#DIV/0!</v>
      </c>
      <c r="P83" s="603"/>
      <c r="Q83" s="581"/>
      <c r="R83" s="650"/>
    </row>
    <row r="84" spans="1:18" ht="48" hidden="1">
      <c r="A84" s="647">
        <v>6059</v>
      </c>
      <c r="B84" s="651" t="s">
        <v>233</v>
      </c>
      <c r="C84" s="603"/>
      <c r="D84" s="581">
        <f t="shared" si="11"/>
        <v>0</v>
      </c>
      <c r="E84" s="581">
        <f t="shared" si="9"/>
        <v>0</v>
      </c>
      <c r="F84" s="582" t="e">
        <f t="shared" si="10"/>
        <v>#DIV/0!</v>
      </c>
      <c r="G84" s="581"/>
      <c r="H84" s="586"/>
      <c r="I84" s="649"/>
      <c r="J84" s="586"/>
      <c r="K84" s="581"/>
      <c r="L84" s="587"/>
      <c r="M84" s="693"/>
      <c r="N84" s="581"/>
      <c r="O84" s="585" t="e">
        <f t="shared" si="8"/>
        <v>#DIV/0!</v>
      </c>
      <c r="P84" s="603"/>
      <c r="Q84" s="581"/>
      <c r="R84" s="650"/>
    </row>
    <row r="85" spans="1:18" ht="48" hidden="1">
      <c r="A85" s="647">
        <v>6051</v>
      </c>
      <c r="B85" s="651" t="s">
        <v>420</v>
      </c>
      <c r="C85" s="603"/>
      <c r="D85" s="581">
        <f t="shared" si="11"/>
        <v>0</v>
      </c>
      <c r="E85" s="581">
        <f t="shared" si="9"/>
        <v>0</v>
      </c>
      <c r="F85" s="582" t="e">
        <f t="shared" si="10"/>
        <v>#DIV/0!</v>
      </c>
      <c r="G85" s="581"/>
      <c r="H85" s="586"/>
      <c r="I85" s="649"/>
      <c r="J85" s="586"/>
      <c r="K85" s="581"/>
      <c r="L85" s="587"/>
      <c r="M85" s="693"/>
      <c r="N85" s="581"/>
      <c r="O85" s="585" t="e">
        <f t="shared" si="8"/>
        <v>#DIV/0!</v>
      </c>
      <c r="P85" s="603"/>
      <c r="Q85" s="581"/>
      <c r="R85" s="650"/>
    </row>
    <row r="86" spans="1:18" ht="60" hidden="1">
      <c r="A86" s="647">
        <v>6053</v>
      </c>
      <c r="B86" s="651" t="s">
        <v>421</v>
      </c>
      <c r="C86" s="603"/>
      <c r="D86" s="581">
        <f t="shared" si="11"/>
        <v>0</v>
      </c>
      <c r="E86" s="581">
        <f t="shared" si="9"/>
        <v>0</v>
      </c>
      <c r="F86" s="582" t="e">
        <f t="shared" si="10"/>
        <v>#DIV/0!</v>
      </c>
      <c r="G86" s="581"/>
      <c r="H86" s="586"/>
      <c r="I86" s="649"/>
      <c r="J86" s="586"/>
      <c r="K86" s="581"/>
      <c r="L86" s="587"/>
      <c r="M86" s="693"/>
      <c r="N86" s="675"/>
      <c r="O86" s="585" t="e">
        <f t="shared" si="8"/>
        <v>#DIV/0!</v>
      </c>
      <c r="P86" s="603"/>
      <c r="Q86" s="581"/>
      <c r="R86" s="650"/>
    </row>
    <row r="87" spans="1:26" s="639" customFormat="1" ht="12.75">
      <c r="A87" s="640">
        <v>60016</v>
      </c>
      <c r="B87" s="641" t="s">
        <v>234</v>
      </c>
      <c r="C87" s="593">
        <f>SUM(C89:C95)</f>
        <v>9381000</v>
      </c>
      <c r="D87" s="595">
        <f t="shared" si="11"/>
        <v>9466700</v>
      </c>
      <c r="E87" s="595">
        <f>H87+K87+Q87+N87</f>
        <v>1079714</v>
      </c>
      <c r="F87" s="596">
        <f t="shared" si="10"/>
        <v>11.405389417642896</v>
      </c>
      <c r="G87" s="594">
        <f>SUM(G88:G95)</f>
        <v>9466700</v>
      </c>
      <c r="H87" s="594">
        <f>SUM(H88:H95)</f>
        <v>1079714</v>
      </c>
      <c r="I87" s="602">
        <f aca="true" t="shared" si="12" ref="I87:I150">H87/G87*100</f>
        <v>11.405389417642896</v>
      </c>
      <c r="J87" s="690"/>
      <c r="K87" s="594"/>
      <c r="L87" s="682"/>
      <c r="M87" s="594"/>
      <c r="N87" s="594"/>
      <c r="O87" s="711"/>
      <c r="P87" s="593"/>
      <c r="Q87" s="594"/>
      <c r="R87" s="646"/>
      <c r="S87" s="564"/>
      <c r="T87" s="564"/>
      <c r="U87" s="564"/>
      <c r="V87" s="564"/>
      <c r="W87" s="565"/>
      <c r="X87" s="565"/>
      <c r="Y87" s="565"/>
      <c r="Z87" s="565"/>
    </row>
    <row r="88" spans="1:18" ht="24" hidden="1">
      <c r="A88" s="647">
        <v>4170</v>
      </c>
      <c r="B88" s="648" t="s">
        <v>221</v>
      </c>
      <c r="C88" s="603"/>
      <c r="D88" s="581">
        <f t="shared" si="11"/>
        <v>0</v>
      </c>
      <c r="E88" s="581">
        <f>SUM(H88+K88+N88+Q88)</f>
        <v>0</v>
      </c>
      <c r="F88" s="582"/>
      <c r="G88" s="603"/>
      <c r="H88" s="583"/>
      <c r="I88" s="585" t="e">
        <f>H88/G88*100</f>
        <v>#DIV/0!</v>
      </c>
      <c r="J88" s="584"/>
      <c r="K88" s="583"/>
      <c r="L88" s="585"/>
      <c r="M88" s="583"/>
      <c r="N88" s="583"/>
      <c r="O88" s="692"/>
      <c r="P88" s="580"/>
      <c r="Q88" s="583"/>
      <c r="R88" s="650"/>
    </row>
    <row r="89" spans="1:18" ht="24" hidden="1">
      <c r="A89" s="647">
        <v>4210</v>
      </c>
      <c r="B89" s="648" t="s">
        <v>191</v>
      </c>
      <c r="C89" s="603"/>
      <c r="D89" s="581">
        <f t="shared" si="11"/>
        <v>0</v>
      </c>
      <c r="E89" s="581">
        <f t="shared" si="9"/>
        <v>0</v>
      </c>
      <c r="F89" s="582" t="e">
        <f aca="true" t="shared" si="13" ref="F89:F102">E89/D89*100</f>
        <v>#DIV/0!</v>
      </c>
      <c r="G89" s="603"/>
      <c r="H89" s="583"/>
      <c r="I89" s="585" t="e">
        <f t="shared" si="12"/>
        <v>#DIV/0!</v>
      </c>
      <c r="J89" s="584"/>
      <c r="K89" s="583"/>
      <c r="L89" s="585"/>
      <c r="M89" s="583"/>
      <c r="N89" s="583"/>
      <c r="O89" s="692"/>
      <c r="P89" s="580"/>
      <c r="Q89" s="583"/>
      <c r="R89" s="650"/>
    </row>
    <row r="90" spans="1:18" ht="16.5" customHeight="1">
      <c r="A90" s="647">
        <v>4270</v>
      </c>
      <c r="B90" s="651" t="s">
        <v>197</v>
      </c>
      <c r="C90" s="603">
        <v>700000</v>
      </c>
      <c r="D90" s="581">
        <f t="shared" si="11"/>
        <v>700000</v>
      </c>
      <c r="E90" s="581">
        <f t="shared" si="9"/>
        <v>187016</v>
      </c>
      <c r="F90" s="582">
        <f t="shared" si="13"/>
        <v>26.716571428571427</v>
      </c>
      <c r="G90" s="603">
        <v>700000</v>
      </c>
      <c r="H90" s="581">
        <v>187016</v>
      </c>
      <c r="I90" s="585">
        <f t="shared" si="12"/>
        <v>26.716571428571427</v>
      </c>
      <c r="J90" s="586"/>
      <c r="K90" s="583"/>
      <c r="L90" s="585"/>
      <c r="M90" s="581"/>
      <c r="N90" s="581"/>
      <c r="O90" s="649"/>
      <c r="P90" s="603"/>
      <c r="Q90" s="581"/>
      <c r="R90" s="653"/>
    </row>
    <row r="91" spans="1:18" ht="14.25" customHeight="1">
      <c r="A91" s="647">
        <v>4300</v>
      </c>
      <c r="B91" s="651" t="s">
        <v>199</v>
      </c>
      <c r="C91" s="603">
        <v>45000</v>
      </c>
      <c r="D91" s="581">
        <f t="shared" si="11"/>
        <v>45000</v>
      </c>
      <c r="E91" s="581">
        <f t="shared" si="9"/>
        <v>6100</v>
      </c>
      <c r="F91" s="582">
        <f t="shared" si="13"/>
        <v>13.555555555555557</v>
      </c>
      <c r="G91" s="603">
        <v>45000</v>
      </c>
      <c r="H91" s="581">
        <v>6100</v>
      </c>
      <c r="I91" s="585">
        <f t="shared" si="12"/>
        <v>13.555555555555557</v>
      </c>
      <c r="J91" s="586"/>
      <c r="K91" s="583"/>
      <c r="L91" s="585"/>
      <c r="M91" s="581"/>
      <c r="N91" s="581"/>
      <c r="O91" s="649"/>
      <c r="P91" s="603"/>
      <c r="Q91" s="581"/>
      <c r="R91" s="653"/>
    </row>
    <row r="92" spans="1:18" ht="36.75" customHeight="1">
      <c r="A92" s="647">
        <v>4390</v>
      </c>
      <c r="B92" s="651" t="s">
        <v>222</v>
      </c>
      <c r="C92" s="603">
        <v>5000</v>
      </c>
      <c r="D92" s="581">
        <f t="shared" si="11"/>
        <v>5000</v>
      </c>
      <c r="E92" s="581">
        <f t="shared" si="9"/>
        <v>0</v>
      </c>
      <c r="F92" s="582">
        <f t="shared" si="13"/>
        <v>0</v>
      </c>
      <c r="G92" s="603">
        <v>5000</v>
      </c>
      <c r="H92" s="581"/>
      <c r="I92" s="585">
        <f t="shared" si="12"/>
        <v>0</v>
      </c>
      <c r="J92" s="586"/>
      <c r="K92" s="583"/>
      <c r="L92" s="585"/>
      <c r="M92" s="581"/>
      <c r="N92" s="581"/>
      <c r="O92" s="649"/>
      <c r="P92" s="603"/>
      <c r="Q92" s="581"/>
      <c r="R92" s="653"/>
    </row>
    <row r="93" spans="1:18" ht="12.75" hidden="1">
      <c r="A93" s="647">
        <v>4580</v>
      </c>
      <c r="B93" s="651" t="s">
        <v>223</v>
      </c>
      <c r="C93" s="603"/>
      <c r="D93" s="581">
        <f t="shared" si="11"/>
        <v>0</v>
      </c>
      <c r="E93" s="581">
        <f>SUM(H93+K93+N93+Q93)</f>
        <v>0</v>
      </c>
      <c r="F93" s="582" t="e">
        <f>E93/D93*100</f>
        <v>#DIV/0!</v>
      </c>
      <c r="G93" s="603"/>
      <c r="H93" s="581"/>
      <c r="I93" s="627" t="e">
        <f t="shared" si="12"/>
        <v>#DIV/0!</v>
      </c>
      <c r="J93" s="586"/>
      <c r="K93" s="583"/>
      <c r="L93" s="585"/>
      <c r="M93" s="581"/>
      <c r="N93" s="581"/>
      <c r="O93" s="649"/>
      <c r="P93" s="603"/>
      <c r="Q93" s="581"/>
      <c r="R93" s="653"/>
    </row>
    <row r="94" spans="1:18" ht="36" hidden="1">
      <c r="A94" s="647">
        <v>4610</v>
      </c>
      <c r="B94" s="712" t="s">
        <v>224</v>
      </c>
      <c r="C94" s="603"/>
      <c r="D94" s="581">
        <f t="shared" si="11"/>
        <v>0</v>
      </c>
      <c r="E94" s="581">
        <f t="shared" si="9"/>
        <v>0</v>
      </c>
      <c r="F94" s="582" t="e">
        <f t="shared" si="13"/>
        <v>#DIV/0!</v>
      </c>
      <c r="G94" s="603"/>
      <c r="H94" s="581"/>
      <c r="I94" s="627" t="e">
        <f t="shared" si="12"/>
        <v>#DIV/0!</v>
      </c>
      <c r="J94" s="586"/>
      <c r="K94" s="583"/>
      <c r="L94" s="585"/>
      <c r="M94" s="581"/>
      <c r="N94" s="581"/>
      <c r="O94" s="649"/>
      <c r="P94" s="603"/>
      <c r="Q94" s="581"/>
      <c r="R94" s="649"/>
    </row>
    <row r="95" spans="1:18" ht="24.75" customHeight="1">
      <c r="A95" s="647">
        <v>6050</v>
      </c>
      <c r="B95" s="712" t="s">
        <v>225</v>
      </c>
      <c r="C95" s="603">
        <f>SUM(C96:C115)</f>
        <v>8631000</v>
      </c>
      <c r="D95" s="581">
        <f t="shared" si="11"/>
        <v>8716700</v>
      </c>
      <c r="E95" s="581">
        <f>SUM(H95+K95+N95+Q95)</f>
        <v>886598</v>
      </c>
      <c r="F95" s="582">
        <f>E95/D95*100</f>
        <v>10.171257471290742</v>
      </c>
      <c r="G95" s="603">
        <f>SUM(G96:G115)</f>
        <v>8716700</v>
      </c>
      <c r="H95" s="581">
        <f>SUM(H96:H115)</f>
        <v>886598</v>
      </c>
      <c r="I95" s="585">
        <f t="shared" si="12"/>
        <v>10.171257471290742</v>
      </c>
      <c r="J95" s="586"/>
      <c r="K95" s="583"/>
      <c r="L95" s="585"/>
      <c r="M95" s="581"/>
      <c r="N95" s="581"/>
      <c r="O95" s="649"/>
      <c r="P95" s="603"/>
      <c r="Q95" s="581"/>
      <c r="R95" s="653"/>
    </row>
    <row r="96" spans="1:26" s="702" customFormat="1" ht="12.75">
      <c r="A96" s="694"/>
      <c r="B96" s="713" t="s">
        <v>235</v>
      </c>
      <c r="C96" s="699">
        <v>600000</v>
      </c>
      <c r="D96" s="697">
        <f t="shared" si="11"/>
        <v>600000</v>
      </c>
      <c r="E96" s="697">
        <f t="shared" si="9"/>
        <v>153387</v>
      </c>
      <c r="F96" s="582">
        <f t="shared" si="13"/>
        <v>25.564500000000002</v>
      </c>
      <c r="G96" s="699">
        <v>600000</v>
      </c>
      <c r="H96" s="697">
        <f>50761+59385+43241</f>
        <v>153387</v>
      </c>
      <c r="I96" s="585">
        <f t="shared" si="12"/>
        <v>25.564500000000002</v>
      </c>
      <c r="J96" s="698"/>
      <c r="K96" s="714"/>
      <c r="L96" s="585"/>
      <c r="M96" s="697"/>
      <c r="N96" s="697"/>
      <c r="O96" s="587"/>
      <c r="P96" s="699"/>
      <c r="Q96" s="697"/>
      <c r="R96" s="715"/>
      <c r="S96" s="700"/>
      <c r="T96" s="700"/>
      <c r="U96" s="700"/>
      <c r="V96" s="700"/>
      <c r="W96" s="701"/>
      <c r="X96" s="701"/>
      <c r="Y96" s="701"/>
      <c r="Z96" s="701"/>
    </row>
    <row r="97" spans="1:26" s="702" customFormat="1" ht="24">
      <c r="A97" s="694"/>
      <c r="B97" s="713" t="s">
        <v>236</v>
      </c>
      <c r="C97" s="699">
        <v>1300000</v>
      </c>
      <c r="D97" s="697">
        <f t="shared" si="11"/>
        <v>1190000</v>
      </c>
      <c r="E97" s="697">
        <f t="shared" si="9"/>
        <v>1037</v>
      </c>
      <c r="F97" s="582">
        <f t="shared" si="13"/>
        <v>0.08714285714285713</v>
      </c>
      <c r="G97" s="699">
        <f>1300000-110000</f>
        <v>1190000</v>
      </c>
      <c r="H97" s="697">
        <v>1037</v>
      </c>
      <c r="I97" s="585">
        <f t="shared" si="12"/>
        <v>0.08714285714285713</v>
      </c>
      <c r="J97" s="698"/>
      <c r="K97" s="714"/>
      <c r="L97" s="585"/>
      <c r="M97" s="697"/>
      <c r="N97" s="697"/>
      <c r="O97" s="587"/>
      <c r="P97" s="699"/>
      <c r="Q97" s="697"/>
      <c r="R97" s="715"/>
      <c r="S97" s="700"/>
      <c r="T97" s="700"/>
      <c r="U97" s="700"/>
      <c r="V97" s="700"/>
      <c r="W97" s="701"/>
      <c r="X97" s="701"/>
      <c r="Y97" s="701"/>
      <c r="Z97" s="701"/>
    </row>
    <row r="98" spans="1:26" s="702" customFormat="1" ht="36">
      <c r="A98" s="694"/>
      <c r="B98" s="713" t="s">
        <v>237</v>
      </c>
      <c r="C98" s="699">
        <v>150000</v>
      </c>
      <c r="D98" s="697">
        <f t="shared" si="11"/>
        <v>150000</v>
      </c>
      <c r="E98" s="697">
        <f t="shared" si="9"/>
        <v>0</v>
      </c>
      <c r="F98" s="582">
        <f t="shared" si="13"/>
        <v>0</v>
      </c>
      <c r="G98" s="699">
        <v>150000</v>
      </c>
      <c r="H98" s="697"/>
      <c r="I98" s="585">
        <f t="shared" si="12"/>
        <v>0</v>
      </c>
      <c r="J98" s="698"/>
      <c r="K98" s="714"/>
      <c r="L98" s="585"/>
      <c r="M98" s="697"/>
      <c r="N98" s="697"/>
      <c r="O98" s="587"/>
      <c r="P98" s="699"/>
      <c r="Q98" s="697"/>
      <c r="R98" s="715"/>
      <c r="S98" s="700"/>
      <c r="T98" s="700"/>
      <c r="U98" s="700"/>
      <c r="V98" s="700"/>
      <c r="W98" s="701"/>
      <c r="X98" s="701"/>
      <c r="Y98" s="701"/>
      <c r="Z98" s="701"/>
    </row>
    <row r="99" spans="1:26" s="702" customFormat="1" ht="36">
      <c r="A99" s="694"/>
      <c r="B99" s="713" t="s">
        <v>260</v>
      </c>
      <c r="C99" s="699">
        <v>1261000</v>
      </c>
      <c r="D99" s="697">
        <f t="shared" si="11"/>
        <v>1261000</v>
      </c>
      <c r="E99" s="697">
        <f t="shared" si="9"/>
        <v>0</v>
      </c>
      <c r="F99" s="582">
        <f t="shared" si="13"/>
        <v>0</v>
      </c>
      <c r="G99" s="699">
        <v>1261000</v>
      </c>
      <c r="H99" s="697"/>
      <c r="I99" s="585">
        <f t="shared" si="12"/>
        <v>0</v>
      </c>
      <c r="J99" s="698"/>
      <c r="K99" s="714"/>
      <c r="L99" s="585"/>
      <c r="M99" s="697"/>
      <c r="N99" s="697"/>
      <c r="O99" s="587"/>
      <c r="P99" s="699"/>
      <c r="Q99" s="697"/>
      <c r="R99" s="715"/>
      <c r="S99" s="700"/>
      <c r="T99" s="700"/>
      <c r="U99" s="700"/>
      <c r="V99" s="700"/>
      <c r="W99" s="701"/>
      <c r="X99" s="701"/>
      <c r="Y99" s="701"/>
      <c r="Z99" s="701"/>
    </row>
    <row r="100" spans="1:26" s="702" customFormat="1" ht="26.25" customHeight="1">
      <c r="A100" s="694"/>
      <c r="B100" s="713" t="s">
        <v>238</v>
      </c>
      <c r="C100" s="699">
        <v>100000</v>
      </c>
      <c r="D100" s="697">
        <f t="shared" si="11"/>
        <v>100000</v>
      </c>
      <c r="E100" s="697">
        <f>SUM(H100+K100+N100+Q100)</f>
        <v>0</v>
      </c>
      <c r="F100" s="582">
        <f t="shared" si="13"/>
        <v>0</v>
      </c>
      <c r="G100" s="699">
        <v>100000</v>
      </c>
      <c r="H100" s="697"/>
      <c r="I100" s="585">
        <f t="shared" si="12"/>
        <v>0</v>
      </c>
      <c r="J100" s="698"/>
      <c r="K100" s="714"/>
      <c r="L100" s="585"/>
      <c r="M100" s="697"/>
      <c r="N100" s="697"/>
      <c r="O100" s="587"/>
      <c r="P100" s="699"/>
      <c r="Q100" s="697"/>
      <c r="R100" s="715"/>
      <c r="S100" s="700"/>
      <c r="T100" s="700"/>
      <c r="U100" s="700"/>
      <c r="V100" s="700"/>
      <c r="W100" s="701"/>
      <c r="X100" s="701"/>
      <c r="Y100" s="701"/>
      <c r="Z100" s="701"/>
    </row>
    <row r="101" spans="1:26" s="702" customFormat="1" ht="12.75">
      <c r="A101" s="694"/>
      <c r="B101" s="713" t="s">
        <v>239</v>
      </c>
      <c r="C101" s="699">
        <v>100000</v>
      </c>
      <c r="D101" s="697">
        <f t="shared" si="11"/>
        <v>100000</v>
      </c>
      <c r="E101" s="697">
        <f t="shared" si="9"/>
        <v>0</v>
      </c>
      <c r="F101" s="582">
        <f t="shared" si="13"/>
        <v>0</v>
      </c>
      <c r="G101" s="699">
        <v>100000</v>
      </c>
      <c r="H101" s="697"/>
      <c r="I101" s="585">
        <f t="shared" si="12"/>
        <v>0</v>
      </c>
      <c r="J101" s="698"/>
      <c r="K101" s="714"/>
      <c r="L101" s="585"/>
      <c r="M101" s="697"/>
      <c r="N101" s="697"/>
      <c r="O101" s="587"/>
      <c r="P101" s="699"/>
      <c r="Q101" s="697"/>
      <c r="R101" s="715"/>
      <c r="S101" s="700"/>
      <c r="T101" s="700"/>
      <c r="U101" s="700"/>
      <c r="V101" s="700"/>
      <c r="W101" s="701"/>
      <c r="X101" s="701"/>
      <c r="Y101" s="701"/>
      <c r="Z101" s="701"/>
    </row>
    <row r="102" spans="1:26" s="702" customFormat="1" ht="15" customHeight="1">
      <c r="A102" s="694"/>
      <c r="B102" s="713" t="s">
        <v>240</v>
      </c>
      <c r="C102" s="699"/>
      <c r="D102" s="697">
        <f t="shared" si="11"/>
        <v>84200</v>
      </c>
      <c r="E102" s="697">
        <f t="shared" si="9"/>
        <v>0</v>
      </c>
      <c r="F102" s="582">
        <f t="shared" si="13"/>
        <v>0</v>
      </c>
      <c r="G102" s="699">
        <v>84200</v>
      </c>
      <c r="H102" s="697"/>
      <c r="I102" s="585">
        <f t="shared" si="12"/>
        <v>0</v>
      </c>
      <c r="J102" s="698"/>
      <c r="K102" s="714"/>
      <c r="L102" s="585"/>
      <c r="M102" s="697"/>
      <c r="N102" s="697"/>
      <c r="O102" s="587"/>
      <c r="P102" s="699"/>
      <c r="Q102" s="697"/>
      <c r="R102" s="715"/>
      <c r="S102" s="700"/>
      <c r="T102" s="700"/>
      <c r="U102" s="700"/>
      <c r="V102" s="700"/>
      <c r="W102" s="701"/>
      <c r="X102" s="701"/>
      <c r="Y102" s="701"/>
      <c r="Z102" s="701"/>
    </row>
    <row r="103" spans="1:26" s="702" customFormat="1" ht="39" customHeight="1">
      <c r="A103" s="694"/>
      <c r="B103" s="713" t="s">
        <v>241</v>
      </c>
      <c r="C103" s="699">
        <v>1100000</v>
      </c>
      <c r="D103" s="697">
        <f t="shared" si="11"/>
        <v>1100000</v>
      </c>
      <c r="E103" s="697">
        <f>SUM(H103+K103+N103+Q103)</f>
        <v>0</v>
      </c>
      <c r="F103" s="582">
        <f>E103/D103*100</f>
        <v>0</v>
      </c>
      <c r="G103" s="699">
        <v>1100000</v>
      </c>
      <c r="H103" s="697"/>
      <c r="I103" s="587">
        <f t="shared" si="12"/>
        <v>0</v>
      </c>
      <c r="J103" s="698"/>
      <c r="K103" s="714"/>
      <c r="L103" s="585"/>
      <c r="M103" s="697"/>
      <c r="N103" s="697"/>
      <c r="O103" s="587"/>
      <c r="P103" s="699"/>
      <c r="Q103" s="697"/>
      <c r="R103" s="715"/>
      <c r="S103" s="700"/>
      <c r="T103" s="700"/>
      <c r="U103" s="700"/>
      <c r="V103" s="700"/>
      <c r="W103" s="701"/>
      <c r="X103" s="701"/>
      <c r="Y103" s="701"/>
      <c r="Z103" s="701"/>
    </row>
    <row r="104" spans="1:26" s="702" customFormat="1" ht="36">
      <c r="A104" s="694"/>
      <c r="B104" s="713" t="s">
        <v>261</v>
      </c>
      <c r="C104" s="699">
        <v>1500000</v>
      </c>
      <c r="D104" s="697">
        <f t="shared" si="11"/>
        <v>1500000</v>
      </c>
      <c r="E104" s="697">
        <f t="shared" si="9"/>
        <v>79026</v>
      </c>
      <c r="F104" s="582">
        <f aca="true" t="shared" si="14" ref="F104:F166">E104/D104*100</f>
        <v>5.2684</v>
      </c>
      <c r="G104" s="699">
        <v>1500000</v>
      </c>
      <c r="H104" s="697">
        <v>79026</v>
      </c>
      <c r="I104" s="587">
        <f t="shared" si="12"/>
        <v>5.2684</v>
      </c>
      <c r="J104" s="698"/>
      <c r="K104" s="714"/>
      <c r="L104" s="585"/>
      <c r="M104" s="697"/>
      <c r="N104" s="697"/>
      <c r="O104" s="587"/>
      <c r="P104" s="699"/>
      <c r="Q104" s="697"/>
      <c r="R104" s="715"/>
      <c r="S104" s="700"/>
      <c r="T104" s="700"/>
      <c r="U104" s="700"/>
      <c r="V104" s="700"/>
      <c r="W104" s="701"/>
      <c r="X104" s="701"/>
      <c r="Y104" s="701"/>
      <c r="Z104" s="701"/>
    </row>
    <row r="105" spans="1:26" s="702" customFormat="1" ht="24">
      <c r="A105" s="694"/>
      <c r="B105" s="713" t="s">
        <v>422</v>
      </c>
      <c r="C105" s="699">
        <v>50000</v>
      </c>
      <c r="D105" s="697">
        <f t="shared" si="11"/>
        <v>50000</v>
      </c>
      <c r="E105" s="697">
        <f t="shared" si="9"/>
        <v>0</v>
      </c>
      <c r="F105" s="582">
        <f t="shared" si="14"/>
        <v>0</v>
      </c>
      <c r="G105" s="699">
        <v>50000</v>
      </c>
      <c r="H105" s="697"/>
      <c r="I105" s="587">
        <f t="shared" si="12"/>
        <v>0</v>
      </c>
      <c r="J105" s="698"/>
      <c r="K105" s="714"/>
      <c r="L105" s="585"/>
      <c r="M105" s="697"/>
      <c r="N105" s="697"/>
      <c r="O105" s="587"/>
      <c r="P105" s="699"/>
      <c r="Q105" s="697"/>
      <c r="R105" s="715"/>
      <c r="S105" s="700"/>
      <c r="T105" s="700"/>
      <c r="U105" s="700"/>
      <c r="V105" s="700"/>
      <c r="W105" s="701"/>
      <c r="X105" s="701"/>
      <c r="Y105" s="701"/>
      <c r="Z105" s="701"/>
    </row>
    <row r="106" spans="1:26" s="702" customFormat="1" ht="39" customHeight="1">
      <c r="A106" s="694"/>
      <c r="B106" s="716" t="s">
        <v>242</v>
      </c>
      <c r="C106" s="699">
        <v>1200000</v>
      </c>
      <c r="D106" s="697">
        <f t="shared" si="11"/>
        <v>1200000</v>
      </c>
      <c r="E106" s="697">
        <f t="shared" si="9"/>
        <v>645106</v>
      </c>
      <c r="F106" s="582">
        <f t="shared" si="14"/>
        <v>53.758833333333335</v>
      </c>
      <c r="G106" s="699">
        <v>1200000</v>
      </c>
      <c r="H106" s="697">
        <v>645106</v>
      </c>
      <c r="I106" s="587">
        <f t="shared" si="12"/>
        <v>53.758833333333335</v>
      </c>
      <c r="J106" s="698"/>
      <c r="K106" s="714"/>
      <c r="L106" s="585"/>
      <c r="M106" s="697"/>
      <c r="N106" s="697"/>
      <c r="O106" s="587"/>
      <c r="P106" s="699"/>
      <c r="Q106" s="697"/>
      <c r="R106" s="715"/>
      <c r="S106" s="700"/>
      <c r="T106" s="700"/>
      <c r="U106" s="700"/>
      <c r="V106" s="700"/>
      <c r="W106" s="701"/>
      <c r="X106" s="701"/>
      <c r="Y106" s="701"/>
      <c r="Z106" s="701"/>
    </row>
    <row r="107" spans="1:26" s="702" customFormat="1" ht="24">
      <c r="A107" s="694"/>
      <c r="B107" s="716" t="s">
        <v>423</v>
      </c>
      <c r="C107" s="699"/>
      <c r="D107" s="697">
        <f t="shared" si="11"/>
        <v>1500</v>
      </c>
      <c r="E107" s="697">
        <f t="shared" si="9"/>
        <v>0</v>
      </c>
      <c r="F107" s="582">
        <f t="shared" si="14"/>
        <v>0</v>
      </c>
      <c r="G107" s="699">
        <v>1500</v>
      </c>
      <c r="H107" s="697"/>
      <c r="I107" s="587">
        <f t="shared" si="12"/>
        <v>0</v>
      </c>
      <c r="J107" s="698"/>
      <c r="K107" s="714"/>
      <c r="L107" s="585"/>
      <c r="M107" s="697"/>
      <c r="N107" s="697"/>
      <c r="O107" s="587"/>
      <c r="P107" s="699"/>
      <c r="Q107" s="697"/>
      <c r="R107" s="715"/>
      <c r="S107" s="700"/>
      <c r="T107" s="700"/>
      <c r="U107" s="700"/>
      <c r="V107" s="700"/>
      <c r="W107" s="701"/>
      <c r="X107" s="701"/>
      <c r="Y107" s="701"/>
      <c r="Z107" s="701"/>
    </row>
    <row r="108" spans="1:26" s="702" customFormat="1" ht="36" hidden="1">
      <c r="A108" s="694"/>
      <c r="B108" s="716" t="s">
        <v>262</v>
      </c>
      <c r="C108" s="699"/>
      <c r="D108" s="697">
        <f t="shared" si="11"/>
        <v>0</v>
      </c>
      <c r="E108" s="697">
        <f t="shared" si="9"/>
        <v>0</v>
      </c>
      <c r="F108" s="582" t="e">
        <f t="shared" si="14"/>
        <v>#DIV/0!</v>
      </c>
      <c r="G108" s="699"/>
      <c r="H108" s="697"/>
      <c r="I108" s="587" t="e">
        <f t="shared" si="12"/>
        <v>#DIV/0!</v>
      </c>
      <c r="J108" s="698"/>
      <c r="K108" s="714"/>
      <c r="L108" s="585"/>
      <c r="M108" s="697"/>
      <c r="N108" s="697"/>
      <c r="O108" s="587"/>
      <c r="P108" s="699"/>
      <c r="Q108" s="697"/>
      <c r="R108" s="715"/>
      <c r="S108" s="700"/>
      <c r="T108" s="700"/>
      <c r="U108" s="700"/>
      <c r="V108" s="700"/>
      <c r="W108" s="701"/>
      <c r="X108" s="701"/>
      <c r="Y108" s="701"/>
      <c r="Z108" s="701"/>
    </row>
    <row r="109" spans="1:26" s="702" customFormat="1" ht="12.75">
      <c r="A109" s="694"/>
      <c r="B109" s="716" t="s">
        <v>424</v>
      </c>
      <c r="C109" s="699">
        <v>70000</v>
      </c>
      <c r="D109" s="697">
        <f t="shared" si="11"/>
        <v>70000</v>
      </c>
      <c r="E109" s="697">
        <f t="shared" si="9"/>
        <v>0</v>
      </c>
      <c r="F109" s="582">
        <f t="shared" si="14"/>
        <v>0</v>
      </c>
      <c r="G109" s="699">
        <v>70000</v>
      </c>
      <c r="H109" s="697"/>
      <c r="I109" s="628">
        <f t="shared" si="12"/>
        <v>0</v>
      </c>
      <c r="J109" s="698"/>
      <c r="K109" s="714"/>
      <c r="L109" s="585"/>
      <c r="M109" s="697"/>
      <c r="N109" s="697"/>
      <c r="O109" s="587"/>
      <c r="P109" s="699"/>
      <c r="Q109" s="697"/>
      <c r="R109" s="715"/>
      <c r="S109" s="700"/>
      <c r="T109" s="700"/>
      <c r="U109" s="700"/>
      <c r="V109" s="700"/>
      <c r="W109" s="701"/>
      <c r="X109" s="701"/>
      <c r="Y109" s="701"/>
      <c r="Z109" s="701"/>
    </row>
    <row r="110" spans="1:26" s="702" customFormat="1" ht="36">
      <c r="A110" s="694"/>
      <c r="B110" s="716" t="s">
        <v>263</v>
      </c>
      <c r="C110" s="699">
        <v>50000</v>
      </c>
      <c r="D110" s="697">
        <f t="shared" si="11"/>
        <v>50000</v>
      </c>
      <c r="E110" s="697">
        <f t="shared" si="9"/>
        <v>0</v>
      </c>
      <c r="F110" s="582">
        <f t="shared" si="14"/>
        <v>0</v>
      </c>
      <c r="G110" s="699">
        <v>50000</v>
      </c>
      <c r="H110" s="697"/>
      <c r="I110" s="628">
        <f t="shared" si="12"/>
        <v>0</v>
      </c>
      <c r="J110" s="698"/>
      <c r="K110" s="714"/>
      <c r="L110" s="585"/>
      <c r="M110" s="697"/>
      <c r="N110" s="697"/>
      <c r="O110" s="587"/>
      <c r="P110" s="699"/>
      <c r="Q110" s="697"/>
      <c r="R110" s="715"/>
      <c r="S110" s="700"/>
      <c r="T110" s="700"/>
      <c r="U110" s="700"/>
      <c r="V110" s="700"/>
      <c r="W110" s="701"/>
      <c r="X110" s="701"/>
      <c r="Y110" s="701"/>
      <c r="Z110" s="701"/>
    </row>
    <row r="111" spans="1:26" s="702" customFormat="1" ht="24">
      <c r="A111" s="694"/>
      <c r="B111" s="695" t="s">
        <v>264</v>
      </c>
      <c r="C111" s="699">
        <v>100000</v>
      </c>
      <c r="D111" s="697">
        <f>G111+J111+P111+M111</f>
        <v>100000</v>
      </c>
      <c r="E111" s="697">
        <f t="shared" si="9"/>
        <v>557</v>
      </c>
      <c r="F111" s="582">
        <f>E111/D111*100</f>
        <v>0.557</v>
      </c>
      <c r="G111" s="699">
        <v>100000</v>
      </c>
      <c r="H111" s="697">
        <v>557</v>
      </c>
      <c r="I111" s="587">
        <f t="shared" si="12"/>
        <v>0.557</v>
      </c>
      <c r="J111" s="698"/>
      <c r="K111" s="714"/>
      <c r="L111" s="585"/>
      <c r="M111" s="697"/>
      <c r="N111" s="697"/>
      <c r="O111" s="587"/>
      <c r="P111" s="699"/>
      <c r="Q111" s="697"/>
      <c r="R111" s="715"/>
      <c r="S111" s="700"/>
      <c r="T111" s="700"/>
      <c r="U111" s="700"/>
      <c r="V111" s="700"/>
      <c r="W111" s="701"/>
      <c r="X111" s="701"/>
      <c r="Y111" s="701"/>
      <c r="Z111" s="701"/>
    </row>
    <row r="112" spans="1:26" s="702" customFormat="1" ht="12.75">
      <c r="A112" s="694"/>
      <c r="B112" s="695" t="s">
        <v>425</v>
      </c>
      <c r="C112" s="699">
        <v>200000</v>
      </c>
      <c r="D112" s="697">
        <f>G112+J112+P112+M112</f>
        <v>200000</v>
      </c>
      <c r="E112" s="697">
        <f t="shared" si="9"/>
        <v>0</v>
      </c>
      <c r="F112" s="582">
        <f>E112/D112*100</f>
        <v>0</v>
      </c>
      <c r="G112" s="699">
        <v>200000</v>
      </c>
      <c r="H112" s="697"/>
      <c r="I112" s="587">
        <f t="shared" si="12"/>
        <v>0</v>
      </c>
      <c r="J112" s="698"/>
      <c r="K112" s="714"/>
      <c r="L112" s="585"/>
      <c r="M112" s="697"/>
      <c r="N112" s="697"/>
      <c r="O112" s="587"/>
      <c r="P112" s="699"/>
      <c r="Q112" s="697"/>
      <c r="R112" s="715"/>
      <c r="S112" s="700"/>
      <c r="T112" s="700"/>
      <c r="U112" s="700"/>
      <c r="V112" s="700"/>
      <c r="W112" s="701"/>
      <c r="X112" s="701"/>
      <c r="Y112" s="701"/>
      <c r="Z112" s="701"/>
    </row>
    <row r="113" spans="1:26" s="702" customFormat="1" ht="12.75">
      <c r="A113" s="694"/>
      <c r="B113" s="703" t="s">
        <v>265</v>
      </c>
      <c r="C113" s="699">
        <v>700000</v>
      </c>
      <c r="D113" s="697">
        <f>G113+J113+P113+M113</f>
        <v>810000</v>
      </c>
      <c r="E113" s="697">
        <f t="shared" si="9"/>
        <v>0</v>
      </c>
      <c r="F113" s="582">
        <f>E113/D113*100</f>
        <v>0</v>
      </c>
      <c r="G113" s="699">
        <f>700000+110000</f>
        <v>810000</v>
      </c>
      <c r="H113" s="697"/>
      <c r="I113" s="587">
        <f t="shared" si="12"/>
        <v>0</v>
      </c>
      <c r="J113" s="698"/>
      <c r="K113" s="714"/>
      <c r="L113" s="585"/>
      <c r="M113" s="697"/>
      <c r="N113" s="697"/>
      <c r="O113" s="587"/>
      <c r="P113" s="699"/>
      <c r="Q113" s="697"/>
      <c r="R113" s="715"/>
      <c r="S113" s="700"/>
      <c r="T113" s="700"/>
      <c r="U113" s="700"/>
      <c r="V113" s="700"/>
      <c r="W113" s="701"/>
      <c r="X113" s="701"/>
      <c r="Y113" s="701"/>
      <c r="Z113" s="701"/>
    </row>
    <row r="114" spans="1:26" s="702" customFormat="1" ht="24">
      <c r="A114" s="694"/>
      <c r="B114" s="703" t="s">
        <v>259</v>
      </c>
      <c r="C114" s="699">
        <v>100000</v>
      </c>
      <c r="D114" s="697">
        <f>G114+J114+P114+M114</f>
        <v>100000</v>
      </c>
      <c r="E114" s="697">
        <f t="shared" si="9"/>
        <v>0</v>
      </c>
      <c r="F114" s="582">
        <f>E114/D114*100</f>
        <v>0</v>
      </c>
      <c r="G114" s="699">
        <v>100000</v>
      </c>
      <c r="H114" s="697"/>
      <c r="I114" s="587">
        <f t="shared" si="12"/>
        <v>0</v>
      </c>
      <c r="J114" s="698"/>
      <c r="K114" s="714"/>
      <c r="L114" s="585"/>
      <c r="M114" s="697"/>
      <c r="N114" s="697"/>
      <c r="O114" s="587"/>
      <c r="P114" s="699"/>
      <c r="Q114" s="697"/>
      <c r="R114" s="715"/>
      <c r="S114" s="700"/>
      <c r="T114" s="700"/>
      <c r="U114" s="700"/>
      <c r="V114" s="700"/>
      <c r="W114" s="701"/>
      <c r="X114" s="701"/>
      <c r="Y114" s="701"/>
      <c r="Z114" s="701"/>
    </row>
    <row r="115" spans="1:26" s="702" customFormat="1" ht="12.75">
      <c r="A115" s="694"/>
      <c r="B115" s="716" t="s">
        <v>243</v>
      </c>
      <c r="C115" s="699">
        <v>50000</v>
      </c>
      <c r="D115" s="697">
        <f t="shared" si="11"/>
        <v>50000</v>
      </c>
      <c r="E115" s="697">
        <f>SUM(H115+K115+N115+Q115)</f>
        <v>7485</v>
      </c>
      <c r="F115" s="582">
        <f>E115/D115*100</f>
        <v>14.97</v>
      </c>
      <c r="G115" s="699">
        <v>50000</v>
      </c>
      <c r="H115" s="697">
        <v>7485</v>
      </c>
      <c r="I115" s="587">
        <f t="shared" si="12"/>
        <v>14.97</v>
      </c>
      <c r="J115" s="698"/>
      <c r="K115" s="714"/>
      <c r="L115" s="585"/>
      <c r="M115" s="697"/>
      <c r="N115" s="697"/>
      <c r="O115" s="587"/>
      <c r="P115" s="699"/>
      <c r="Q115" s="697"/>
      <c r="R115" s="715"/>
      <c r="S115" s="700"/>
      <c r="T115" s="700"/>
      <c r="U115" s="700"/>
      <c r="V115" s="700"/>
      <c r="W115" s="701"/>
      <c r="X115" s="701"/>
      <c r="Y115" s="701"/>
      <c r="Z115" s="701"/>
    </row>
    <row r="116" spans="1:26" s="639" customFormat="1" ht="14.25" customHeight="1">
      <c r="A116" s="640">
        <v>60017</v>
      </c>
      <c r="B116" s="717" t="s">
        <v>244</v>
      </c>
      <c r="C116" s="608">
        <f>SUM(C117:C121)</f>
        <v>2100920</v>
      </c>
      <c r="D116" s="595">
        <f t="shared" si="11"/>
        <v>2100920</v>
      </c>
      <c r="E116" s="595">
        <f>H116+K116+Q116+N116</f>
        <v>58813</v>
      </c>
      <c r="F116" s="596">
        <f t="shared" si="14"/>
        <v>2.7993926470308246</v>
      </c>
      <c r="G116" s="608">
        <f>SUM(G117:G121)</f>
        <v>2100920</v>
      </c>
      <c r="H116" s="595">
        <f>SUM(H117:H121)</f>
        <v>58813</v>
      </c>
      <c r="I116" s="602">
        <f t="shared" si="12"/>
        <v>2.7993926470308246</v>
      </c>
      <c r="J116" s="600"/>
      <c r="K116" s="594"/>
      <c r="L116" s="682"/>
      <c r="M116" s="595"/>
      <c r="N116" s="595"/>
      <c r="O116" s="684"/>
      <c r="P116" s="608"/>
      <c r="Q116" s="595"/>
      <c r="R116" s="685"/>
      <c r="S116" s="564"/>
      <c r="T116" s="564"/>
      <c r="U116" s="564"/>
      <c r="V116" s="564"/>
      <c r="W116" s="565"/>
      <c r="X116" s="565"/>
      <c r="Y116" s="565"/>
      <c r="Z116" s="565"/>
    </row>
    <row r="117" spans="1:18" ht="26.25" customHeight="1">
      <c r="A117" s="647">
        <v>4270</v>
      </c>
      <c r="B117" s="718" t="s">
        <v>426</v>
      </c>
      <c r="C117" s="603">
        <f>600000+622920</f>
        <v>1222920</v>
      </c>
      <c r="D117" s="581">
        <f t="shared" si="11"/>
        <v>1222920</v>
      </c>
      <c r="E117" s="581">
        <f aca="true" t="shared" si="15" ref="E117:E123">SUM(H117+K117+N117+Q117)</f>
        <v>58813</v>
      </c>
      <c r="F117" s="582">
        <f t="shared" si="14"/>
        <v>4.809227095803487</v>
      </c>
      <c r="G117" s="603">
        <f>600000+622920</f>
        <v>1222920</v>
      </c>
      <c r="H117" s="581">
        <v>58813</v>
      </c>
      <c r="I117" s="585">
        <f t="shared" si="12"/>
        <v>4.809227095803487</v>
      </c>
      <c r="J117" s="586"/>
      <c r="K117" s="583"/>
      <c r="L117" s="585"/>
      <c r="M117" s="581"/>
      <c r="N117" s="581"/>
      <c r="O117" s="649"/>
      <c r="P117" s="603"/>
      <c r="Q117" s="581"/>
      <c r="R117" s="653"/>
    </row>
    <row r="118" spans="1:18" ht="30" customHeight="1">
      <c r="A118" s="647">
        <v>4300</v>
      </c>
      <c r="B118" s="718" t="s">
        <v>427</v>
      </c>
      <c r="C118" s="603">
        <v>55000</v>
      </c>
      <c r="D118" s="581">
        <f t="shared" si="11"/>
        <v>55000</v>
      </c>
      <c r="E118" s="581">
        <f t="shared" si="15"/>
        <v>0</v>
      </c>
      <c r="F118" s="582">
        <f t="shared" si="14"/>
        <v>0</v>
      </c>
      <c r="G118" s="603">
        <v>55000</v>
      </c>
      <c r="H118" s="581"/>
      <c r="I118" s="585">
        <f t="shared" si="12"/>
        <v>0</v>
      </c>
      <c r="J118" s="586"/>
      <c r="K118" s="583"/>
      <c r="L118" s="585"/>
      <c r="M118" s="581"/>
      <c r="N118" s="581"/>
      <c r="O118" s="649"/>
      <c r="P118" s="603"/>
      <c r="Q118" s="581"/>
      <c r="R118" s="653"/>
    </row>
    <row r="119" spans="1:18" ht="38.25" customHeight="1">
      <c r="A119" s="647">
        <v>4390</v>
      </c>
      <c r="B119" s="651" t="s">
        <v>222</v>
      </c>
      <c r="C119" s="603">
        <v>1000</v>
      </c>
      <c r="D119" s="581">
        <f>G119+J119+P119+M119</f>
        <v>1000</v>
      </c>
      <c r="E119" s="581">
        <f>SUM(H119+K119+N119+Q119)</f>
        <v>0</v>
      </c>
      <c r="F119" s="582">
        <f>E119/D119*100</f>
        <v>0</v>
      </c>
      <c r="G119" s="603">
        <v>1000</v>
      </c>
      <c r="H119" s="581"/>
      <c r="I119" s="585">
        <f t="shared" si="12"/>
        <v>0</v>
      </c>
      <c r="J119" s="586"/>
      <c r="K119" s="583"/>
      <c r="L119" s="585"/>
      <c r="M119" s="581"/>
      <c r="N119" s="581"/>
      <c r="O119" s="649"/>
      <c r="P119" s="603"/>
      <c r="Q119" s="581"/>
      <c r="R119" s="653"/>
    </row>
    <row r="120" spans="1:18" ht="14.25" customHeight="1">
      <c r="A120" s="647">
        <v>4430</v>
      </c>
      <c r="B120" s="718" t="s">
        <v>201</v>
      </c>
      <c r="C120" s="603">
        <v>2000</v>
      </c>
      <c r="D120" s="581">
        <f t="shared" si="11"/>
        <v>2000</v>
      </c>
      <c r="E120" s="581">
        <f t="shared" si="15"/>
        <v>0</v>
      </c>
      <c r="F120" s="582">
        <f t="shared" si="14"/>
        <v>0</v>
      </c>
      <c r="G120" s="603">
        <v>2000</v>
      </c>
      <c r="H120" s="581"/>
      <c r="I120" s="627">
        <f t="shared" si="12"/>
        <v>0</v>
      </c>
      <c r="J120" s="586"/>
      <c r="K120" s="583"/>
      <c r="L120" s="585"/>
      <c r="M120" s="581"/>
      <c r="N120" s="581"/>
      <c r="O120" s="649"/>
      <c r="P120" s="603"/>
      <c r="Q120" s="581"/>
      <c r="R120" s="653"/>
    </row>
    <row r="121" spans="1:18" ht="26.25" customHeight="1">
      <c r="A121" s="672">
        <v>6050</v>
      </c>
      <c r="B121" s="687" t="s">
        <v>225</v>
      </c>
      <c r="C121" s="674">
        <v>820000</v>
      </c>
      <c r="D121" s="675">
        <f t="shared" si="11"/>
        <v>820000</v>
      </c>
      <c r="E121" s="675">
        <f t="shared" si="15"/>
        <v>0</v>
      </c>
      <c r="F121" s="643">
        <f t="shared" si="14"/>
        <v>0</v>
      </c>
      <c r="G121" s="674">
        <v>820000</v>
      </c>
      <c r="H121" s="675"/>
      <c r="I121" s="679">
        <f t="shared" si="12"/>
        <v>0</v>
      </c>
      <c r="J121" s="676"/>
      <c r="K121" s="688"/>
      <c r="L121" s="679"/>
      <c r="M121" s="675"/>
      <c r="N121" s="675"/>
      <c r="O121" s="689"/>
      <c r="P121" s="674"/>
      <c r="Q121" s="675"/>
      <c r="R121" s="680"/>
    </row>
    <row r="122" spans="1:26" s="639" customFormat="1" ht="24">
      <c r="A122" s="719">
        <v>60053</v>
      </c>
      <c r="B122" s="720" t="s">
        <v>246</v>
      </c>
      <c r="C122" s="721">
        <f>SUM(C123:C124)</f>
        <v>10454350</v>
      </c>
      <c r="D122" s="642">
        <f t="shared" si="11"/>
        <v>10454350</v>
      </c>
      <c r="E122" s="642">
        <f t="shared" si="15"/>
        <v>404393</v>
      </c>
      <c r="F122" s="722">
        <f t="shared" si="14"/>
        <v>3.868179274656004</v>
      </c>
      <c r="G122" s="721">
        <f>SUM(G123:G124)</f>
        <v>10454350</v>
      </c>
      <c r="H122" s="642">
        <f>SUM(H123:H124)</f>
        <v>404393</v>
      </c>
      <c r="I122" s="679">
        <f t="shared" si="12"/>
        <v>3.868179274656004</v>
      </c>
      <c r="J122" s="723"/>
      <c r="K122" s="724"/>
      <c r="L122" s="725"/>
      <c r="M122" s="642"/>
      <c r="N122" s="642"/>
      <c r="O122" s="726"/>
      <c r="P122" s="721"/>
      <c r="Q122" s="642"/>
      <c r="R122" s="727"/>
      <c r="S122" s="564"/>
      <c r="T122" s="564"/>
      <c r="U122" s="564"/>
      <c r="V122" s="564"/>
      <c r="W122" s="565"/>
      <c r="X122" s="565"/>
      <c r="Y122" s="565"/>
      <c r="Z122" s="565"/>
    </row>
    <row r="123" spans="1:18" ht="49.5" customHeight="1">
      <c r="A123" s="647">
        <v>6050</v>
      </c>
      <c r="B123" s="651" t="s">
        <v>428</v>
      </c>
      <c r="C123" s="603">
        <v>8800000</v>
      </c>
      <c r="D123" s="581">
        <f t="shared" si="11"/>
        <v>8800000</v>
      </c>
      <c r="E123" s="581">
        <f t="shared" si="15"/>
        <v>404393</v>
      </c>
      <c r="F123" s="582">
        <f t="shared" si="14"/>
        <v>4.595375</v>
      </c>
      <c r="G123" s="603">
        <f>8800000-700000+700000</f>
        <v>8800000</v>
      </c>
      <c r="H123" s="581">
        <v>404393</v>
      </c>
      <c r="I123" s="585">
        <f t="shared" si="12"/>
        <v>4.595375</v>
      </c>
      <c r="J123" s="586"/>
      <c r="K123" s="583"/>
      <c r="L123" s="585"/>
      <c r="M123" s="581"/>
      <c r="N123" s="581"/>
      <c r="O123" s="649"/>
      <c r="P123" s="603"/>
      <c r="Q123" s="581"/>
      <c r="R123" s="653"/>
    </row>
    <row r="124" spans="1:18" ht="72" customHeight="1">
      <c r="A124" s="672">
        <v>6060</v>
      </c>
      <c r="B124" s="687" t="s">
        <v>429</v>
      </c>
      <c r="C124" s="674">
        <v>1654350</v>
      </c>
      <c r="D124" s="675">
        <f>G124+J124+P124+M124</f>
        <v>1654350</v>
      </c>
      <c r="E124" s="675">
        <f>SUM(H124+K124+N124+Q124)</f>
        <v>0</v>
      </c>
      <c r="F124" s="643">
        <f>E124/D124*100</f>
        <v>0</v>
      </c>
      <c r="G124" s="728">
        <v>1654350</v>
      </c>
      <c r="H124" s="675"/>
      <c r="I124" s="679">
        <f t="shared" si="12"/>
        <v>0</v>
      </c>
      <c r="J124" s="676"/>
      <c r="K124" s="688"/>
      <c r="L124" s="679"/>
      <c r="M124" s="675"/>
      <c r="N124" s="675"/>
      <c r="O124" s="689"/>
      <c r="P124" s="674"/>
      <c r="Q124" s="675"/>
      <c r="R124" s="680"/>
    </row>
    <row r="125" spans="1:18" ht="12.75">
      <c r="A125" s="640">
        <v>60095</v>
      </c>
      <c r="B125" s="729" t="s">
        <v>213</v>
      </c>
      <c r="C125" s="608">
        <f>C127+C126</f>
        <v>2913293</v>
      </c>
      <c r="D125" s="595">
        <f t="shared" si="11"/>
        <v>2931623</v>
      </c>
      <c r="E125" s="595">
        <f>H125+K125+Q125+N125</f>
        <v>654608</v>
      </c>
      <c r="F125" s="596">
        <f t="shared" si="14"/>
        <v>22.329201264964833</v>
      </c>
      <c r="G125" s="730">
        <f>SUM(G126:G127)</f>
        <v>2931623</v>
      </c>
      <c r="H125" s="595">
        <f>SUM(H126:H127)</f>
        <v>654608</v>
      </c>
      <c r="I125" s="602">
        <f t="shared" si="12"/>
        <v>22.329201264964833</v>
      </c>
      <c r="J125" s="600"/>
      <c r="K125" s="595"/>
      <c r="L125" s="601"/>
      <c r="M125" s="595"/>
      <c r="N125" s="595"/>
      <c r="O125" s="645"/>
      <c r="P125" s="608"/>
      <c r="Q125" s="595"/>
      <c r="R125" s="731"/>
    </row>
    <row r="126" spans="1:18" ht="120">
      <c r="A126" s="732">
        <v>6010</v>
      </c>
      <c r="B126" s="733" t="s">
        <v>430</v>
      </c>
      <c r="C126" s="734">
        <v>200000</v>
      </c>
      <c r="D126" s="735">
        <f t="shared" si="11"/>
        <v>200000</v>
      </c>
      <c r="E126" s="735">
        <f>H126+K126+Q126+N126</f>
        <v>0</v>
      </c>
      <c r="F126" s="596">
        <f t="shared" si="14"/>
        <v>0</v>
      </c>
      <c r="G126" s="734">
        <v>200000</v>
      </c>
      <c r="H126" s="735"/>
      <c r="I126" s="602">
        <f t="shared" si="12"/>
        <v>0</v>
      </c>
      <c r="J126" s="736"/>
      <c r="K126" s="735"/>
      <c r="L126" s="737"/>
      <c r="M126" s="735"/>
      <c r="N126" s="735"/>
      <c r="O126" s="645"/>
      <c r="P126" s="734"/>
      <c r="Q126" s="735"/>
      <c r="R126" s="731"/>
    </row>
    <row r="127" spans="1:26" s="639" customFormat="1" ht="12.75">
      <c r="A127" s="657"/>
      <c r="B127" s="738" t="s">
        <v>247</v>
      </c>
      <c r="C127" s="659">
        <f>SUM(C128:C156)</f>
        <v>2713293</v>
      </c>
      <c r="D127" s="660">
        <f t="shared" si="11"/>
        <v>2731623</v>
      </c>
      <c r="E127" s="660">
        <f>H127+K127+Q127+N127</f>
        <v>654608</v>
      </c>
      <c r="F127" s="582">
        <f t="shared" si="14"/>
        <v>23.964068248070834</v>
      </c>
      <c r="G127" s="659">
        <f>SUM(G128:G156)</f>
        <v>2731623</v>
      </c>
      <c r="H127" s="660">
        <f>SUM(H128:H156)</f>
        <v>654608</v>
      </c>
      <c r="I127" s="585">
        <f t="shared" si="12"/>
        <v>23.964068248070834</v>
      </c>
      <c r="J127" s="661"/>
      <c r="K127" s="660"/>
      <c r="L127" s="662"/>
      <c r="M127" s="660"/>
      <c r="N127" s="660"/>
      <c r="O127" s="649"/>
      <c r="P127" s="659"/>
      <c r="Q127" s="660"/>
      <c r="R127" s="653"/>
      <c r="S127" s="564"/>
      <c r="T127" s="564"/>
      <c r="U127" s="564"/>
      <c r="V127" s="564"/>
      <c r="W127" s="565"/>
      <c r="X127" s="565"/>
      <c r="Y127" s="565"/>
      <c r="Z127" s="565"/>
    </row>
    <row r="128" spans="1:18" ht="36">
      <c r="A128" s="647">
        <v>3020</v>
      </c>
      <c r="B128" s="651" t="s">
        <v>248</v>
      </c>
      <c r="C128" s="603">
        <v>4000</v>
      </c>
      <c r="D128" s="581">
        <f t="shared" si="11"/>
        <v>4000</v>
      </c>
      <c r="E128" s="581">
        <f>SUM(H128+K128+N128+Q128)</f>
        <v>85</v>
      </c>
      <c r="F128" s="582">
        <f t="shared" si="14"/>
        <v>2.125</v>
      </c>
      <c r="G128" s="603">
        <v>4000</v>
      </c>
      <c r="H128" s="581">
        <v>85</v>
      </c>
      <c r="I128" s="585">
        <f t="shared" si="12"/>
        <v>2.125</v>
      </c>
      <c r="J128" s="586"/>
      <c r="K128" s="581"/>
      <c r="L128" s="587"/>
      <c r="M128" s="581"/>
      <c r="N128" s="581"/>
      <c r="O128" s="649"/>
      <c r="P128" s="603"/>
      <c r="Q128" s="581"/>
      <c r="R128" s="653"/>
    </row>
    <row r="129" spans="1:18" ht="26.25" customHeight="1">
      <c r="A129" s="647">
        <v>4010</v>
      </c>
      <c r="B129" s="651" t="s">
        <v>181</v>
      </c>
      <c r="C129" s="603">
        <v>1368123</v>
      </c>
      <c r="D129" s="581">
        <f t="shared" si="11"/>
        <v>1383723</v>
      </c>
      <c r="E129" s="581">
        <f>SUM(H129+K129+N129+Q129)</f>
        <v>318238</v>
      </c>
      <c r="F129" s="582">
        <f t="shared" si="14"/>
        <v>22.998678203657814</v>
      </c>
      <c r="G129" s="603">
        <f>1368123+15600</f>
        <v>1383723</v>
      </c>
      <c r="H129" s="581">
        <f>318237+1</f>
        <v>318238</v>
      </c>
      <c r="I129" s="585">
        <f t="shared" si="12"/>
        <v>22.998678203657814</v>
      </c>
      <c r="J129" s="586"/>
      <c r="K129" s="581"/>
      <c r="L129" s="587"/>
      <c r="M129" s="581"/>
      <c r="N129" s="581"/>
      <c r="O129" s="649"/>
      <c r="P129" s="603"/>
      <c r="Q129" s="581"/>
      <c r="R129" s="653"/>
    </row>
    <row r="130" spans="1:18" ht="24">
      <c r="A130" s="739">
        <v>4040</v>
      </c>
      <c r="B130" s="651" t="s">
        <v>249</v>
      </c>
      <c r="C130" s="603">
        <v>113000</v>
      </c>
      <c r="D130" s="581">
        <f t="shared" si="11"/>
        <v>113000</v>
      </c>
      <c r="E130" s="581">
        <f>SUM(H130+K130+N130+Q130)</f>
        <v>91862</v>
      </c>
      <c r="F130" s="582">
        <f t="shared" si="14"/>
        <v>81.29380530973451</v>
      </c>
      <c r="G130" s="603">
        <v>113000</v>
      </c>
      <c r="H130" s="581">
        <v>91862</v>
      </c>
      <c r="I130" s="627">
        <f t="shared" si="12"/>
        <v>81.29380530973451</v>
      </c>
      <c r="J130" s="586"/>
      <c r="K130" s="581"/>
      <c r="L130" s="587"/>
      <c r="M130" s="581"/>
      <c r="N130" s="581"/>
      <c r="O130" s="649"/>
      <c r="P130" s="603"/>
      <c r="Q130" s="581"/>
      <c r="R130" s="653"/>
    </row>
    <row r="131" spans="1:18" ht="26.25" customHeight="1">
      <c r="A131" s="647">
        <v>4110</v>
      </c>
      <c r="B131" s="651" t="s">
        <v>250</v>
      </c>
      <c r="C131" s="603">
        <v>222570</v>
      </c>
      <c r="D131" s="581">
        <f t="shared" si="11"/>
        <v>224920</v>
      </c>
      <c r="E131" s="581">
        <f aca="true" t="shared" si="16" ref="E131:E156">SUM(H131+K131+N131+Q131)</f>
        <v>49906</v>
      </c>
      <c r="F131" s="582">
        <f t="shared" si="14"/>
        <v>22.188333629735016</v>
      </c>
      <c r="G131" s="603">
        <f>222570+2350</f>
        <v>224920</v>
      </c>
      <c r="H131" s="581">
        <v>49906</v>
      </c>
      <c r="I131" s="585">
        <f t="shared" si="12"/>
        <v>22.188333629735016</v>
      </c>
      <c r="J131" s="586"/>
      <c r="K131" s="581"/>
      <c r="L131" s="587"/>
      <c r="M131" s="581"/>
      <c r="N131" s="581"/>
      <c r="O131" s="649"/>
      <c r="P131" s="603"/>
      <c r="Q131" s="581"/>
      <c r="R131" s="653"/>
    </row>
    <row r="132" spans="1:18" ht="12.75">
      <c r="A132" s="647">
        <v>4120</v>
      </c>
      <c r="B132" s="651" t="s">
        <v>251</v>
      </c>
      <c r="C132" s="603">
        <v>36100</v>
      </c>
      <c r="D132" s="581">
        <f t="shared" si="11"/>
        <v>36480</v>
      </c>
      <c r="E132" s="581">
        <f t="shared" si="16"/>
        <v>6369</v>
      </c>
      <c r="F132" s="582">
        <f t="shared" si="14"/>
        <v>17.45888157894737</v>
      </c>
      <c r="G132" s="603">
        <f>36100+380</f>
        <v>36480</v>
      </c>
      <c r="H132" s="581">
        <v>6369</v>
      </c>
      <c r="I132" s="585">
        <f t="shared" si="12"/>
        <v>17.45888157894737</v>
      </c>
      <c r="J132" s="586"/>
      <c r="K132" s="581"/>
      <c r="L132" s="587"/>
      <c r="M132" s="581"/>
      <c r="N132" s="581"/>
      <c r="O132" s="649"/>
      <c r="P132" s="603"/>
      <c r="Q132" s="581"/>
      <c r="R132" s="653"/>
    </row>
    <row r="133" spans="1:18" ht="12.75">
      <c r="A133" s="647">
        <v>4140</v>
      </c>
      <c r="B133" s="651" t="s">
        <v>252</v>
      </c>
      <c r="C133" s="603">
        <v>26000</v>
      </c>
      <c r="D133" s="581">
        <f t="shared" si="11"/>
        <v>26000</v>
      </c>
      <c r="E133" s="581">
        <f t="shared" si="16"/>
        <v>2822</v>
      </c>
      <c r="F133" s="582">
        <f t="shared" si="14"/>
        <v>10.853846153846154</v>
      </c>
      <c r="G133" s="603">
        <v>26000</v>
      </c>
      <c r="H133" s="581">
        <v>2822</v>
      </c>
      <c r="I133" s="585">
        <f t="shared" si="12"/>
        <v>10.853846153846154</v>
      </c>
      <c r="J133" s="586"/>
      <c r="K133" s="581"/>
      <c r="L133" s="587"/>
      <c r="M133" s="581"/>
      <c r="N133" s="581"/>
      <c r="O133" s="649"/>
      <c r="P133" s="603"/>
      <c r="Q133" s="581"/>
      <c r="R133" s="653"/>
    </row>
    <row r="134" spans="1:18" ht="24">
      <c r="A134" s="647">
        <v>4170</v>
      </c>
      <c r="B134" s="651" t="s">
        <v>221</v>
      </c>
      <c r="C134" s="603">
        <v>24000</v>
      </c>
      <c r="D134" s="581">
        <f t="shared" si="11"/>
        <v>24000</v>
      </c>
      <c r="E134" s="581">
        <f t="shared" si="16"/>
        <v>1002</v>
      </c>
      <c r="F134" s="582">
        <f t="shared" si="14"/>
        <v>4.175</v>
      </c>
      <c r="G134" s="603">
        <v>24000</v>
      </c>
      <c r="H134" s="581">
        <v>1002</v>
      </c>
      <c r="I134" s="585">
        <f t="shared" si="12"/>
        <v>4.175</v>
      </c>
      <c r="J134" s="586"/>
      <c r="K134" s="581"/>
      <c r="L134" s="587"/>
      <c r="M134" s="581"/>
      <c r="N134" s="581"/>
      <c r="O134" s="649"/>
      <c r="P134" s="603"/>
      <c r="Q134" s="581"/>
      <c r="R134" s="653"/>
    </row>
    <row r="135" spans="1:18" ht="24">
      <c r="A135" s="647">
        <v>4210</v>
      </c>
      <c r="B135" s="648" t="s">
        <v>191</v>
      </c>
      <c r="C135" s="603">
        <v>87000</v>
      </c>
      <c r="D135" s="581">
        <f t="shared" si="11"/>
        <v>87000</v>
      </c>
      <c r="E135" s="581">
        <f t="shared" si="16"/>
        <v>13280</v>
      </c>
      <c r="F135" s="582">
        <f t="shared" si="14"/>
        <v>15.264367816091953</v>
      </c>
      <c r="G135" s="603">
        <v>87000</v>
      </c>
      <c r="H135" s="581">
        <v>13280</v>
      </c>
      <c r="I135" s="585">
        <f t="shared" si="12"/>
        <v>15.264367816091953</v>
      </c>
      <c r="J135" s="586"/>
      <c r="K135" s="581"/>
      <c r="L135" s="587"/>
      <c r="M135" s="581"/>
      <c r="N135" s="581"/>
      <c r="O135" s="649"/>
      <c r="P135" s="603"/>
      <c r="Q135" s="581"/>
      <c r="R135" s="653"/>
    </row>
    <row r="136" spans="1:18" ht="12.75">
      <c r="A136" s="647">
        <v>4260</v>
      </c>
      <c r="B136" s="648" t="s">
        <v>195</v>
      </c>
      <c r="C136" s="603">
        <v>46000</v>
      </c>
      <c r="D136" s="581">
        <f aca="true" t="shared" si="17" ref="D136:D208">G136+J136+P136+M136</f>
        <v>46000</v>
      </c>
      <c r="E136" s="581">
        <f t="shared" si="16"/>
        <v>10015</v>
      </c>
      <c r="F136" s="582">
        <f t="shared" si="14"/>
        <v>21.771739130434785</v>
      </c>
      <c r="G136" s="603">
        <v>46000</v>
      </c>
      <c r="H136" s="581">
        <v>10015</v>
      </c>
      <c r="I136" s="585">
        <f t="shared" si="12"/>
        <v>21.771739130434785</v>
      </c>
      <c r="J136" s="586"/>
      <c r="K136" s="581"/>
      <c r="L136" s="587"/>
      <c r="M136" s="581"/>
      <c r="N136" s="581"/>
      <c r="O136" s="649"/>
      <c r="P136" s="603"/>
      <c r="Q136" s="581"/>
      <c r="R136" s="653"/>
    </row>
    <row r="137" spans="1:18" ht="15.75" customHeight="1">
      <c r="A137" s="647">
        <v>4270</v>
      </c>
      <c r="B137" s="651" t="s">
        <v>197</v>
      </c>
      <c r="C137" s="603">
        <v>40000</v>
      </c>
      <c r="D137" s="581">
        <f t="shared" si="17"/>
        <v>40000</v>
      </c>
      <c r="E137" s="581">
        <f t="shared" si="16"/>
        <v>2228</v>
      </c>
      <c r="F137" s="582">
        <f t="shared" si="14"/>
        <v>5.57</v>
      </c>
      <c r="G137" s="603">
        <v>40000</v>
      </c>
      <c r="H137" s="581">
        <v>2228</v>
      </c>
      <c r="I137" s="585">
        <f t="shared" si="12"/>
        <v>5.57</v>
      </c>
      <c r="J137" s="586"/>
      <c r="K137" s="581"/>
      <c r="L137" s="587"/>
      <c r="M137" s="581"/>
      <c r="N137" s="581"/>
      <c r="O137" s="649"/>
      <c r="P137" s="603"/>
      <c r="Q137" s="581"/>
      <c r="R137" s="653"/>
    </row>
    <row r="138" spans="1:18" ht="10.5" customHeight="1">
      <c r="A138" s="647">
        <v>4280</v>
      </c>
      <c r="B138" s="651" t="s">
        <v>582</v>
      </c>
      <c r="C138" s="603">
        <v>1700</v>
      </c>
      <c r="D138" s="581">
        <f t="shared" si="17"/>
        <v>1700</v>
      </c>
      <c r="E138" s="581">
        <f t="shared" si="16"/>
        <v>270</v>
      </c>
      <c r="F138" s="582">
        <f t="shared" si="14"/>
        <v>15.88235294117647</v>
      </c>
      <c r="G138" s="603">
        <v>1700</v>
      </c>
      <c r="H138" s="581">
        <v>270</v>
      </c>
      <c r="I138" s="585">
        <f t="shared" si="12"/>
        <v>15.88235294117647</v>
      </c>
      <c r="J138" s="586"/>
      <c r="K138" s="581"/>
      <c r="L138" s="587"/>
      <c r="M138" s="581"/>
      <c r="N138" s="581"/>
      <c r="O138" s="649"/>
      <c r="P138" s="603"/>
      <c r="Q138" s="581"/>
      <c r="R138" s="653"/>
    </row>
    <row r="139" spans="1:18" ht="14.25" customHeight="1">
      <c r="A139" s="647">
        <v>4300</v>
      </c>
      <c r="B139" s="651" t="s">
        <v>583</v>
      </c>
      <c r="C139" s="603">
        <v>510000</v>
      </c>
      <c r="D139" s="581">
        <f t="shared" si="17"/>
        <v>510000</v>
      </c>
      <c r="E139" s="581">
        <f t="shared" si="16"/>
        <v>83301</v>
      </c>
      <c r="F139" s="582">
        <f t="shared" si="14"/>
        <v>16.333529411764705</v>
      </c>
      <c r="G139" s="603">
        <v>510000</v>
      </c>
      <c r="H139" s="581">
        <v>83301</v>
      </c>
      <c r="I139" s="585">
        <f t="shared" si="12"/>
        <v>16.333529411764705</v>
      </c>
      <c r="J139" s="586"/>
      <c r="K139" s="581"/>
      <c r="L139" s="587"/>
      <c r="M139" s="581"/>
      <c r="N139" s="581"/>
      <c r="O139" s="649"/>
      <c r="P139" s="603"/>
      <c r="Q139" s="581"/>
      <c r="R139" s="653"/>
    </row>
    <row r="140" spans="1:18" ht="24">
      <c r="A140" s="647">
        <v>4350</v>
      </c>
      <c r="B140" s="651" t="s">
        <v>584</v>
      </c>
      <c r="C140" s="603">
        <v>5500</v>
      </c>
      <c r="D140" s="581">
        <f t="shared" si="17"/>
        <v>5500</v>
      </c>
      <c r="E140" s="581">
        <f t="shared" si="16"/>
        <v>1402</v>
      </c>
      <c r="F140" s="582">
        <f t="shared" si="14"/>
        <v>25.490909090909092</v>
      </c>
      <c r="G140" s="603">
        <v>5500</v>
      </c>
      <c r="H140" s="581">
        <v>1402</v>
      </c>
      <c r="I140" s="585">
        <f t="shared" si="12"/>
        <v>25.490909090909092</v>
      </c>
      <c r="J140" s="586"/>
      <c r="K140" s="581"/>
      <c r="L140" s="587"/>
      <c r="M140" s="581"/>
      <c r="N140" s="581"/>
      <c r="O140" s="649"/>
      <c r="P140" s="603"/>
      <c r="Q140" s="581"/>
      <c r="R140" s="653"/>
    </row>
    <row r="141" spans="1:18" ht="60" customHeight="1">
      <c r="A141" s="647">
        <v>4360</v>
      </c>
      <c r="B141" s="712" t="s">
        <v>431</v>
      </c>
      <c r="C141" s="603">
        <v>20000</v>
      </c>
      <c r="D141" s="581">
        <f t="shared" si="17"/>
        <v>20000</v>
      </c>
      <c r="E141" s="581">
        <f>SUM(H141+K141+N141+Q141)</f>
        <v>4297</v>
      </c>
      <c r="F141" s="582">
        <f>E141/D141*100</f>
        <v>21.485000000000003</v>
      </c>
      <c r="G141" s="603">
        <v>20000</v>
      </c>
      <c r="H141" s="581">
        <v>4297</v>
      </c>
      <c r="I141" s="585">
        <f t="shared" si="12"/>
        <v>21.485000000000003</v>
      </c>
      <c r="J141" s="586"/>
      <c r="K141" s="581"/>
      <c r="L141" s="587"/>
      <c r="M141" s="581"/>
      <c r="N141" s="581"/>
      <c r="O141" s="649"/>
      <c r="P141" s="603"/>
      <c r="Q141" s="581"/>
      <c r="R141" s="653"/>
    </row>
    <row r="142" spans="1:18" ht="60" customHeight="1">
      <c r="A142" s="647">
        <v>4370</v>
      </c>
      <c r="B142" s="712" t="s">
        <v>432</v>
      </c>
      <c r="C142" s="603">
        <v>16000</v>
      </c>
      <c r="D142" s="581">
        <f t="shared" si="17"/>
        <v>16000</v>
      </c>
      <c r="E142" s="581">
        <f>SUM(H142+K142+N142+Q142)</f>
        <v>2784</v>
      </c>
      <c r="F142" s="582">
        <f>E142/D142*100</f>
        <v>17.4</v>
      </c>
      <c r="G142" s="603">
        <v>16000</v>
      </c>
      <c r="H142" s="581">
        <v>2784</v>
      </c>
      <c r="I142" s="585">
        <f t="shared" si="12"/>
        <v>17.4</v>
      </c>
      <c r="J142" s="586"/>
      <c r="K142" s="581"/>
      <c r="L142" s="587"/>
      <c r="M142" s="581"/>
      <c r="N142" s="581"/>
      <c r="O142" s="649"/>
      <c r="P142" s="603"/>
      <c r="Q142" s="581"/>
      <c r="R142" s="653"/>
    </row>
    <row r="143" spans="1:18" ht="36" customHeight="1">
      <c r="A143" s="647">
        <v>4390</v>
      </c>
      <c r="B143" s="651" t="s">
        <v>222</v>
      </c>
      <c r="C143" s="603">
        <v>500</v>
      </c>
      <c r="D143" s="581">
        <f t="shared" si="17"/>
        <v>500</v>
      </c>
      <c r="E143" s="581">
        <f>SUM(H143+K143+N143+Q143)</f>
        <v>183</v>
      </c>
      <c r="F143" s="582">
        <f>E143/D143*100</f>
        <v>36.6</v>
      </c>
      <c r="G143" s="603">
        <v>500</v>
      </c>
      <c r="H143" s="581">
        <v>183</v>
      </c>
      <c r="I143" s="585">
        <f t="shared" si="12"/>
        <v>36.6</v>
      </c>
      <c r="J143" s="586"/>
      <c r="K143" s="581"/>
      <c r="L143" s="587"/>
      <c r="M143" s="581"/>
      <c r="N143" s="581"/>
      <c r="O143" s="649"/>
      <c r="P143" s="603"/>
      <c r="Q143" s="581"/>
      <c r="R143" s="653"/>
    </row>
    <row r="144" spans="1:18" ht="36.75" customHeight="1">
      <c r="A144" s="647">
        <v>4400</v>
      </c>
      <c r="B144" s="712" t="s">
        <v>433</v>
      </c>
      <c r="C144" s="603">
        <v>52000</v>
      </c>
      <c r="D144" s="581">
        <f t="shared" si="17"/>
        <v>52000</v>
      </c>
      <c r="E144" s="581">
        <f>SUM(H144+K144+N144+Q144)</f>
        <v>12472</v>
      </c>
      <c r="F144" s="582">
        <f>E144/D144*100</f>
        <v>23.984615384615385</v>
      </c>
      <c r="G144" s="603">
        <v>52000</v>
      </c>
      <c r="H144" s="581">
        <v>12472</v>
      </c>
      <c r="I144" s="585">
        <f t="shared" si="12"/>
        <v>23.984615384615385</v>
      </c>
      <c r="J144" s="586"/>
      <c r="K144" s="581"/>
      <c r="L144" s="587"/>
      <c r="M144" s="581"/>
      <c r="N144" s="581"/>
      <c r="O144" s="649"/>
      <c r="P144" s="603"/>
      <c r="Q144" s="581"/>
      <c r="R144" s="653"/>
    </row>
    <row r="145" spans="1:18" ht="13.5" customHeight="1">
      <c r="A145" s="647">
        <v>4410</v>
      </c>
      <c r="B145" s="651" t="s">
        <v>173</v>
      </c>
      <c r="C145" s="603">
        <v>13000</v>
      </c>
      <c r="D145" s="581">
        <f t="shared" si="17"/>
        <v>13000</v>
      </c>
      <c r="E145" s="581">
        <f t="shared" si="16"/>
        <v>1930</v>
      </c>
      <c r="F145" s="582">
        <f t="shared" si="14"/>
        <v>14.846153846153845</v>
      </c>
      <c r="G145" s="603">
        <v>13000</v>
      </c>
      <c r="H145" s="581">
        <v>1930</v>
      </c>
      <c r="I145" s="585">
        <f t="shared" si="12"/>
        <v>14.846153846153845</v>
      </c>
      <c r="J145" s="586"/>
      <c r="K145" s="581"/>
      <c r="L145" s="587"/>
      <c r="M145" s="581"/>
      <c r="N145" s="581"/>
      <c r="O145" s="649"/>
      <c r="P145" s="603"/>
      <c r="Q145" s="581"/>
      <c r="R145" s="653"/>
    </row>
    <row r="146" spans="1:18" ht="24" hidden="1">
      <c r="A146" s="647">
        <v>4420</v>
      </c>
      <c r="B146" s="651" t="s">
        <v>586</v>
      </c>
      <c r="C146" s="603"/>
      <c r="D146" s="581">
        <f t="shared" si="17"/>
        <v>0</v>
      </c>
      <c r="E146" s="581">
        <f>SUM(H146+K146+N146+Q146)</f>
        <v>0</v>
      </c>
      <c r="F146" s="582"/>
      <c r="G146" s="603"/>
      <c r="H146" s="581"/>
      <c r="I146" s="585"/>
      <c r="J146" s="586"/>
      <c r="K146" s="581"/>
      <c r="L146" s="587"/>
      <c r="M146" s="581"/>
      <c r="N146" s="581"/>
      <c r="O146" s="649"/>
      <c r="P146" s="603"/>
      <c r="Q146" s="581"/>
      <c r="R146" s="653"/>
    </row>
    <row r="147" spans="1:18" ht="12.75">
      <c r="A147" s="647">
        <v>4430</v>
      </c>
      <c r="B147" s="651" t="s">
        <v>201</v>
      </c>
      <c r="C147" s="603">
        <v>20000</v>
      </c>
      <c r="D147" s="581">
        <f t="shared" si="17"/>
        <v>20000</v>
      </c>
      <c r="E147" s="581">
        <f t="shared" si="16"/>
        <v>1989</v>
      </c>
      <c r="F147" s="582">
        <f t="shared" si="14"/>
        <v>9.945</v>
      </c>
      <c r="G147" s="603">
        <v>20000</v>
      </c>
      <c r="H147" s="581">
        <v>1989</v>
      </c>
      <c r="I147" s="585">
        <f t="shared" si="12"/>
        <v>9.945</v>
      </c>
      <c r="J147" s="586"/>
      <c r="K147" s="581"/>
      <c r="L147" s="587"/>
      <c r="M147" s="581"/>
      <c r="N147" s="581"/>
      <c r="O147" s="649"/>
      <c r="P147" s="603"/>
      <c r="Q147" s="581"/>
      <c r="R147" s="653"/>
    </row>
    <row r="148" spans="1:18" ht="12.75">
      <c r="A148" s="647">
        <v>4440</v>
      </c>
      <c r="B148" s="651" t="s">
        <v>203</v>
      </c>
      <c r="C148" s="603">
        <v>38000</v>
      </c>
      <c r="D148" s="581">
        <f t="shared" si="17"/>
        <v>38000</v>
      </c>
      <c r="E148" s="581">
        <f t="shared" si="16"/>
        <v>20000</v>
      </c>
      <c r="F148" s="582">
        <f t="shared" si="14"/>
        <v>52.63157894736842</v>
      </c>
      <c r="G148" s="603">
        <v>38000</v>
      </c>
      <c r="H148" s="581">
        <v>20000</v>
      </c>
      <c r="I148" s="627">
        <f t="shared" si="12"/>
        <v>52.63157894736842</v>
      </c>
      <c r="J148" s="586"/>
      <c r="K148" s="581"/>
      <c r="L148" s="587"/>
      <c r="M148" s="581"/>
      <c r="N148" s="581"/>
      <c r="O148" s="649"/>
      <c r="P148" s="603"/>
      <c r="Q148" s="581"/>
      <c r="R148" s="653"/>
    </row>
    <row r="149" spans="1:18" ht="12.75" customHeight="1">
      <c r="A149" s="647">
        <v>4480</v>
      </c>
      <c r="B149" s="651" t="s">
        <v>587</v>
      </c>
      <c r="C149" s="603">
        <v>5300</v>
      </c>
      <c r="D149" s="581">
        <f t="shared" si="17"/>
        <v>5300</v>
      </c>
      <c r="E149" s="581">
        <f t="shared" si="16"/>
        <v>2246</v>
      </c>
      <c r="F149" s="582">
        <f t="shared" si="14"/>
        <v>42.37735849056604</v>
      </c>
      <c r="G149" s="603">
        <v>5300</v>
      </c>
      <c r="H149" s="581">
        <v>2246</v>
      </c>
      <c r="I149" s="585">
        <f t="shared" si="12"/>
        <v>42.37735849056604</v>
      </c>
      <c r="J149" s="586"/>
      <c r="K149" s="581"/>
      <c r="L149" s="587"/>
      <c r="M149" s="581"/>
      <c r="N149" s="581"/>
      <c r="O149" s="649"/>
      <c r="P149" s="603"/>
      <c r="Q149" s="581"/>
      <c r="R149" s="653"/>
    </row>
    <row r="150" spans="1:18" ht="39" customHeight="1">
      <c r="A150" s="647">
        <v>4700</v>
      </c>
      <c r="B150" s="712" t="s">
        <v>588</v>
      </c>
      <c r="C150" s="603">
        <v>17500</v>
      </c>
      <c r="D150" s="581">
        <f t="shared" si="17"/>
        <v>17500</v>
      </c>
      <c r="E150" s="581">
        <f t="shared" si="16"/>
        <v>8094</v>
      </c>
      <c r="F150" s="582">
        <f t="shared" si="14"/>
        <v>46.25142857142857</v>
      </c>
      <c r="G150" s="603">
        <v>17500</v>
      </c>
      <c r="H150" s="581">
        <v>8094</v>
      </c>
      <c r="I150" s="585">
        <f t="shared" si="12"/>
        <v>46.25142857142857</v>
      </c>
      <c r="J150" s="586"/>
      <c r="K150" s="581"/>
      <c r="L150" s="587"/>
      <c r="M150" s="581"/>
      <c r="N150" s="581"/>
      <c r="O150" s="649"/>
      <c r="P150" s="603"/>
      <c r="Q150" s="581"/>
      <c r="R150" s="653"/>
    </row>
    <row r="151" spans="1:18" ht="53.25" customHeight="1">
      <c r="A151" s="647">
        <v>4740</v>
      </c>
      <c r="B151" s="712" t="s">
        <v>215</v>
      </c>
      <c r="C151" s="603">
        <v>5000</v>
      </c>
      <c r="D151" s="581">
        <f t="shared" si="17"/>
        <v>5000</v>
      </c>
      <c r="E151" s="581">
        <f t="shared" si="16"/>
        <v>0</v>
      </c>
      <c r="F151" s="582">
        <f t="shared" si="14"/>
        <v>0</v>
      </c>
      <c r="G151" s="603">
        <v>5000</v>
      </c>
      <c r="H151" s="581"/>
      <c r="I151" s="585">
        <f aca="true" t="shared" si="18" ref="I151:I214">H151/G151*100</f>
        <v>0</v>
      </c>
      <c r="J151" s="586"/>
      <c r="K151" s="581"/>
      <c r="L151" s="587"/>
      <c r="M151" s="581"/>
      <c r="N151" s="581"/>
      <c r="O151" s="649"/>
      <c r="P151" s="603"/>
      <c r="Q151" s="581"/>
      <c r="R151" s="653"/>
    </row>
    <row r="152" spans="1:18" ht="36">
      <c r="A152" s="647">
        <v>4750</v>
      </c>
      <c r="B152" s="712" t="s">
        <v>589</v>
      </c>
      <c r="C152" s="603">
        <v>20000</v>
      </c>
      <c r="D152" s="581">
        <f t="shared" si="17"/>
        <v>20000</v>
      </c>
      <c r="E152" s="581">
        <f t="shared" si="16"/>
        <v>14633</v>
      </c>
      <c r="F152" s="582">
        <f t="shared" si="14"/>
        <v>73.165</v>
      </c>
      <c r="G152" s="603">
        <v>20000</v>
      </c>
      <c r="H152" s="581">
        <v>14633</v>
      </c>
      <c r="I152" s="585">
        <f t="shared" si="18"/>
        <v>73.165</v>
      </c>
      <c r="J152" s="586"/>
      <c r="K152" s="581"/>
      <c r="L152" s="587"/>
      <c r="M152" s="581"/>
      <c r="N152" s="581"/>
      <c r="O152" s="649"/>
      <c r="P152" s="603"/>
      <c r="Q152" s="581"/>
      <c r="R152" s="653"/>
    </row>
    <row r="153" spans="1:18" ht="35.25" customHeight="1" hidden="1">
      <c r="A153" s="647"/>
      <c r="B153" s="712"/>
      <c r="C153" s="603"/>
      <c r="D153" s="581">
        <f t="shared" si="17"/>
        <v>0</v>
      </c>
      <c r="E153" s="581">
        <f t="shared" si="16"/>
        <v>0</v>
      </c>
      <c r="F153" s="582" t="e">
        <f t="shared" si="14"/>
        <v>#DIV/0!</v>
      </c>
      <c r="G153" s="603"/>
      <c r="H153" s="581"/>
      <c r="I153" s="585" t="e">
        <f t="shared" si="18"/>
        <v>#DIV/0!</v>
      </c>
      <c r="J153" s="586"/>
      <c r="K153" s="581"/>
      <c r="L153" s="587"/>
      <c r="M153" s="581"/>
      <c r="N153" s="581"/>
      <c r="O153" s="649"/>
      <c r="P153" s="603"/>
      <c r="Q153" s="581"/>
      <c r="R153" s="653"/>
    </row>
    <row r="154" spans="1:18" ht="36" hidden="1">
      <c r="A154" s="647">
        <v>6050</v>
      </c>
      <c r="B154" s="712" t="s">
        <v>245</v>
      </c>
      <c r="C154" s="603"/>
      <c r="D154" s="581">
        <f t="shared" si="17"/>
        <v>0</v>
      </c>
      <c r="E154" s="581">
        <f t="shared" si="16"/>
        <v>0</v>
      </c>
      <c r="F154" s="582" t="e">
        <f t="shared" si="14"/>
        <v>#DIV/0!</v>
      </c>
      <c r="G154" s="603"/>
      <c r="H154" s="581"/>
      <c r="I154" s="585" t="e">
        <f t="shared" si="18"/>
        <v>#DIV/0!</v>
      </c>
      <c r="J154" s="586"/>
      <c r="K154" s="581"/>
      <c r="L154" s="587"/>
      <c r="M154" s="581"/>
      <c r="N154" s="581"/>
      <c r="O154" s="649"/>
      <c r="P154" s="603"/>
      <c r="Q154" s="581"/>
      <c r="R154" s="653"/>
    </row>
    <row r="155" spans="1:18" ht="36" customHeight="1" thickBot="1">
      <c r="A155" s="647">
        <v>6060</v>
      </c>
      <c r="B155" s="651" t="s">
        <v>590</v>
      </c>
      <c r="C155" s="603">
        <v>22000</v>
      </c>
      <c r="D155" s="581">
        <f t="shared" si="17"/>
        <v>22000</v>
      </c>
      <c r="E155" s="581">
        <f t="shared" si="16"/>
        <v>5200</v>
      </c>
      <c r="F155" s="582">
        <f t="shared" si="14"/>
        <v>23.636363636363637</v>
      </c>
      <c r="G155" s="603">
        <v>22000</v>
      </c>
      <c r="H155" s="581">
        <v>5200</v>
      </c>
      <c r="I155" s="582">
        <f t="shared" si="18"/>
        <v>23.636363636363637</v>
      </c>
      <c r="J155" s="586"/>
      <c r="K155" s="581"/>
      <c r="L155" s="587"/>
      <c r="M155" s="581"/>
      <c r="N155" s="581"/>
      <c r="O155" s="649"/>
      <c r="P155" s="603"/>
      <c r="Q155" s="581"/>
      <c r="R155" s="653"/>
    </row>
    <row r="156" spans="1:18" ht="9.75" customHeight="1" hidden="1">
      <c r="A156" s="647">
        <v>6050</v>
      </c>
      <c r="B156" s="651" t="s">
        <v>434</v>
      </c>
      <c r="C156" s="603">
        <v>0</v>
      </c>
      <c r="D156" s="581">
        <f t="shared" si="17"/>
        <v>0</v>
      </c>
      <c r="E156" s="581">
        <f t="shared" si="16"/>
        <v>0</v>
      </c>
      <c r="F156" s="582">
        <v>0</v>
      </c>
      <c r="G156" s="603">
        <v>0</v>
      </c>
      <c r="H156" s="581">
        <v>0</v>
      </c>
      <c r="I156" s="629">
        <v>0</v>
      </c>
      <c r="J156" s="586"/>
      <c r="K156" s="581"/>
      <c r="L156" s="587"/>
      <c r="M156" s="581"/>
      <c r="N156" s="581"/>
      <c r="O156" s="649"/>
      <c r="P156" s="603"/>
      <c r="Q156" s="581"/>
      <c r="R156" s="653"/>
    </row>
    <row r="157" spans="1:26" s="639" customFormat="1" ht="19.5" customHeight="1" thickBot="1" thickTop="1">
      <c r="A157" s="632">
        <v>630</v>
      </c>
      <c r="B157" s="633" t="s">
        <v>591</v>
      </c>
      <c r="C157" s="634">
        <f>C158++C167</f>
        <v>122000</v>
      </c>
      <c r="D157" s="556">
        <f t="shared" si="17"/>
        <v>122000</v>
      </c>
      <c r="E157" s="556">
        <f>H157+K157+Q157+N157</f>
        <v>56380</v>
      </c>
      <c r="F157" s="557">
        <f t="shared" si="14"/>
        <v>46.21311475409836</v>
      </c>
      <c r="G157" s="634">
        <f>SUM(G158)+G167</f>
        <v>122000</v>
      </c>
      <c r="H157" s="556">
        <f>SUM(H158)+H167</f>
        <v>56380</v>
      </c>
      <c r="I157" s="740">
        <f t="shared" si="18"/>
        <v>46.21311475409836</v>
      </c>
      <c r="J157" s="560"/>
      <c r="K157" s="556"/>
      <c r="L157" s="636"/>
      <c r="M157" s="556"/>
      <c r="N157" s="556"/>
      <c r="O157" s="637"/>
      <c r="P157" s="634"/>
      <c r="Q157" s="556"/>
      <c r="R157" s="741"/>
      <c r="S157" s="564"/>
      <c r="T157" s="564"/>
      <c r="U157" s="564"/>
      <c r="V157" s="564"/>
      <c r="W157" s="565"/>
      <c r="X157" s="565"/>
      <c r="Y157" s="565"/>
      <c r="Z157" s="565"/>
    </row>
    <row r="158" spans="1:18" ht="34.5" customHeight="1" thickTop="1">
      <c r="A158" s="640">
        <v>63003</v>
      </c>
      <c r="B158" s="742" t="s">
        <v>592</v>
      </c>
      <c r="C158" s="608">
        <f>SUM(C159:C161)+C164</f>
        <v>122000</v>
      </c>
      <c r="D158" s="642">
        <f t="shared" si="17"/>
        <v>122000</v>
      </c>
      <c r="E158" s="569">
        <f>H158+K158+Q158+N158</f>
        <v>56380</v>
      </c>
      <c r="F158" s="643">
        <f t="shared" si="14"/>
        <v>46.21311475409836</v>
      </c>
      <c r="G158" s="608">
        <f>SUM(G159:G161)+G164</f>
        <v>122000</v>
      </c>
      <c r="H158" s="595">
        <f>SUM(H159:H161)+H164</f>
        <v>56380</v>
      </c>
      <c r="I158" s="743">
        <f t="shared" si="18"/>
        <v>46.21311475409836</v>
      </c>
      <c r="J158" s="600"/>
      <c r="K158" s="595"/>
      <c r="L158" s="601"/>
      <c r="M158" s="595"/>
      <c r="N158" s="595"/>
      <c r="O158" s="645"/>
      <c r="P158" s="608"/>
      <c r="Q158" s="595"/>
      <c r="R158" s="731"/>
    </row>
    <row r="159" spans="1:18" ht="65.25" customHeight="1">
      <c r="A159" s="647">
        <v>2820</v>
      </c>
      <c r="B159" s="651" t="s">
        <v>593</v>
      </c>
      <c r="C159" s="603">
        <v>7000</v>
      </c>
      <c r="D159" s="581">
        <f t="shared" si="17"/>
        <v>7000</v>
      </c>
      <c r="E159" s="581">
        <f aca="true" t="shared" si="19" ref="E159:E186">SUM(H159+K159+N159+Q159)</f>
        <v>3000</v>
      </c>
      <c r="F159" s="582">
        <f t="shared" si="14"/>
        <v>42.857142857142854</v>
      </c>
      <c r="G159" s="603">
        <v>7000</v>
      </c>
      <c r="H159" s="581">
        <v>3000</v>
      </c>
      <c r="I159" s="582">
        <f t="shared" si="18"/>
        <v>42.857142857142854</v>
      </c>
      <c r="J159" s="581"/>
      <c r="K159" s="581"/>
      <c r="L159" s="587"/>
      <c r="M159" s="581"/>
      <c r="N159" s="581"/>
      <c r="O159" s="649"/>
      <c r="P159" s="603"/>
      <c r="Q159" s="581"/>
      <c r="R159" s="653"/>
    </row>
    <row r="160" spans="1:18" ht="72" hidden="1">
      <c r="A160" s="647">
        <v>2810</v>
      </c>
      <c r="B160" s="651" t="s">
        <v>594</v>
      </c>
      <c r="C160" s="603"/>
      <c r="D160" s="581">
        <f t="shared" si="17"/>
        <v>0</v>
      </c>
      <c r="E160" s="581">
        <f t="shared" si="19"/>
        <v>0</v>
      </c>
      <c r="F160" s="582" t="e">
        <f t="shared" si="14"/>
        <v>#DIV/0!</v>
      </c>
      <c r="G160" s="603"/>
      <c r="H160" s="581"/>
      <c r="I160" s="582" t="e">
        <f t="shared" si="18"/>
        <v>#DIV/0!</v>
      </c>
      <c r="J160" s="586"/>
      <c r="K160" s="581"/>
      <c r="L160" s="587"/>
      <c r="M160" s="581"/>
      <c r="N160" s="581"/>
      <c r="O160" s="649"/>
      <c r="P160" s="603"/>
      <c r="Q160" s="581"/>
      <c r="R160" s="653"/>
    </row>
    <row r="161" spans="1:18" ht="25.5" customHeight="1">
      <c r="A161" s="647">
        <v>4210</v>
      </c>
      <c r="B161" s="648" t="s">
        <v>691</v>
      </c>
      <c r="C161" s="603">
        <f>SUM(C162:C163)</f>
        <v>25000</v>
      </c>
      <c r="D161" s="581">
        <f t="shared" si="17"/>
        <v>11500</v>
      </c>
      <c r="E161" s="581">
        <f t="shared" si="19"/>
        <v>0</v>
      </c>
      <c r="F161" s="582">
        <f t="shared" si="14"/>
        <v>0</v>
      </c>
      <c r="G161" s="603">
        <f>SUM(G162:G163)</f>
        <v>11500</v>
      </c>
      <c r="H161" s="581">
        <f>SUM(H162:H163)</f>
        <v>0</v>
      </c>
      <c r="I161" s="629">
        <f t="shared" si="18"/>
        <v>0</v>
      </c>
      <c r="J161" s="586"/>
      <c r="K161" s="581"/>
      <c r="L161" s="587"/>
      <c r="M161" s="581"/>
      <c r="N161" s="581"/>
      <c r="O161" s="649"/>
      <c r="P161" s="603"/>
      <c r="Q161" s="581"/>
      <c r="R161" s="653"/>
    </row>
    <row r="162" spans="1:26" s="702" customFormat="1" ht="27" customHeight="1">
      <c r="A162" s="694"/>
      <c r="B162" s="744" t="s">
        <v>435</v>
      </c>
      <c r="C162" s="745">
        <v>5000</v>
      </c>
      <c r="D162" s="746">
        <f t="shared" si="17"/>
        <v>5000</v>
      </c>
      <c r="E162" s="746">
        <f t="shared" si="19"/>
        <v>0</v>
      </c>
      <c r="F162" s="747">
        <f t="shared" si="14"/>
        <v>0</v>
      </c>
      <c r="G162" s="745">
        <v>5000</v>
      </c>
      <c r="H162" s="746"/>
      <c r="I162" s="747">
        <f t="shared" si="18"/>
        <v>0</v>
      </c>
      <c r="J162" s="748"/>
      <c r="K162" s="746"/>
      <c r="L162" s="749"/>
      <c r="M162" s="746"/>
      <c r="N162" s="746"/>
      <c r="O162" s="749"/>
      <c r="P162" s="745"/>
      <c r="Q162" s="746"/>
      <c r="R162" s="750"/>
      <c r="S162" s="700"/>
      <c r="T162" s="700"/>
      <c r="U162" s="700"/>
      <c r="V162" s="700"/>
      <c r="W162" s="701"/>
      <c r="X162" s="701"/>
      <c r="Y162" s="701"/>
      <c r="Z162" s="701"/>
    </row>
    <row r="163" spans="1:26" s="702" customFormat="1" ht="12.75" customHeight="1">
      <c r="A163" s="694"/>
      <c r="B163" s="744" t="s">
        <v>436</v>
      </c>
      <c r="C163" s="745">
        <v>20000</v>
      </c>
      <c r="D163" s="746">
        <f t="shared" si="17"/>
        <v>6500</v>
      </c>
      <c r="E163" s="746">
        <f t="shared" si="19"/>
        <v>0</v>
      </c>
      <c r="F163" s="747">
        <f t="shared" si="14"/>
        <v>0</v>
      </c>
      <c r="G163" s="745">
        <f>20000-13500</f>
        <v>6500</v>
      </c>
      <c r="H163" s="746"/>
      <c r="I163" s="747">
        <f t="shared" si="18"/>
        <v>0</v>
      </c>
      <c r="J163" s="748"/>
      <c r="K163" s="746"/>
      <c r="L163" s="749"/>
      <c r="M163" s="746"/>
      <c r="N163" s="746"/>
      <c r="O163" s="749"/>
      <c r="P163" s="745"/>
      <c r="Q163" s="746"/>
      <c r="R163" s="750"/>
      <c r="S163" s="700"/>
      <c r="T163" s="700"/>
      <c r="U163" s="700"/>
      <c r="V163" s="700"/>
      <c r="W163" s="701"/>
      <c r="X163" s="701"/>
      <c r="Y163" s="701"/>
      <c r="Z163" s="701"/>
    </row>
    <row r="164" spans="1:18" ht="17.25" customHeight="1">
      <c r="A164" s="647">
        <v>4300</v>
      </c>
      <c r="B164" s="651" t="s">
        <v>199</v>
      </c>
      <c r="C164" s="603">
        <f>SUM(C165:C166)</f>
        <v>90000</v>
      </c>
      <c r="D164" s="581">
        <f t="shared" si="17"/>
        <v>103500</v>
      </c>
      <c r="E164" s="581">
        <f t="shared" si="19"/>
        <v>53380</v>
      </c>
      <c r="F164" s="582">
        <f t="shared" si="14"/>
        <v>51.57487922705314</v>
      </c>
      <c r="G164" s="603">
        <f>SUM(G165:G166)</f>
        <v>103500</v>
      </c>
      <c r="H164" s="581">
        <f>SUM(H165:H166)</f>
        <v>53380</v>
      </c>
      <c r="I164" s="629">
        <f t="shared" si="18"/>
        <v>51.57487922705314</v>
      </c>
      <c r="J164" s="586"/>
      <c r="K164" s="581"/>
      <c r="L164" s="587"/>
      <c r="M164" s="581"/>
      <c r="N164" s="581"/>
      <c r="O164" s="649"/>
      <c r="P164" s="603"/>
      <c r="Q164" s="581"/>
      <c r="R164" s="653"/>
    </row>
    <row r="165" spans="1:26" s="702" customFormat="1" ht="25.5" customHeight="1">
      <c r="A165" s="694"/>
      <c r="B165" s="744" t="s">
        <v>435</v>
      </c>
      <c r="C165" s="699">
        <v>40000</v>
      </c>
      <c r="D165" s="697">
        <f t="shared" si="17"/>
        <v>40000</v>
      </c>
      <c r="E165" s="697">
        <f t="shared" si="19"/>
        <v>4363</v>
      </c>
      <c r="F165" s="582">
        <f t="shared" si="14"/>
        <v>10.9075</v>
      </c>
      <c r="G165" s="699">
        <v>40000</v>
      </c>
      <c r="H165" s="697">
        <v>4363</v>
      </c>
      <c r="I165" s="629">
        <f t="shared" si="18"/>
        <v>10.9075</v>
      </c>
      <c r="J165" s="698"/>
      <c r="K165" s="697"/>
      <c r="L165" s="587"/>
      <c r="M165" s="697"/>
      <c r="N165" s="697"/>
      <c r="O165" s="587"/>
      <c r="P165" s="699"/>
      <c r="Q165" s="697"/>
      <c r="R165" s="715"/>
      <c r="S165" s="700"/>
      <c r="T165" s="700"/>
      <c r="U165" s="700"/>
      <c r="V165" s="700"/>
      <c r="W165" s="701"/>
      <c r="X165" s="701"/>
      <c r="Y165" s="701"/>
      <c r="Z165" s="701"/>
    </row>
    <row r="166" spans="1:26" s="702" customFormat="1" ht="14.25" customHeight="1" thickBot="1">
      <c r="A166" s="694"/>
      <c r="B166" s="744" t="s">
        <v>436</v>
      </c>
      <c r="C166" s="699">
        <v>50000</v>
      </c>
      <c r="D166" s="697">
        <f t="shared" si="17"/>
        <v>63500</v>
      </c>
      <c r="E166" s="697">
        <f t="shared" si="19"/>
        <v>49017</v>
      </c>
      <c r="F166" s="582">
        <f t="shared" si="14"/>
        <v>77.19212598425197</v>
      </c>
      <c r="G166" s="699">
        <f>50000+13500</f>
        <v>63500</v>
      </c>
      <c r="H166" s="697">
        <f>49018-1</f>
        <v>49017</v>
      </c>
      <c r="I166" s="629">
        <f t="shared" si="18"/>
        <v>77.19212598425197</v>
      </c>
      <c r="J166" s="698"/>
      <c r="K166" s="697"/>
      <c r="L166" s="587"/>
      <c r="M166" s="697"/>
      <c r="N166" s="697"/>
      <c r="O166" s="587"/>
      <c r="P166" s="699"/>
      <c r="Q166" s="697"/>
      <c r="R166" s="715"/>
      <c r="S166" s="700"/>
      <c r="T166" s="700"/>
      <c r="U166" s="700"/>
      <c r="V166" s="700"/>
      <c r="W166" s="701"/>
      <c r="X166" s="701"/>
      <c r="Y166" s="701"/>
      <c r="Z166" s="701"/>
    </row>
    <row r="167" spans="1:26" s="639" customFormat="1" ht="16.5" customHeight="1" hidden="1" thickBot="1">
      <c r="A167" s="640">
        <v>63095</v>
      </c>
      <c r="B167" s="742" t="s">
        <v>213</v>
      </c>
      <c r="C167" s="608">
        <f>C168+C175+C187</f>
        <v>0</v>
      </c>
      <c r="D167" s="595">
        <f t="shared" si="17"/>
        <v>0</v>
      </c>
      <c r="E167" s="595">
        <f t="shared" si="19"/>
        <v>0</v>
      </c>
      <c r="F167" s="609"/>
      <c r="G167" s="608">
        <f>G168+G175+G187</f>
        <v>0</v>
      </c>
      <c r="H167" s="595">
        <f>H168+H175+H187</f>
        <v>0</v>
      </c>
      <c r="I167" s="751"/>
      <c r="J167" s="600"/>
      <c r="K167" s="595"/>
      <c r="L167" s="601"/>
      <c r="M167" s="595"/>
      <c r="N167" s="595"/>
      <c r="O167" s="684"/>
      <c r="P167" s="608"/>
      <c r="Q167" s="595"/>
      <c r="R167" s="685"/>
      <c r="S167" s="564"/>
      <c r="T167" s="564"/>
      <c r="U167" s="564"/>
      <c r="V167" s="564"/>
      <c r="W167" s="565"/>
      <c r="X167" s="565"/>
      <c r="Y167" s="565"/>
      <c r="Z167" s="565"/>
    </row>
    <row r="168" spans="1:26" s="760" customFormat="1" ht="24.75" hidden="1" thickBot="1">
      <c r="A168" s="752"/>
      <c r="B168" s="753" t="s">
        <v>595</v>
      </c>
      <c r="C168" s="754">
        <f>SUM(C169:C174)</f>
        <v>0</v>
      </c>
      <c r="D168" s="755">
        <f t="shared" si="17"/>
        <v>0</v>
      </c>
      <c r="E168" s="755">
        <f t="shared" si="19"/>
        <v>0</v>
      </c>
      <c r="F168" s="630"/>
      <c r="G168" s="754">
        <f>SUM(G169:G174)</f>
        <v>0</v>
      </c>
      <c r="H168" s="755">
        <f>SUM(H169:H174)</f>
        <v>0</v>
      </c>
      <c r="I168" s="629"/>
      <c r="J168" s="756"/>
      <c r="K168" s="755"/>
      <c r="L168" s="662"/>
      <c r="M168" s="755"/>
      <c r="N168" s="755"/>
      <c r="O168" s="662"/>
      <c r="P168" s="754"/>
      <c r="Q168" s="755"/>
      <c r="R168" s="757"/>
      <c r="S168" s="758"/>
      <c r="T168" s="758"/>
      <c r="U168" s="758"/>
      <c r="V168" s="758"/>
      <c r="W168" s="759"/>
      <c r="X168" s="759"/>
      <c r="Y168" s="759"/>
      <c r="Z168" s="759"/>
    </row>
    <row r="169" spans="1:18" ht="16.5" customHeight="1" hidden="1">
      <c r="A169" s="647">
        <v>4308</v>
      </c>
      <c r="B169" s="651" t="s">
        <v>216</v>
      </c>
      <c r="C169" s="603"/>
      <c r="D169" s="581">
        <f t="shared" si="17"/>
        <v>0</v>
      </c>
      <c r="E169" s="581">
        <f t="shared" si="19"/>
        <v>0</v>
      </c>
      <c r="F169" s="761"/>
      <c r="G169" s="603"/>
      <c r="H169" s="581"/>
      <c r="I169" s="650"/>
      <c r="J169" s="586"/>
      <c r="K169" s="581"/>
      <c r="L169" s="587"/>
      <c r="M169" s="581"/>
      <c r="N169" s="581"/>
      <c r="O169" s="649"/>
      <c r="P169" s="603"/>
      <c r="Q169" s="581"/>
      <c r="R169" s="653"/>
    </row>
    <row r="170" spans="1:18" ht="16.5" customHeight="1" hidden="1">
      <c r="A170" s="647">
        <v>4309</v>
      </c>
      <c r="B170" s="651" t="s">
        <v>216</v>
      </c>
      <c r="C170" s="603"/>
      <c r="D170" s="581">
        <f t="shared" si="17"/>
        <v>0</v>
      </c>
      <c r="E170" s="581">
        <f t="shared" si="19"/>
        <v>0</v>
      </c>
      <c r="F170" s="761"/>
      <c r="G170" s="603"/>
      <c r="H170" s="581"/>
      <c r="I170" s="650"/>
      <c r="J170" s="586"/>
      <c r="K170" s="581"/>
      <c r="L170" s="587"/>
      <c r="M170" s="581"/>
      <c r="N170" s="581"/>
      <c r="O170" s="649"/>
      <c r="P170" s="603"/>
      <c r="Q170" s="581"/>
      <c r="R170" s="653"/>
    </row>
    <row r="171" spans="1:18" ht="16.5" customHeight="1" hidden="1">
      <c r="A171" s="647">
        <v>4418</v>
      </c>
      <c r="B171" s="651" t="s">
        <v>173</v>
      </c>
      <c r="C171" s="603"/>
      <c r="D171" s="581">
        <f t="shared" si="17"/>
        <v>0</v>
      </c>
      <c r="E171" s="581">
        <f t="shared" si="19"/>
        <v>0</v>
      </c>
      <c r="F171" s="761"/>
      <c r="G171" s="603"/>
      <c r="H171" s="581"/>
      <c r="I171" s="650"/>
      <c r="J171" s="586"/>
      <c r="K171" s="581"/>
      <c r="L171" s="587"/>
      <c r="M171" s="581"/>
      <c r="N171" s="581"/>
      <c r="O171" s="649"/>
      <c r="P171" s="603"/>
      <c r="Q171" s="581"/>
      <c r="R171" s="653"/>
    </row>
    <row r="172" spans="1:18" ht="16.5" customHeight="1" hidden="1" thickBot="1">
      <c r="A172" s="647">
        <v>4419</v>
      </c>
      <c r="B172" s="651" t="s">
        <v>173</v>
      </c>
      <c r="C172" s="603"/>
      <c r="D172" s="581">
        <f t="shared" si="17"/>
        <v>0</v>
      </c>
      <c r="E172" s="581">
        <f t="shared" si="19"/>
        <v>0</v>
      </c>
      <c r="F172" s="761"/>
      <c r="G172" s="603"/>
      <c r="H172" s="581"/>
      <c r="I172" s="650"/>
      <c r="J172" s="586"/>
      <c r="K172" s="581"/>
      <c r="L172" s="587"/>
      <c r="M172" s="581"/>
      <c r="N172" s="581"/>
      <c r="O172" s="649"/>
      <c r="P172" s="603"/>
      <c r="Q172" s="581"/>
      <c r="R172" s="653"/>
    </row>
    <row r="173" spans="1:18" ht="24.75" hidden="1" thickBot="1">
      <c r="A173" s="647">
        <v>4428</v>
      </c>
      <c r="B173" s="651" t="s">
        <v>596</v>
      </c>
      <c r="C173" s="603"/>
      <c r="D173" s="581">
        <f t="shared" si="17"/>
        <v>0</v>
      </c>
      <c r="E173" s="581">
        <f t="shared" si="19"/>
        <v>0</v>
      </c>
      <c r="F173" s="761"/>
      <c r="G173" s="603"/>
      <c r="H173" s="581"/>
      <c r="I173" s="650"/>
      <c r="J173" s="586"/>
      <c r="K173" s="581"/>
      <c r="L173" s="587"/>
      <c r="M173" s="581"/>
      <c r="N173" s="581"/>
      <c r="O173" s="649"/>
      <c r="P173" s="603"/>
      <c r="Q173" s="581"/>
      <c r="R173" s="653"/>
    </row>
    <row r="174" spans="1:18" ht="24.75" hidden="1" thickBot="1">
      <c r="A174" s="647">
        <v>4429</v>
      </c>
      <c r="B174" s="651" t="s">
        <v>596</v>
      </c>
      <c r="C174" s="603"/>
      <c r="D174" s="581">
        <f t="shared" si="17"/>
        <v>0</v>
      </c>
      <c r="E174" s="581">
        <f t="shared" si="19"/>
        <v>0</v>
      </c>
      <c r="F174" s="761"/>
      <c r="G174" s="603"/>
      <c r="H174" s="581"/>
      <c r="I174" s="650"/>
      <c r="J174" s="586"/>
      <c r="K174" s="581"/>
      <c r="L174" s="587"/>
      <c r="M174" s="581"/>
      <c r="N174" s="581"/>
      <c r="O174" s="649"/>
      <c r="P174" s="603"/>
      <c r="Q174" s="581"/>
      <c r="R174" s="653"/>
    </row>
    <row r="175" spans="1:26" s="760" customFormat="1" ht="48.75" hidden="1" thickBot="1">
      <c r="A175" s="752"/>
      <c r="B175" s="753" t="s">
        <v>597</v>
      </c>
      <c r="C175" s="754">
        <f>SUM(C176:C186)</f>
        <v>0</v>
      </c>
      <c r="D175" s="755">
        <f t="shared" si="17"/>
        <v>0</v>
      </c>
      <c r="E175" s="755">
        <f t="shared" si="19"/>
        <v>0</v>
      </c>
      <c r="F175" s="582"/>
      <c r="G175" s="754">
        <f>SUM(G176:G186)</f>
        <v>0</v>
      </c>
      <c r="H175" s="755">
        <f>SUM(H176:H186)</f>
        <v>0</v>
      </c>
      <c r="I175" s="629"/>
      <c r="J175" s="756"/>
      <c r="K175" s="755"/>
      <c r="L175" s="662"/>
      <c r="M175" s="755"/>
      <c r="N175" s="755"/>
      <c r="O175" s="662"/>
      <c r="P175" s="754"/>
      <c r="Q175" s="755"/>
      <c r="R175" s="757"/>
      <c r="S175" s="758"/>
      <c r="T175" s="758"/>
      <c r="U175" s="758"/>
      <c r="V175" s="758"/>
      <c r="W175" s="759"/>
      <c r="X175" s="759"/>
      <c r="Y175" s="759"/>
      <c r="Z175" s="759"/>
    </row>
    <row r="176" spans="1:18" ht="36.75" hidden="1" thickBot="1">
      <c r="A176" s="647">
        <v>4110</v>
      </c>
      <c r="B176" s="651" t="s">
        <v>250</v>
      </c>
      <c r="C176" s="603"/>
      <c r="D176" s="581">
        <f t="shared" si="17"/>
        <v>0</v>
      </c>
      <c r="E176" s="581">
        <f t="shared" si="19"/>
        <v>0</v>
      </c>
      <c r="F176" s="761"/>
      <c r="G176" s="603"/>
      <c r="H176" s="581"/>
      <c r="I176" s="650"/>
      <c r="J176" s="586"/>
      <c r="K176" s="581"/>
      <c r="L176" s="587"/>
      <c r="M176" s="581"/>
      <c r="N176" s="581"/>
      <c r="O176" s="649"/>
      <c r="P176" s="603"/>
      <c r="Q176" s="581"/>
      <c r="R176" s="653"/>
    </row>
    <row r="177" spans="1:18" ht="16.5" customHeight="1" hidden="1" thickBot="1">
      <c r="A177" s="647">
        <v>4120</v>
      </c>
      <c r="B177" s="651" t="s">
        <v>251</v>
      </c>
      <c r="C177" s="603"/>
      <c r="D177" s="581">
        <f t="shared" si="17"/>
        <v>0</v>
      </c>
      <c r="E177" s="581">
        <f t="shared" si="19"/>
        <v>0</v>
      </c>
      <c r="F177" s="761"/>
      <c r="G177" s="603"/>
      <c r="H177" s="581"/>
      <c r="I177" s="650"/>
      <c r="J177" s="586"/>
      <c r="K177" s="581"/>
      <c r="L177" s="587"/>
      <c r="M177" s="581"/>
      <c r="N177" s="581"/>
      <c r="O177" s="649"/>
      <c r="P177" s="603"/>
      <c r="Q177" s="581"/>
      <c r="R177" s="653"/>
    </row>
    <row r="178" spans="1:18" ht="24.75" hidden="1" thickBot="1">
      <c r="A178" s="647">
        <v>4178</v>
      </c>
      <c r="B178" s="651" t="s">
        <v>221</v>
      </c>
      <c r="C178" s="603"/>
      <c r="D178" s="581">
        <f t="shared" si="17"/>
        <v>0</v>
      </c>
      <c r="E178" s="581">
        <f t="shared" si="19"/>
        <v>0</v>
      </c>
      <c r="F178" s="761"/>
      <c r="G178" s="603"/>
      <c r="H178" s="581"/>
      <c r="I178" s="650"/>
      <c r="J178" s="586"/>
      <c r="K178" s="581"/>
      <c r="L178" s="587"/>
      <c r="M178" s="581"/>
      <c r="N178" s="581"/>
      <c r="O178" s="649"/>
      <c r="P178" s="603"/>
      <c r="Q178" s="581"/>
      <c r="R178" s="653"/>
    </row>
    <row r="179" spans="1:18" ht="24.75" hidden="1" thickBot="1">
      <c r="A179" s="647">
        <v>4179</v>
      </c>
      <c r="B179" s="651" t="s">
        <v>221</v>
      </c>
      <c r="C179" s="603"/>
      <c r="D179" s="581">
        <f t="shared" si="17"/>
        <v>0</v>
      </c>
      <c r="E179" s="581">
        <f t="shared" si="19"/>
        <v>0</v>
      </c>
      <c r="F179" s="761"/>
      <c r="G179" s="603"/>
      <c r="H179" s="581"/>
      <c r="I179" s="650"/>
      <c r="J179" s="586"/>
      <c r="K179" s="581"/>
      <c r="L179" s="587"/>
      <c r="M179" s="581"/>
      <c r="N179" s="581"/>
      <c r="O179" s="649"/>
      <c r="P179" s="603"/>
      <c r="Q179" s="581"/>
      <c r="R179" s="653"/>
    </row>
    <row r="180" spans="1:18" ht="24.75" hidden="1" thickBot="1">
      <c r="A180" s="647">
        <v>4218</v>
      </c>
      <c r="B180" s="648" t="s">
        <v>191</v>
      </c>
      <c r="C180" s="603"/>
      <c r="D180" s="581">
        <f t="shared" si="17"/>
        <v>0</v>
      </c>
      <c r="E180" s="581">
        <f t="shared" si="19"/>
        <v>0</v>
      </c>
      <c r="F180" s="761"/>
      <c r="G180" s="603"/>
      <c r="H180" s="581"/>
      <c r="I180" s="650"/>
      <c r="J180" s="586"/>
      <c r="K180" s="581"/>
      <c r="L180" s="587"/>
      <c r="M180" s="581"/>
      <c r="N180" s="581"/>
      <c r="O180" s="649"/>
      <c r="P180" s="603"/>
      <c r="Q180" s="581"/>
      <c r="R180" s="653"/>
    </row>
    <row r="181" spans="1:18" ht="24.75" hidden="1" thickBot="1">
      <c r="A181" s="647">
        <v>4219</v>
      </c>
      <c r="B181" s="648" t="s">
        <v>191</v>
      </c>
      <c r="C181" s="603"/>
      <c r="D181" s="581">
        <f t="shared" si="17"/>
        <v>0</v>
      </c>
      <c r="E181" s="581">
        <f t="shared" si="19"/>
        <v>0</v>
      </c>
      <c r="F181" s="761"/>
      <c r="G181" s="603"/>
      <c r="H181" s="581"/>
      <c r="I181" s="650"/>
      <c r="J181" s="586"/>
      <c r="K181" s="581"/>
      <c r="L181" s="587"/>
      <c r="M181" s="581"/>
      <c r="N181" s="581"/>
      <c r="O181" s="649"/>
      <c r="P181" s="603"/>
      <c r="Q181" s="581"/>
      <c r="R181" s="653"/>
    </row>
    <row r="182" spans="1:18" ht="16.5" customHeight="1" hidden="1">
      <c r="A182" s="647">
        <v>4300</v>
      </c>
      <c r="B182" s="651" t="s">
        <v>216</v>
      </c>
      <c r="C182" s="603"/>
      <c r="D182" s="581">
        <f t="shared" si="17"/>
        <v>0</v>
      </c>
      <c r="E182" s="581">
        <f t="shared" si="19"/>
        <v>0</v>
      </c>
      <c r="F182" s="761"/>
      <c r="G182" s="603"/>
      <c r="H182" s="581"/>
      <c r="I182" s="650"/>
      <c r="J182" s="586"/>
      <c r="K182" s="581"/>
      <c r="L182" s="587"/>
      <c r="M182" s="581"/>
      <c r="N182" s="581"/>
      <c r="O182" s="649"/>
      <c r="P182" s="603"/>
      <c r="Q182" s="581"/>
      <c r="R182" s="653"/>
    </row>
    <row r="183" spans="1:18" ht="16.5" customHeight="1" hidden="1">
      <c r="A183" s="647">
        <v>4308</v>
      </c>
      <c r="B183" s="651" t="s">
        <v>216</v>
      </c>
      <c r="C183" s="603"/>
      <c r="D183" s="581">
        <f t="shared" si="17"/>
        <v>0</v>
      </c>
      <c r="E183" s="581">
        <f>SUM(H183+K183+N183+Q183)</f>
        <v>0</v>
      </c>
      <c r="F183" s="761"/>
      <c r="G183" s="603"/>
      <c r="H183" s="581"/>
      <c r="I183" s="650"/>
      <c r="J183" s="586"/>
      <c r="K183" s="581"/>
      <c r="L183" s="587"/>
      <c r="M183" s="581"/>
      <c r="N183" s="581"/>
      <c r="O183" s="649"/>
      <c r="P183" s="603"/>
      <c r="Q183" s="581"/>
      <c r="R183" s="653"/>
    </row>
    <row r="184" spans="1:18" ht="16.5" customHeight="1" hidden="1" thickBot="1">
      <c r="A184" s="647">
        <v>4309</v>
      </c>
      <c r="B184" s="651" t="s">
        <v>216</v>
      </c>
      <c r="C184" s="603"/>
      <c r="D184" s="581">
        <f t="shared" si="17"/>
        <v>0</v>
      </c>
      <c r="E184" s="581">
        <f>SUM(H184+K184+N184+Q184)</f>
        <v>0</v>
      </c>
      <c r="F184" s="761"/>
      <c r="G184" s="603"/>
      <c r="H184" s="581"/>
      <c r="I184" s="650"/>
      <c r="J184" s="586"/>
      <c r="K184" s="581"/>
      <c r="L184" s="587"/>
      <c r="M184" s="581"/>
      <c r="N184" s="581"/>
      <c r="O184" s="649"/>
      <c r="P184" s="603"/>
      <c r="Q184" s="581"/>
      <c r="R184" s="653"/>
    </row>
    <row r="185" spans="1:18" ht="36.75" hidden="1" thickBot="1">
      <c r="A185" s="647">
        <v>4388</v>
      </c>
      <c r="B185" s="651" t="s">
        <v>598</v>
      </c>
      <c r="C185" s="603"/>
      <c r="D185" s="581">
        <f t="shared" si="17"/>
        <v>0</v>
      </c>
      <c r="E185" s="581">
        <f t="shared" si="19"/>
        <v>0</v>
      </c>
      <c r="F185" s="761"/>
      <c r="G185" s="603"/>
      <c r="H185" s="581"/>
      <c r="I185" s="650"/>
      <c r="J185" s="586"/>
      <c r="K185" s="581"/>
      <c r="L185" s="587"/>
      <c r="M185" s="581"/>
      <c r="N185" s="581"/>
      <c r="O185" s="649"/>
      <c r="P185" s="603"/>
      <c r="Q185" s="581"/>
      <c r="R185" s="653"/>
    </row>
    <row r="186" spans="1:18" ht="36.75" hidden="1" thickBot="1">
      <c r="A186" s="647">
        <v>4389</v>
      </c>
      <c r="B186" s="651" t="s">
        <v>598</v>
      </c>
      <c r="C186" s="603"/>
      <c r="D186" s="581">
        <f t="shared" si="17"/>
        <v>0</v>
      </c>
      <c r="E186" s="581">
        <f t="shared" si="19"/>
        <v>0</v>
      </c>
      <c r="F186" s="761"/>
      <c r="G186" s="603"/>
      <c r="H186" s="581"/>
      <c r="I186" s="650"/>
      <c r="J186" s="586"/>
      <c r="K186" s="581"/>
      <c r="L186" s="587"/>
      <c r="M186" s="581"/>
      <c r="N186" s="581"/>
      <c r="O186" s="649"/>
      <c r="P186" s="603"/>
      <c r="Q186" s="581"/>
      <c r="R186" s="653"/>
    </row>
    <row r="187" spans="1:26" s="760" customFormat="1" ht="36.75" hidden="1" thickBot="1">
      <c r="A187" s="752"/>
      <c r="B187" s="753" t="s">
        <v>599</v>
      </c>
      <c r="C187" s="754">
        <f>SUM(C188)</f>
        <v>0</v>
      </c>
      <c r="D187" s="755">
        <f t="shared" si="17"/>
        <v>0</v>
      </c>
      <c r="E187" s="755">
        <f>SUM(H187+K187+N187+Q187)</f>
        <v>0</v>
      </c>
      <c r="F187" s="630"/>
      <c r="G187" s="754">
        <f>SUM(G188)</f>
        <v>0</v>
      </c>
      <c r="H187" s="755">
        <f>SUM(H188)</f>
        <v>0</v>
      </c>
      <c r="I187" s="650"/>
      <c r="J187" s="756"/>
      <c r="K187" s="755"/>
      <c r="L187" s="662"/>
      <c r="M187" s="755"/>
      <c r="N187" s="755"/>
      <c r="O187" s="662"/>
      <c r="P187" s="754"/>
      <c r="Q187" s="755"/>
      <c r="R187" s="757"/>
      <c r="S187" s="758"/>
      <c r="T187" s="758"/>
      <c r="U187" s="758"/>
      <c r="V187" s="758"/>
      <c r="W187" s="759"/>
      <c r="X187" s="759"/>
      <c r="Y187" s="759"/>
      <c r="Z187" s="759"/>
    </row>
    <row r="188" spans="1:18" ht="72.75" hidden="1" thickBot="1">
      <c r="A188" s="647">
        <v>2710</v>
      </c>
      <c r="B188" s="651" t="s">
        <v>600</v>
      </c>
      <c r="C188" s="603"/>
      <c r="D188" s="581">
        <f t="shared" si="17"/>
        <v>0</v>
      </c>
      <c r="E188" s="581">
        <f>SUM(H188+K188+N188+Q188)</f>
        <v>0</v>
      </c>
      <c r="F188" s="761"/>
      <c r="G188" s="603">
        <f>100000-100000</f>
        <v>0</v>
      </c>
      <c r="H188" s="581"/>
      <c r="I188" s="650"/>
      <c r="J188" s="586"/>
      <c r="K188" s="581"/>
      <c r="L188" s="587"/>
      <c r="M188" s="581"/>
      <c r="N188" s="581"/>
      <c r="O188" s="649"/>
      <c r="P188" s="603"/>
      <c r="Q188" s="581"/>
      <c r="R188" s="653"/>
    </row>
    <row r="189" spans="1:18" ht="24.75" customHeight="1" thickBot="1" thickTop="1">
      <c r="A189" s="632">
        <v>700</v>
      </c>
      <c r="B189" s="633" t="s">
        <v>601</v>
      </c>
      <c r="C189" s="634">
        <f>C190+C193+C214+C212</f>
        <v>14570900</v>
      </c>
      <c r="D189" s="556">
        <f t="shared" si="17"/>
        <v>14736900</v>
      </c>
      <c r="E189" s="556">
        <f>H189+K189+Q189+N189</f>
        <v>1969542</v>
      </c>
      <c r="F189" s="557">
        <f aca="true" t="shared" si="20" ref="F189:F252">E189/D189*100</f>
        <v>13.364696781548357</v>
      </c>
      <c r="G189" s="634">
        <f>G190+G193+G214+G212</f>
        <v>14708900</v>
      </c>
      <c r="H189" s="556">
        <f>H190+H193+H214+H212</f>
        <v>1967217</v>
      </c>
      <c r="I189" s="559">
        <f t="shared" si="18"/>
        <v>13.37433118724038</v>
      </c>
      <c r="J189" s="556"/>
      <c r="K189" s="556"/>
      <c r="L189" s="636"/>
      <c r="M189" s="556"/>
      <c r="N189" s="556"/>
      <c r="O189" s="637"/>
      <c r="P189" s="634">
        <f>P190+P193+P214</f>
        <v>28000</v>
      </c>
      <c r="Q189" s="556">
        <f>Q190+Q193+Q214</f>
        <v>2325</v>
      </c>
      <c r="R189" s="559">
        <f>Q189/P189*100</f>
        <v>8.303571428571429</v>
      </c>
    </row>
    <row r="190" spans="1:26" s="639" customFormat="1" ht="24.75" thickTop="1">
      <c r="A190" s="719">
        <v>70001</v>
      </c>
      <c r="B190" s="720" t="s">
        <v>602</v>
      </c>
      <c r="C190" s="721">
        <f>SUM(C191:C192)</f>
        <v>5300000</v>
      </c>
      <c r="D190" s="642">
        <f t="shared" si="17"/>
        <v>5466000</v>
      </c>
      <c r="E190" s="569">
        <f aca="true" t="shared" si="21" ref="E190:E225">SUM(H190+K190+N190+Q190)</f>
        <v>1249800</v>
      </c>
      <c r="F190" s="643">
        <f t="shared" si="20"/>
        <v>22.864983534577387</v>
      </c>
      <c r="G190" s="762">
        <f>SUM(G191:G192)</f>
        <v>5466000</v>
      </c>
      <c r="H190" s="569">
        <f>SUM(H191:H192)</f>
        <v>1249800</v>
      </c>
      <c r="I190" s="679">
        <f t="shared" si="18"/>
        <v>22.864983534577387</v>
      </c>
      <c r="J190" s="642"/>
      <c r="K190" s="723"/>
      <c r="L190" s="763"/>
      <c r="M190" s="642"/>
      <c r="N190" s="642"/>
      <c r="O190" s="689"/>
      <c r="P190" s="721"/>
      <c r="Q190" s="642"/>
      <c r="R190" s="680"/>
      <c r="S190" s="564"/>
      <c r="T190" s="564"/>
      <c r="U190" s="564"/>
      <c r="V190" s="564"/>
      <c r="W190" s="565"/>
      <c r="X190" s="565"/>
      <c r="Y190" s="565"/>
      <c r="Z190" s="565"/>
    </row>
    <row r="191" spans="1:18" ht="36">
      <c r="A191" s="667">
        <v>2650</v>
      </c>
      <c r="B191" s="668" t="s">
        <v>603</v>
      </c>
      <c r="C191" s="606">
        <v>5000000</v>
      </c>
      <c r="D191" s="615">
        <f t="shared" si="17"/>
        <v>5000000</v>
      </c>
      <c r="E191" s="615">
        <f t="shared" si="21"/>
        <v>1249800</v>
      </c>
      <c r="F191" s="604">
        <f t="shared" si="20"/>
        <v>24.996</v>
      </c>
      <c r="G191" s="606">
        <v>5000000</v>
      </c>
      <c r="H191" s="615">
        <v>1249800</v>
      </c>
      <c r="I191" s="590">
        <f t="shared" si="18"/>
        <v>24.996</v>
      </c>
      <c r="J191" s="618"/>
      <c r="K191" s="618"/>
      <c r="L191" s="619"/>
      <c r="M191" s="615"/>
      <c r="N191" s="615"/>
      <c r="O191" s="686"/>
      <c r="P191" s="606"/>
      <c r="Q191" s="615"/>
      <c r="R191" s="671"/>
    </row>
    <row r="192" spans="1:18" ht="74.25" customHeight="1">
      <c r="A192" s="672">
        <v>6210</v>
      </c>
      <c r="B192" s="673" t="s">
        <v>604</v>
      </c>
      <c r="C192" s="603">
        <v>300000</v>
      </c>
      <c r="D192" s="581">
        <f t="shared" si="17"/>
        <v>466000</v>
      </c>
      <c r="E192" s="581">
        <f t="shared" si="21"/>
        <v>0</v>
      </c>
      <c r="F192" s="582">
        <f t="shared" si="20"/>
        <v>0</v>
      </c>
      <c r="G192" s="603">
        <f>300000+166000</f>
        <v>466000</v>
      </c>
      <c r="H192" s="581"/>
      <c r="I192" s="585">
        <f t="shared" si="18"/>
        <v>0</v>
      </c>
      <c r="J192" s="586"/>
      <c r="K192" s="581"/>
      <c r="L192" s="587"/>
      <c r="M192" s="581"/>
      <c r="N192" s="581"/>
      <c r="O192" s="649"/>
      <c r="P192" s="603"/>
      <c r="Q192" s="581"/>
      <c r="R192" s="653"/>
    </row>
    <row r="193" spans="1:26" s="639" customFormat="1" ht="24.75" customHeight="1">
      <c r="A193" s="640">
        <v>70005</v>
      </c>
      <c r="B193" s="742" t="s">
        <v>605</v>
      </c>
      <c r="C193" s="608">
        <f>SUM(C194:C211)</f>
        <v>3702400</v>
      </c>
      <c r="D193" s="595">
        <f t="shared" si="17"/>
        <v>3699400</v>
      </c>
      <c r="E193" s="595">
        <f>H193+K193+Q193+N193</f>
        <v>141214</v>
      </c>
      <c r="F193" s="596">
        <f t="shared" si="20"/>
        <v>3.817213602205763</v>
      </c>
      <c r="G193" s="608">
        <f>SUM(G194:G211)</f>
        <v>3671400</v>
      </c>
      <c r="H193" s="595">
        <f>SUM(H194:H211)</f>
        <v>138889</v>
      </c>
      <c r="I193" s="602">
        <f t="shared" si="18"/>
        <v>3.7829983112709047</v>
      </c>
      <c r="J193" s="600"/>
      <c r="K193" s="595"/>
      <c r="L193" s="601"/>
      <c r="M193" s="595"/>
      <c r="N193" s="595"/>
      <c r="O193" s="645"/>
      <c r="P193" s="608">
        <f>SUM(P194:P211)</f>
        <v>28000</v>
      </c>
      <c r="Q193" s="595">
        <f>SUM(Q194:Q211)</f>
        <v>2325</v>
      </c>
      <c r="R193" s="602">
        <f>Q193/P193*100</f>
        <v>8.303571428571429</v>
      </c>
      <c r="S193" s="564"/>
      <c r="T193" s="564"/>
      <c r="U193" s="564"/>
      <c r="V193" s="564"/>
      <c r="W193" s="565"/>
      <c r="X193" s="565"/>
      <c r="Y193" s="565"/>
      <c r="Z193" s="565"/>
    </row>
    <row r="194" spans="1:18" ht="24" hidden="1">
      <c r="A194" s="647">
        <v>4300</v>
      </c>
      <c r="B194" s="651" t="s">
        <v>606</v>
      </c>
      <c r="C194" s="606"/>
      <c r="D194" s="615">
        <f t="shared" si="17"/>
        <v>0</v>
      </c>
      <c r="E194" s="615">
        <f t="shared" si="21"/>
        <v>0</v>
      </c>
      <c r="F194" s="604" t="e">
        <f t="shared" si="20"/>
        <v>#DIV/0!</v>
      </c>
      <c r="G194" s="606"/>
      <c r="H194" s="615"/>
      <c r="I194" s="590" t="e">
        <f t="shared" si="18"/>
        <v>#DIV/0!</v>
      </c>
      <c r="J194" s="618"/>
      <c r="K194" s="615"/>
      <c r="L194" s="619"/>
      <c r="M194" s="615"/>
      <c r="N194" s="615"/>
      <c r="O194" s="686"/>
      <c r="P194" s="606"/>
      <c r="Q194" s="615"/>
      <c r="R194" s="671"/>
    </row>
    <row r="195" spans="1:18" ht="29.25" customHeight="1" hidden="1">
      <c r="A195" s="647">
        <v>4300</v>
      </c>
      <c r="B195" s="651" t="s">
        <v>607</v>
      </c>
      <c r="C195" s="603"/>
      <c r="D195" s="581">
        <f t="shared" si="17"/>
        <v>0</v>
      </c>
      <c r="E195" s="581">
        <f t="shared" si="21"/>
        <v>0</v>
      </c>
      <c r="F195" s="627" t="e">
        <f t="shared" si="20"/>
        <v>#DIV/0!</v>
      </c>
      <c r="G195" s="603"/>
      <c r="H195" s="581"/>
      <c r="I195" s="585"/>
      <c r="J195" s="586"/>
      <c r="K195" s="581"/>
      <c r="L195" s="587"/>
      <c r="M195" s="581"/>
      <c r="N195" s="581"/>
      <c r="O195" s="649"/>
      <c r="P195" s="603"/>
      <c r="Q195" s="581"/>
      <c r="R195" s="653"/>
    </row>
    <row r="196" spans="1:18" ht="24.75" customHeight="1" hidden="1">
      <c r="A196" s="647">
        <v>4210</v>
      </c>
      <c r="B196" s="648" t="s">
        <v>191</v>
      </c>
      <c r="C196" s="603"/>
      <c r="D196" s="581">
        <f t="shared" si="17"/>
        <v>0</v>
      </c>
      <c r="E196" s="581">
        <f t="shared" si="21"/>
        <v>0</v>
      </c>
      <c r="F196" s="627" t="e">
        <f t="shared" si="20"/>
        <v>#DIV/0!</v>
      </c>
      <c r="G196" s="603"/>
      <c r="H196" s="581"/>
      <c r="I196" s="585"/>
      <c r="J196" s="586"/>
      <c r="K196" s="581"/>
      <c r="L196" s="587"/>
      <c r="M196" s="581"/>
      <c r="N196" s="581"/>
      <c r="O196" s="649"/>
      <c r="P196" s="603"/>
      <c r="Q196" s="581"/>
      <c r="R196" s="585"/>
    </row>
    <row r="197" spans="1:18" ht="24.75" customHeight="1" hidden="1">
      <c r="A197" s="647">
        <v>4170</v>
      </c>
      <c r="B197" s="648" t="s">
        <v>221</v>
      </c>
      <c r="C197" s="603"/>
      <c r="D197" s="581">
        <f t="shared" si="17"/>
        <v>0</v>
      </c>
      <c r="E197" s="581">
        <f t="shared" si="21"/>
        <v>0</v>
      </c>
      <c r="F197" s="627" t="e">
        <f t="shared" si="20"/>
        <v>#DIV/0!</v>
      </c>
      <c r="G197" s="603"/>
      <c r="H197" s="581"/>
      <c r="I197" s="585"/>
      <c r="J197" s="586"/>
      <c r="K197" s="581"/>
      <c r="L197" s="587"/>
      <c r="M197" s="581"/>
      <c r="N197" s="581"/>
      <c r="O197" s="649"/>
      <c r="P197" s="603"/>
      <c r="Q197" s="581"/>
      <c r="R197" s="585"/>
    </row>
    <row r="198" spans="1:18" ht="37.5" customHeight="1" hidden="1">
      <c r="A198" s="647">
        <v>4240</v>
      </c>
      <c r="B198" s="651" t="s">
        <v>608</v>
      </c>
      <c r="C198" s="603"/>
      <c r="D198" s="581">
        <f t="shared" si="17"/>
        <v>0</v>
      </c>
      <c r="E198" s="581">
        <f t="shared" si="21"/>
        <v>0</v>
      </c>
      <c r="F198" s="627" t="e">
        <f t="shared" si="20"/>
        <v>#DIV/0!</v>
      </c>
      <c r="G198" s="603"/>
      <c r="H198" s="581"/>
      <c r="I198" s="585"/>
      <c r="J198" s="586"/>
      <c r="K198" s="581"/>
      <c r="L198" s="587"/>
      <c r="M198" s="581"/>
      <c r="N198" s="581"/>
      <c r="O198" s="649"/>
      <c r="P198" s="603"/>
      <c r="Q198" s="581"/>
      <c r="R198" s="585"/>
    </row>
    <row r="199" spans="1:18" ht="48">
      <c r="A199" s="647">
        <v>4300</v>
      </c>
      <c r="B199" s="651" t="s">
        <v>437</v>
      </c>
      <c r="C199" s="603">
        <v>800000</v>
      </c>
      <c r="D199" s="581">
        <f t="shared" si="17"/>
        <v>799500</v>
      </c>
      <c r="E199" s="581">
        <f t="shared" si="21"/>
        <v>82478</v>
      </c>
      <c r="F199" s="582">
        <f t="shared" si="20"/>
        <v>10.316197623514697</v>
      </c>
      <c r="G199" s="603">
        <f>800000-3000</f>
        <v>797000</v>
      </c>
      <c r="H199" s="581">
        <v>82478</v>
      </c>
      <c r="I199" s="585">
        <f t="shared" si="18"/>
        <v>10.348557089084064</v>
      </c>
      <c r="J199" s="586"/>
      <c r="K199" s="581"/>
      <c r="L199" s="587"/>
      <c r="M199" s="581"/>
      <c r="N199" s="581"/>
      <c r="O199" s="649"/>
      <c r="P199" s="603">
        <v>2500</v>
      </c>
      <c r="Q199" s="581"/>
      <c r="R199" s="627">
        <f>Q199/P199*100</f>
        <v>0</v>
      </c>
    </row>
    <row r="200" spans="1:18" ht="37.5" customHeight="1">
      <c r="A200" s="647">
        <v>4390</v>
      </c>
      <c r="B200" s="651" t="s">
        <v>609</v>
      </c>
      <c r="C200" s="603">
        <v>506900</v>
      </c>
      <c r="D200" s="581">
        <f t="shared" si="17"/>
        <v>518700</v>
      </c>
      <c r="E200" s="581">
        <f t="shared" si="21"/>
        <v>32897</v>
      </c>
      <c r="F200" s="582">
        <f t="shared" si="20"/>
        <v>6.342201657991131</v>
      </c>
      <c r="G200" s="603">
        <v>500000</v>
      </c>
      <c r="H200" s="581">
        <v>32897</v>
      </c>
      <c r="I200" s="585">
        <f t="shared" si="18"/>
        <v>6.579400000000001</v>
      </c>
      <c r="J200" s="586"/>
      <c r="K200" s="581"/>
      <c r="L200" s="587"/>
      <c r="M200" s="581"/>
      <c r="N200" s="581"/>
      <c r="O200" s="649"/>
      <c r="P200" s="603">
        <f>6900+11800</f>
        <v>18700</v>
      </c>
      <c r="Q200" s="581"/>
      <c r="R200" s="627">
        <f>Q200/P200*100</f>
        <v>0</v>
      </c>
    </row>
    <row r="201" spans="1:18" ht="40.5" customHeight="1">
      <c r="A201" s="647">
        <v>4400</v>
      </c>
      <c r="B201" s="651" t="s">
        <v>266</v>
      </c>
      <c r="C201" s="603">
        <v>20000</v>
      </c>
      <c r="D201" s="581">
        <f>G201+J201+P201+M201</f>
        <v>20000</v>
      </c>
      <c r="E201" s="581">
        <f>SUM(H201+K201+N201+Q201)</f>
        <v>0</v>
      </c>
      <c r="F201" s="582">
        <f>E201/D201*100</f>
        <v>0</v>
      </c>
      <c r="G201" s="603">
        <v>20000</v>
      </c>
      <c r="H201" s="581"/>
      <c r="I201" s="585">
        <f t="shared" si="18"/>
        <v>0</v>
      </c>
      <c r="J201" s="586"/>
      <c r="K201" s="581"/>
      <c r="L201" s="587"/>
      <c r="M201" s="581"/>
      <c r="N201" s="581"/>
      <c r="O201" s="649"/>
      <c r="P201" s="603"/>
      <c r="Q201" s="581"/>
      <c r="R201" s="627"/>
    </row>
    <row r="202" spans="1:18" ht="14.25" customHeight="1">
      <c r="A202" s="647">
        <v>4430</v>
      </c>
      <c r="B202" s="651" t="s">
        <v>201</v>
      </c>
      <c r="C202" s="603">
        <v>150000</v>
      </c>
      <c r="D202" s="581">
        <f t="shared" si="17"/>
        <v>145000</v>
      </c>
      <c r="E202" s="581">
        <f t="shared" si="21"/>
        <v>23514</v>
      </c>
      <c r="F202" s="582">
        <f t="shared" si="20"/>
        <v>16.216551724137933</v>
      </c>
      <c r="G202" s="603">
        <f>150000-5000</f>
        <v>145000</v>
      </c>
      <c r="H202" s="581">
        <v>23514</v>
      </c>
      <c r="I202" s="585">
        <f t="shared" si="18"/>
        <v>16.216551724137933</v>
      </c>
      <c r="J202" s="586"/>
      <c r="K202" s="581"/>
      <c r="L202" s="587"/>
      <c r="M202" s="581"/>
      <c r="N202" s="581"/>
      <c r="O202" s="649"/>
      <c r="P202" s="603"/>
      <c r="Q202" s="581"/>
      <c r="R202" s="627"/>
    </row>
    <row r="203" spans="1:18" ht="14.25" customHeight="1">
      <c r="A203" s="647">
        <v>4480</v>
      </c>
      <c r="B203" s="651" t="s">
        <v>205</v>
      </c>
      <c r="C203" s="603">
        <v>9600</v>
      </c>
      <c r="D203" s="581">
        <f t="shared" si="17"/>
        <v>9600</v>
      </c>
      <c r="E203" s="581">
        <f>SUM(H203+K203+N203+Q203)</f>
        <v>1350</v>
      </c>
      <c r="F203" s="582">
        <f t="shared" si="20"/>
        <v>14.0625</v>
      </c>
      <c r="G203" s="603">
        <v>4200</v>
      </c>
      <c r="H203" s="581"/>
      <c r="I203" s="627">
        <f t="shared" si="18"/>
        <v>0</v>
      </c>
      <c r="J203" s="586"/>
      <c r="K203" s="581"/>
      <c r="L203" s="587"/>
      <c r="M203" s="581"/>
      <c r="N203" s="581"/>
      <c r="O203" s="649"/>
      <c r="P203" s="603">
        <v>5400</v>
      </c>
      <c r="Q203" s="581">
        <v>1350</v>
      </c>
      <c r="R203" s="627">
        <f aca="true" t="shared" si="22" ref="R203:R209">Q203/P203*100</f>
        <v>25</v>
      </c>
    </row>
    <row r="204" spans="1:18" ht="24">
      <c r="A204" s="647">
        <v>4500</v>
      </c>
      <c r="B204" s="651" t="s">
        <v>438</v>
      </c>
      <c r="C204" s="603">
        <v>400</v>
      </c>
      <c r="D204" s="581">
        <f t="shared" si="17"/>
        <v>400</v>
      </c>
      <c r="E204" s="581">
        <f>SUM(H204+K204+N204+Q204)</f>
        <v>45</v>
      </c>
      <c r="F204" s="582">
        <f t="shared" si="20"/>
        <v>11.25</v>
      </c>
      <c r="G204" s="603">
        <v>200</v>
      </c>
      <c r="H204" s="581"/>
      <c r="I204" s="585">
        <f t="shared" si="18"/>
        <v>0</v>
      </c>
      <c r="J204" s="586"/>
      <c r="K204" s="581"/>
      <c r="L204" s="587"/>
      <c r="M204" s="581"/>
      <c r="N204" s="581"/>
      <c r="O204" s="649"/>
      <c r="P204" s="603">
        <v>200</v>
      </c>
      <c r="Q204" s="581">
        <v>45</v>
      </c>
      <c r="R204" s="627">
        <f t="shared" si="22"/>
        <v>22.5</v>
      </c>
    </row>
    <row r="205" spans="1:18" ht="24">
      <c r="A205" s="647">
        <v>4520</v>
      </c>
      <c r="B205" s="651" t="s">
        <v>611</v>
      </c>
      <c r="C205" s="603">
        <v>15500</v>
      </c>
      <c r="D205" s="581">
        <f t="shared" si="17"/>
        <v>930</v>
      </c>
      <c r="E205" s="581">
        <f>SUM(H205+K205+N205+Q205)</f>
        <v>930</v>
      </c>
      <c r="F205" s="582">
        <f t="shared" si="20"/>
        <v>100</v>
      </c>
      <c r="G205" s="603"/>
      <c r="H205" s="581"/>
      <c r="I205" s="585"/>
      <c r="J205" s="586"/>
      <c r="K205" s="581"/>
      <c r="L205" s="587"/>
      <c r="M205" s="581"/>
      <c r="N205" s="581"/>
      <c r="O205" s="649"/>
      <c r="P205" s="603">
        <f>15500-14570</f>
        <v>930</v>
      </c>
      <c r="Q205" s="581">
        <v>930</v>
      </c>
      <c r="R205" s="627">
        <f t="shared" si="22"/>
        <v>100</v>
      </c>
    </row>
    <row r="206" spans="1:18" ht="12.75" hidden="1">
      <c r="A206" s="647">
        <v>4580</v>
      </c>
      <c r="B206" s="651" t="s">
        <v>223</v>
      </c>
      <c r="C206" s="603"/>
      <c r="D206" s="581">
        <f t="shared" si="17"/>
        <v>0</v>
      </c>
      <c r="E206" s="581">
        <f>SUM(H206+K206+N206+Q206)</f>
        <v>0</v>
      </c>
      <c r="F206" s="582" t="e">
        <f t="shared" si="20"/>
        <v>#DIV/0!</v>
      </c>
      <c r="G206" s="603"/>
      <c r="H206" s="581"/>
      <c r="I206" s="585" t="e">
        <f t="shared" si="18"/>
        <v>#DIV/0!</v>
      </c>
      <c r="J206" s="586"/>
      <c r="K206" s="581"/>
      <c r="L206" s="587"/>
      <c r="M206" s="581"/>
      <c r="N206" s="581"/>
      <c r="O206" s="649"/>
      <c r="P206" s="603"/>
      <c r="Q206" s="581"/>
      <c r="R206" s="627"/>
    </row>
    <row r="207" spans="1:18" ht="36">
      <c r="A207" s="647">
        <v>4590</v>
      </c>
      <c r="B207" s="651" t="s">
        <v>613</v>
      </c>
      <c r="C207" s="603">
        <v>200000</v>
      </c>
      <c r="D207" s="581">
        <f t="shared" si="17"/>
        <v>200000</v>
      </c>
      <c r="E207" s="581">
        <f>SUM(H207+K207+N207+Q207)</f>
        <v>0</v>
      </c>
      <c r="F207" s="582">
        <f t="shared" si="20"/>
        <v>0</v>
      </c>
      <c r="G207" s="603">
        <v>200000</v>
      </c>
      <c r="H207" s="581"/>
      <c r="I207" s="585">
        <f t="shared" si="18"/>
        <v>0</v>
      </c>
      <c r="J207" s="586"/>
      <c r="K207" s="581"/>
      <c r="L207" s="587"/>
      <c r="M207" s="581"/>
      <c r="N207" s="581"/>
      <c r="O207" s="649"/>
      <c r="P207" s="603"/>
      <c r="Q207" s="581"/>
      <c r="R207" s="627"/>
    </row>
    <row r="208" spans="1:18" ht="50.25" customHeight="1">
      <c r="A208" s="647">
        <v>4600</v>
      </c>
      <c r="B208" s="651" t="s">
        <v>614</v>
      </c>
      <c r="C208" s="603">
        <v>1000000</v>
      </c>
      <c r="D208" s="581">
        <f t="shared" si="17"/>
        <v>1000000</v>
      </c>
      <c r="E208" s="581">
        <f t="shared" si="21"/>
        <v>0</v>
      </c>
      <c r="F208" s="582">
        <f t="shared" si="20"/>
        <v>0</v>
      </c>
      <c r="G208" s="603">
        <v>1000000</v>
      </c>
      <c r="H208" s="581"/>
      <c r="I208" s="585">
        <f t="shared" si="18"/>
        <v>0</v>
      </c>
      <c r="J208" s="586"/>
      <c r="K208" s="581"/>
      <c r="L208" s="587"/>
      <c r="M208" s="581"/>
      <c r="N208" s="581"/>
      <c r="O208" s="649"/>
      <c r="P208" s="603"/>
      <c r="Q208" s="581"/>
      <c r="R208" s="627"/>
    </row>
    <row r="209" spans="1:18" ht="36">
      <c r="A209" s="647">
        <v>4610</v>
      </c>
      <c r="B209" s="651" t="s">
        <v>615</v>
      </c>
      <c r="C209" s="603"/>
      <c r="D209" s="581">
        <f aca="true" t="shared" si="23" ref="D209:E256">G209+J209+P209+M209</f>
        <v>5270</v>
      </c>
      <c r="E209" s="581">
        <f>SUM(H209+K209+N209+Q209)</f>
        <v>0</v>
      </c>
      <c r="F209" s="582">
        <f t="shared" si="20"/>
        <v>0</v>
      </c>
      <c r="G209" s="603">
        <v>5000</v>
      </c>
      <c r="H209" s="581"/>
      <c r="I209" s="585">
        <f t="shared" si="18"/>
        <v>0</v>
      </c>
      <c r="J209" s="586"/>
      <c r="K209" s="581"/>
      <c r="L209" s="587"/>
      <c r="M209" s="581"/>
      <c r="N209" s="581"/>
      <c r="O209" s="649"/>
      <c r="P209" s="603">
        <v>270</v>
      </c>
      <c r="Q209" s="581"/>
      <c r="R209" s="627">
        <f t="shared" si="22"/>
        <v>0</v>
      </c>
    </row>
    <row r="210" spans="1:18" ht="48" hidden="1">
      <c r="A210" s="647">
        <v>4680</v>
      </c>
      <c r="B210" s="651" t="s">
        <v>616</v>
      </c>
      <c r="C210" s="603"/>
      <c r="D210" s="581">
        <f t="shared" si="23"/>
        <v>0</v>
      </c>
      <c r="E210" s="581">
        <f>SUM(H210+K210+N210+Q210)</f>
        <v>0</v>
      </c>
      <c r="F210" s="582" t="e">
        <f t="shared" si="20"/>
        <v>#DIV/0!</v>
      </c>
      <c r="G210" s="603"/>
      <c r="H210" s="581"/>
      <c r="I210" s="585" t="e">
        <f t="shared" si="18"/>
        <v>#DIV/0!</v>
      </c>
      <c r="J210" s="586"/>
      <c r="K210" s="581"/>
      <c r="L210" s="587"/>
      <c r="M210" s="581"/>
      <c r="N210" s="581"/>
      <c r="O210" s="649"/>
      <c r="P210" s="603"/>
      <c r="Q210" s="581"/>
      <c r="R210" s="585"/>
    </row>
    <row r="211" spans="1:18" ht="96">
      <c r="A211" s="672">
        <v>6060</v>
      </c>
      <c r="B211" s="673" t="s">
        <v>439</v>
      </c>
      <c r="C211" s="674">
        <v>1000000</v>
      </c>
      <c r="D211" s="675">
        <f t="shared" si="23"/>
        <v>1000000</v>
      </c>
      <c r="E211" s="675">
        <f>H211+K211+Q211+N211</f>
        <v>0</v>
      </c>
      <c r="F211" s="644">
        <f t="shared" si="20"/>
        <v>0</v>
      </c>
      <c r="G211" s="674">
        <v>1000000</v>
      </c>
      <c r="H211" s="675"/>
      <c r="I211" s="679">
        <f t="shared" si="18"/>
        <v>0</v>
      </c>
      <c r="J211" s="676"/>
      <c r="K211" s="675"/>
      <c r="L211" s="677"/>
      <c r="M211" s="675"/>
      <c r="N211" s="675"/>
      <c r="O211" s="689"/>
      <c r="P211" s="674"/>
      <c r="Q211" s="675"/>
      <c r="R211" s="679"/>
    </row>
    <row r="212" spans="1:26" s="639" customFormat="1" ht="30" customHeight="1">
      <c r="A212" s="719">
        <v>70021</v>
      </c>
      <c r="B212" s="720" t="s">
        <v>617</v>
      </c>
      <c r="C212" s="721">
        <f>C213</f>
        <v>3540000</v>
      </c>
      <c r="D212" s="642">
        <f t="shared" si="23"/>
        <v>3540000</v>
      </c>
      <c r="E212" s="642">
        <f t="shared" si="21"/>
        <v>0</v>
      </c>
      <c r="F212" s="643">
        <f t="shared" si="20"/>
        <v>0</v>
      </c>
      <c r="G212" s="721">
        <f>G213</f>
        <v>3540000</v>
      </c>
      <c r="H212" s="642">
        <f>H213</f>
        <v>0</v>
      </c>
      <c r="I212" s="679">
        <f t="shared" si="18"/>
        <v>0</v>
      </c>
      <c r="J212" s="723"/>
      <c r="K212" s="642"/>
      <c r="L212" s="763"/>
      <c r="M212" s="642"/>
      <c r="N212" s="642"/>
      <c r="O212" s="726"/>
      <c r="P212" s="721"/>
      <c r="Q212" s="642"/>
      <c r="R212" s="727"/>
      <c r="S212" s="564"/>
      <c r="T212" s="564"/>
      <c r="U212" s="564"/>
      <c r="V212" s="564"/>
      <c r="W212" s="565"/>
      <c r="X212" s="565"/>
      <c r="Y212" s="565"/>
      <c r="Z212" s="565"/>
    </row>
    <row r="213" spans="1:18" ht="120">
      <c r="A213" s="672">
        <v>6010</v>
      </c>
      <c r="B213" s="764" t="s">
        <v>440</v>
      </c>
      <c r="C213" s="674">
        <v>3540000</v>
      </c>
      <c r="D213" s="675">
        <f t="shared" si="23"/>
        <v>3540000</v>
      </c>
      <c r="E213" s="675">
        <f t="shared" si="21"/>
        <v>0</v>
      </c>
      <c r="F213" s="643">
        <f t="shared" si="20"/>
        <v>0</v>
      </c>
      <c r="G213" s="674">
        <v>3540000</v>
      </c>
      <c r="H213" s="675"/>
      <c r="I213" s="679">
        <f t="shared" si="18"/>
        <v>0</v>
      </c>
      <c r="J213" s="676"/>
      <c r="K213" s="675"/>
      <c r="L213" s="677"/>
      <c r="M213" s="675"/>
      <c r="N213" s="675"/>
      <c r="O213" s="689"/>
      <c r="P213" s="674"/>
      <c r="Q213" s="675"/>
      <c r="R213" s="680"/>
    </row>
    <row r="214" spans="1:26" s="639" customFormat="1" ht="15" customHeight="1">
      <c r="A214" s="640">
        <v>70095</v>
      </c>
      <c r="B214" s="742" t="s">
        <v>213</v>
      </c>
      <c r="C214" s="608">
        <f>SUM(C215:C225)</f>
        <v>2028500</v>
      </c>
      <c r="D214" s="595">
        <f t="shared" si="23"/>
        <v>2031500</v>
      </c>
      <c r="E214" s="595">
        <f>H214+K214+Q214+N214</f>
        <v>578528</v>
      </c>
      <c r="F214" s="596">
        <f t="shared" si="20"/>
        <v>28.477873492493234</v>
      </c>
      <c r="G214" s="608">
        <f>SUM(G215:G225)</f>
        <v>2031500</v>
      </c>
      <c r="H214" s="595">
        <f>SUM(H215:H225)</f>
        <v>578528</v>
      </c>
      <c r="I214" s="602">
        <f t="shared" si="18"/>
        <v>28.477873492493234</v>
      </c>
      <c r="J214" s="608"/>
      <c r="K214" s="595"/>
      <c r="L214" s="601"/>
      <c r="M214" s="595"/>
      <c r="N214" s="595"/>
      <c r="O214" s="645"/>
      <c r="P214" s="608"/>
      <c r="Q214" s="595"/>
      <c r="R214" s="731"/>
      <c r="S214" s="564"/>
      <c r="T214" s="564"/>
      <c r="U214" s="564"/>
      <c r="V214" s="564"/>
      <c r="W214" s="565"/>
      <c r="X214" s="565"/>
      <c r="Y214" s="565"/>
      <c r="Z214" s="565"/>
    </row>
    <row r="215" spans="1:18" ht="23.25" customHeight="1">
      <c r="A215" s="667">
        <v>4210</v>
      </c>
      <c r="B215" s="668" t="s">
        <v>618</v>
      </c>
      <c r="C215" s="606">
        <v>18900</v>
      </c>
      <c r="D215" s="615">
        <f t="shared" si="23"/>
        <v>18900</v>
      </c>
      <c r="E215" s="615">
        <f t="shared" si="21"/>
        <v>1999</v>
      </c>
      <c r="F215" s="669">
        <f t="shared" si="20"/>
        <v>10.576719576719578</v>
      </c>
      <c r="G215" s="606">
        <v>18900</v>
      </c>
      <c r="H215" s="615">
        <v>1999</v>
      </c>
      <c r="I215" s="590">
        <f aca="true" t="shared" si="24" ref="I215:I234">H215/G215*100</f>
        <v>10.576719576719578</v>
      </c>
      <c r="J215" s="618"/>
      <c r="K215" s="615"/>
      <c r="L215" s="619"/>
      <c r="M215" s="615"/>
      <c r="N215" s="615"/>
      <c r="O215" s="686"/>
      <c r="P215" s="606"/>
      <c r="Q215" s="615"/>
      <c r="R215" s="671"/>
    </row>
    <row r="216" spans="1:18" ht="24">
      <c r="A216" s="647">
        <v>4300</v>
      </c>
      <c r="B216" s="651" t="s">
        <v>441</v>
      </c>
      <c r="C216" s="603">
        <v>2900</v>
      </c>
      <c r="D216" s="581">
        <f t="shared" si="23"/>
        <v>2900</v>
      </c>
      <c r="E216" s="581">
        <f t="shared" si="21"/>
        <v>1500</v>
      </c>
      <c r="F216" s="627">
        <f t="shared" si="20"/>
        <v>51.724137931034484</v>
      </c>
      <c r="G216" s="603">
        <v>2900</v>
      </c>
      <c r="H216" s="581">
        <v>1500</v>
      </c>
      <c r="I216" s="585">
        <f t="shared" si="24"/>
        <v>51.724137931034484</v>
      </c>
      <c r="J216" s="586"/>
      <c r="K216" s="581"/>
      <c r="L216" s="587"/>
      <c r="M216" s="581"/>
      <c r="N216" s="581"/>
      <c r="O216" s="649"/>
      <c r="P216" s="603"/>
      <c r="Q216" s="581"/>
      <c r="R216" s="653"/>
    </row>
    <row r="217" spans="1:18" ht="23.25" customHeight="1">
      <c r="A217" s="647">
        <v>4110</v>
      </c>
      <c r="B217" s="579" t="s">
        <v>187</v>
      </c>
      <c r="C217" s="603">
        <v>500</v>
      </c>
      <c r="D217" s="581">
        <f t="shared" si="23"/>
        <v>500</v>
      </c>
      <c r="E217" s="581">
        <f t="shared" si="21"/>
        <v>0</v>
      </c>
      <c r="F217" s="627">
        <f t="shared" si="20"/>
        <v>0</v>
      </c>
      <c r="G217" s="603">
        <v>500</v>
      </c>
      <c r="H217" s="581"/>
      <c r="I217" s="585">
        <f t="shared" si="24"/>
        <v>0</v>
      </c>
      <c r="J217" s="586"/>
      <c r="K217" s="581"/>
      <c r="L217" s="587"/>
      <c r="M217" s="581"/>
      <c r="N217" s="581"/>
      <c r="O217" s="649"/>
      <c r="P217" s="603"/>
      <c r="Q217" s="581"/>
      <c r="R217" s="653"/>
    </row>
    <row r="218" spans="1:18" ht="12.75">
      <c r="A218" s="647">
        <v>4120</v>
      </c>
      <c r="B218" s="579" t="s">
        <v>619</v>
      </c>
      <c r="C218" s="603">
        <v>100</v>
      </c>
      <c r="D218" s="581">
        <f t="shared" si="23"/>
        <v>100</v>
      </c>
      <c r="E218" s="581">
        <f t="shared" si="21"/>
        <v>0</v>
      </c>
      <c r="F218" s="627">
        <f t="shared" si="20"/>
        <v>0</v>
      </c>
      <c r="G218" s="603">
        <v>100</v>
      </c>
      <c r="H218" s="581"/>
      <c r="I218" s="585">
        <f t="shared" si="24"/>
        <v>0</v>
      </c>
      <c r="J218" s="586"/>
      <c r="K218" s="581"/>
      <c r="L218" s="587"/>
      <c r="M218" s="581"/>
      <c r="N218" s="581"/>
      <c r="O218" s="649"/>
      <c r="P218" s="603"/>
      <c r="Q218" s="581"/>
      <c r="R218" s="653"/>
    </row>
    <row r="219" spans="1:18" ht="24">
      <c r="A219" s="647">
        <v>4170</v>
      </c>
      <c r="B219" s="651" t="s">
        <v>221</v>
      </c>
      <c r="C219" s="603">
        <v>6100</v>
      </c>
      <c r="D219" s="581">
        <f t="shared" si="23"/>
        <v>6100</v>
      </c>
      <c r="E219" s="581">
        <f t="shared" si="21"/>
        <v>4103</v>
      </c>
      <c r="F219" s="627">
        <f t="shared" si="20"/>
        <v>67.26229508196721</v>
      </c>
      <c r="G219" s="603">
        <v>6100</v>
      </c>
      <c r="H219" s="581">
        <v>4103</v>
      </c>
      <c r="I219" s="585">
        <f t="shared" si="24"/>
        <v>67.26229508196721</v>
      </c>
      <c r="J219" s="586"/>
      <c r="K219" s="581"/>
      <c r="L219" s="587"/>
      <c r="M219" s="581"/>
      <c r="N219" s="581"/>
      <c r="O219" s="649"/>
      <c r="P219" s="603"/>
      <c r="Q219" s="581"/>
      <c r="R219" s="653"/>
    </row>
    <row r="220" spans="1:18" ht="24" hidden="1">
      <c r="A220" s="647">
        <v>4270</v>
      </c>
      <c r="B220" s="651" t="s">
        <v>197</v>
      </c>
      <c r="C220" s="603"/>
      <c r="D220" s="581">
        <f t="shared" si="23"/>
        <v>0</v>
      </c>
      <c r="E220" s="581">
        <f>SUM(H220+K220+N220+Q220)</f>
        <v>0</v>
      </c>
      <c r="F220" s="627" t="e">
        <f>E220/D220*100</f>
        <v>#DIV/0!</v>
      </c>
      <c r="G220" s="603"/>
      <c r="H220" s="581"/>
      <c r="I220" s="585" t="e">
        <f t="shared" si="24"/>
        <v>#DIV/0!</v>
      </c>
      <c r="J220" s="586"/>
      <c r="K220" s="581"/>
      <c r="L220" s="587"/>
      <c r="M220" s="581"/>
      <c r="N220" s="581"/>
      <c r="O220" s="649"/>
      <c r="P220" s="603"/>
      <c r="Q220" s="581"/>
      <c r="R220" s="653"/>
    </row>
    <row r="221" spans="1:18" ht="14.25" customHeight="1">
      <c r="A221" s="647">
        <v>4300</v>
      </c>
      <c r="B221" s="651" t="s">
        <v>199</v>
      </c>
      <c r="C221" s="603"/>
      <c r="D221" s="581">
        <f t="shared" si="23"/>
        <v>3000</v>
      </c>
      <c r="E221" s="581">
        <f t="shared" si="21"/>
        <v>2401</v>
      </c>
      <c r="F221" s="627">
        <f t="shared" si="20"/>
        <v>80.03333333333333</v>
      </c>
      <c r="G221" s="603">
        <v>3000</v>
      </c>
      <c r="H221" s="581">
        <v>2401</v>
      </c>
      <c r="I221" s="585">
        <f t="shared" si="24"/>
        <v>80.03333333333333</v>
      </c>
      <c r="J221" s="586"/>
      <c r="K221" s="581"/>
      <c r="L221" s="587"/>
      <c r="M221" s="581"/>
      <c r="N221" s="581"/>
      <c r="O221" s="649"/>
      <c r="P221" s="603"/>
      <c r="Q221" s="581"/>
      <c r="R221" s="653"/>
    </row>
    <row r="222" spans="1:18" ht="12.75" hidden="1">
      <c r="A222" s="647">
        <v>4580</v>
      </c>
      <c r="B222" s="651" t="s">
        <v>223</v>
      </c>
      <c r="C222" s="603"/>
      <c r="D222" s="581">
        <f t="shared" si="23"/>
        <v>0</v>
      </c>
      <c r="E222" s="581">
        <f t="shared" si="21"/>
        <v>0</v>
      </c>
      <c r="F222" s="627" t="e">
        <f t="shared" si="20"/>
        <v>#DIV/0!</v>
      </c>
      <c r="G222" s="603"/>
      <c r="H222" s="581"/>
      <c r="I222" s="585" t="e">
        <f t="shared" si="24"/>
        <v>#DIV/0!</v>
      </c>
      <c r="J222" s="586"/>
      <c r="K222" s="581"/>
      <c r="L222" s="587"/>
      <c r="M222" s="581"/>
      <c r="N222" s="581"/>
      <c r="O222" s="649"/>
      <c r="P222" s="603"/>
      <c r="Q222" s="581"/>
      <c r="R222" s="653"/>
    </row>
    <row r="223" spans="1:18" ht="72" hidden="1">
      <c r="A223" s="647">
        <v>4400</v>
      </c>
      <c r="B223" s="651" t="s">
        <v>442</v>
      </c>
      <c r="C223" s="603"/>
      <c r="D223" s="581">
        <f t="shared" si="23"/>
        <v>0</v>
      </c>
      <c r="E223" s="581">
        <f t="shared" si="21"/>
        <v>0</v>
      </c>
      <c r="F223" s="627" t="e">
        <f t="shared" si="20"/>
        <v>#DIV/0!</v>
      </c>
      <c r="G223" s="603"/>
      <c r="H223" s="581"/>
      <c r="I223" s="627" t="e">
        <f t="shared" si="24"/>
        <v>#DIV/0!</v>
      </c>
      <c r="J223" s="586"/>
      <c r="K223" s="581"/>
      <c r="L223" s="587"/>
      <c r="M223" s="581"/>
      <c r="N223" s="581"/>
      <c r="O223" s="649"/>
      <c r="P223" s="603"/>
      <c r="Q223" s="581"/>
      <c r="R223" s="653"/>
    </row>
    <row r="224" spans="1:18" ht="48" hidden="1">
      <c r="A224" s="647">
        <v>6060</v>
      </c>
      <c r="B224" s="651" t="s">
        <v>443</v>
      </c>
      <c r="C224" s="603"/>
      <c r="D224" s="581">
        <f t="shared" si="23"/>
        <v>0</v>
      </c>
      <c r="E224" s="581">
        <f t="shared" si="21"/>
        <v>0</v>
      </c>
      <c r="F224" s="582" t="e">
        <f t="shared" si="20"/>
        <v>#DIV/0!</v>
      </c>
      <c r="G224" s="603"/>
      <c r="H224" s="581"/>
      <c r="I224" s="585" t="e">
        <f t="shared" si="24"/>
        <v>#DIV/0!</v>
      </c>
      <c r="J224" s="586"/>
      <c r="K224" s="581"/>
      <c r="L224" s="587"/>
      <c r="M224" s="581"/>
      <c r="N224" s="581"/>
      <c r="O224" s="649"/>
      <c r="P224" s="603"/>
      <c r="Q224" s="581"/>
      <c r="R224" s="653"/>
    </row>
    <row r="225" spans="1:18" ht="27" customHeight="1" thickBot="1">
      <c r="A225" s="647">
        <v>6050</v>
      </c>
      <c r="B225" s="651" t="s">
        <v>225</v>
      </c>
      <c r="C225" s="603">
        <v>2000000</v>
      </c>
      <c r="D225" s="581">
        <f t="shared" si="23"/>
        <v>2000000</v>
      </c>
      <c r="E225" s="581">
        <f t="shared" si="21"/>
        <v>568525</v>
      </c>
      <c r="F225" s="582">
        <f t="shared" si="20"/>
        <v>28.426249999999996</v>
      </c>
      <c r="G225" s="603">
        <v>2000000</v>
      </c>
      <c r="H225" s="581">
        <v>568525</v>
      </c>
      <c r="I225" s="585">
        <f t="shared" si="24"/>
        <v>28.426249999999996</v>
      </c>
      <c r="J225" s="586"/>
      <c r="K225" s="581"/>
      <c r="L225" s="587"/>
      <c r="M225" s="581"/>
      <c r="N225" s="581"/>
      <c r="O225" s="649"/>
      <c r="P225" s="603"/>
      <c r="Q225" s="581"/>
      <c r="R225" s="653"/>
    </row>
    <row r="226" spans="1:26" s="702" customFormat="1" ht="24" customHeight="1" hidden="1" thickBot="1" thickTop="1">
      <c r="A226" s="694"/>
      <c r="B226" s="695" t="s">
        <v>620</v>
      </c>
      <c r="C226" s="699"/>
      <c r="D226" s="697">
        <f t="shared" si="23"/>
        <v>0</v>
      </c>
      <c r="E226" s="697">
        <f>SUM(H226+K226+N226+Q226)</f>
        <v>0</v>
      </c>
      <c r="F226" s="582" t="e">
        <f t="shared" si="20"/>
        <v>#DIV/0!</v>
      </c>
      <c r="G226" s="699"/>
      <c r="H226" s="697"/>
      <c r="I226" s="585" t="e">
        <f t="shared" si="24"/>
        <v>#DIV/0!</v>
      </c>
      <c r="J226" s="698"/>
      <c r="K226" s="697"/>
      <c r="L226" s="587"/>
      <c r="M226" s="697"/>
      <c r="N226" s="697"/>
      <c r="O226" s="587"/>
      <c r="P226" s="699"/>
      <c r="Q226" s="697"/>
      <c r="R226" s="715"/>
      <c r="S226" s="700"/>
      <c r="T226" s="700"/>
      <c r="U226" s="700"/>
      <c r="V226" s="700"/>
      <c r="W226" s="701"/>
      <c r="X226" s="701"/>
      <c r="Y226" s="701"/>
      <c r="Z226" s="701"/>
    </row>
    <row r="227" spans="1:26" s="639" customFormat="1" ht="25.5" thickBot="1" thickTop="1">
      <c r="A227" s="632">
        <v>710</v>
      </c>
      <c r="B227" s="633" t="s">
        <v>621</v>
      </c>
      <c r="C227" s="634">
        <f>C235+C237+C239+C263+C228</f>
        <v>4268800</v>
      </c>
      <c r="D227" s="556">
        <f t="shared" si="23"/>
        <v>4272991</v>
      </c>
      <c r="E227" s="556">
        <f t="shared" si="23"/>
        <v>708058</v>
      </c>
      <c r="F227" s="557">
        <f t="shared" si="20"/>
        <v>16.570547422168687</v>
      </c>
      <c r="G227" s="634">
        <f>G263+G228+G268</f>
        <v>3627200</v>
      </c>
      <c r="H227" s="556">
        <f>H263+H228+H268</f>
        <v>515836</v>
      </c>
      <c r="I227" s="559">
        <f t="shared" si="24"/>
        <v>14.221327745919718</v>
      </c>
      <c r="J227" s="556">
        <f>J263</f>
        <v>16600</v>
      </c>
      <c r="K227" s="556">
        <f>K263</f>
        <v>0</v>
      </c>
      <c r="L227" s="636">
        <f>K227/J227*100</f>
        <v>0</v>
      </c>
      <c r="M227" s="560">
        <f>M235+M237+M239</f>
        <v>200000</v>
      </c>
      <c r="N227" s="556">
        <f>N235+N237+N239</f>
        <v>27581</v>
      </c>
      <c r="O227" s="559">
        <f>N227/M227*100</f>
        <v>13.7905</v>
      </c>
      <c r="P227" s="634">
        <f>P228+P235+P237+P239</f>
        <v>429191</v>
      </c>
      <c r="Q227" s="556">
        <f>Q235+Q237+Q239+Q228</f>
        <v>164641</v>
      </c>
      <c r="R227" s="559">
        <f aca="true" t="shared" si="25" ref="R227:R262">Q227/P227*100</f>
        <v>38.36077643753014</v>
      </c>
      <c r="S227" s="564"/>
      <c r="T227" s="564"/>
      <c r="U227" s="564"/>
      <c r="V227" s="564"/>
      <c r="W227" s="565"/>
      <c r="X227" s="565"/>
      <c r="Y227" s="565"/>
      <c r="Z227" s="565"/>
    </row>
    <row r="228" spans="1:26" s="639" customFormat="1" ht="24.75" thickTop="1">
      <c r="A228" s="765">
        <v>71004</v>
      </c>
      <c r="B228" s="766" t="s">
        <v>622</v>
      </c>
      <c r="C228" s="767">
        <f>SUM(C229:C234)</f>
        <v>1227200</v>
      </c>
      <c r="D228" s="569">
        <f t="shared" si="23"/>
        <v>1227200</v>
      </c>
      <c r="E228" s="569">
        <f t="shared" si="23"/>
        <v>46521</v>
      </c>
      <c r="F228" s="570">
        <f t="shared" si="20"/>
        <v>3.7908246414602345</v>
      </c>
      <c r="G228" s="768">
        <f>SUM(G229:G234)</f>
        <v>1227200</v>
      </c>
      <c r="H228" s="569">
        <f>SUM(H229:H234)</f>
        <v>46521</v>
      </c>
      <c r="I228" s="573">
        <f t="shared" si="24"/>
        <v>3.7908246414602345</v>
      </c>
      <c r="J228" s="574"/>
      <c r="K228" s="569"/>
      <c r="L228" s="575"/>
      <c r="M228" s="569"/>
      <c r="N228" s="569"/>
      <c r="O228" s="769"/>
      <c r="P228" s="767"/>
      <c r="Q228" s="569"/>
      <c r="R228" s="573"/>
      <c r="S228" s="564"/>
      <c r="T228" s="564"/>
      <c r="U228" s="564"/>
      <c r="V228" s="564"/>
      <c r="W228" s="565"/>
      <c r="X228" s="565"/>
      <c r="Y228" s="565"/>
      <c r="Z228" s="565"/>
    </row>
    <row r="229" spans="1:18" ht="42" customHeight="1">
      <c r="A229" s="647">
        <v>3040</v>
      </c>
      <c r="B229" s="651" t="s">
        <v>444</v>
      </c>
      <c r="C229" s="693">
        <v>200000</v>
      </c>
      <c r="D229" s="581">
        <f>G229+J229+P229+M229</f>
        <v>200000</v>
      </c>
      <c r="E229" s="581">
        <f>H229+K229+Q229+N229</f>
        <v>0</v>
      </c>
      <c r="F229" s="582">
        <f>E229/D229*100</f>
        <v>0</v>
      </c>
      <c r="G229" s="693">
        <v>200000</v>
      </c>
      <c r="H229" s="581"/>
      <c r="I229" s="585">
        <f t="shared" si="24"/>
        <v>0</v>
      </c>
      <c r="J229" s="586"/>
      <c r="K229" s="581"/>
      <c r="L229" s="587"/>
      <c r="M229" s="581"/>
      <c r="N229" s="581"/>
      <c r="O229" s="585"/>
      <c r="P229" s="603"/>
      <c r="Q229" s="581"/>
      <c r="R229" s="585"/>
    </row>
    <row r="230" spans="1:18" ht="24.75" customHeight="1">
      <c r="A230" s="647">
        <v>4110</v>
      </c>
      <c r="B230" s="579" t="s">
        <v>187</v>
      </c>
      <c r="C230" s="693">
        <v>1000</v>
      </c>
      <c r="D230" s="581">
        <f t="shared" si="23"/>
        <v>1000</v>
      </c>
      <c r="E230" s="581">
        <f t="shared" si="23"/>
        <v>137</v>
      </c>
      <c r="F230" s="582">
        <f t="shared" si="20"/>
        <v>13.700000000000001</v>
      </c>
      <c r="G230" s="693">
        <v>1000</v>
      </c>
      <c r="H230" s="581">
        <v>137</v>
      </c>
      <c r="I230" s="585">
        <f t="shared" si="24"/>
        <v>13.700000000000001</v>
      </c>
      <c r="J230" s="586"/>
      <c r="K230" s="581"/>
      <c r="L230" s="587"/>
      <c r="M230" s="581"/>
      <c r="N230" s="581"/>
      <c r="O230" s="585"/>
      <c r="P230" s="603"/>
      <c r="Q230" s="581"/>
      <c r="R230" s="585"/>
    </row>
    <row r="231" spans="1:18" ht="15" customHeight="1">
      <c r="A231" s="647">
        <v>4120</v>
      </c>
      <c r="B231" s="651" t="s">
        <v>619</v>
      </c>
      <c r="C231" s="693">
        <v>200</v>
      </c>
      <c r="D231" s="581">
        <f t="shared" si="23"/>
        <v>200</v>
      </c>
      <c r="E231" s="581">
        <f t="shared" si="23"/>
        <v>0</v>
      </c>
      <c r="F231" s="582">
        <f>E231/D231*100</f>
        <v>0</v>
      </c>
      <c r="G231" s="693">
        <v>200</v>
      </c>
      <c r="H231" s="581"/>
      <c r="I231" s="585">
        <f t="shared" si="24"/>
        <v>0</v>
      </c>
      <c r="J231" s="586"/>
      <c r="K231" s="581"/>
      <c r="L231" s="587"/>
      <c r="M231" s="581"/>
      <c r="N231" s="581"/>
      <c r="O231" s="585"/>
      <c r="P231" s="603"/>
      <c r="Q231" s="581"/>
      <c r="R231" s="585"/>
    </row>
    <row r="232" spans="1:18" ht="24">
      <c r="A232" s="647">
        <v>4170</v>
      </c>
      <c r="B232" s="651" t="s">
        <v>221</v>
      </c>
      <c r="C232" s="693">
        <v>25000</v>
      </c>
      <c r="D232" s="581">
        <f t="shared" si="23"/>
        <v>25000</v>
      </c>
      <c r="E232" s="581">
        <f t="shared" si="23"/>
        <v>6422</v>
      </c>
      <c r="F232" s="582">
        <f t="shared" si="20"/>
        <v>25.688</v>
      </c>
      <c r="G232" s="693">
        <v>25000</v>
      </c>
      <c r="H232" s="581">
        <v>6422</v>
      </c>
      <c r="I232" s="585">
        <f t="shared" si="24"/>
        <v>25.688</v>
      </c>
      <c r="J232" s="586"/>
      <c r="K232" s="581"/>
      <c r="L232" s="587"/>
      <c r="M232" s="581"/>
      <c r="N232" s="581"/>
      <c r="O232" s="585"/>
      <c r="P232" s="603"/>
      <c r="Q232" s="581"/>
      <c r="R232" s="585"/>
    </row>
    <row r="233" spans="1:18" ht="24">
      <c r="A233" s="647">
        <v>4210</v>
      </c>
      <c r="B233" s="651" t="s">
        <v>191</v>
      </c>
      <c r="C233" s="693">
        <v>1000</v>
      </c>
      <c r="D233" s="581">
        <f>G233+J233+P233+M233</f>
        <v>1000</v>
      </c>
      <c r="E233" s="581">
        <f>H233+K233+Q233+N233</f>
        <v>0</v>
      </c>
      <c r="F233" s="582">
        <f>E233/D233*100</f>
        <v>0</v>
      </c>
      <c r="G233" s="693">
        <v>1000</v>
      </c>
      <c r="H233" s="581"/>
      <c r="I233" s="585">
        <f t="shared" si="24"/>
        <v>0</v>
      </c>
      <c r="J233" s="586"/>
      <c r="K233" s="581"/>
      <c r="L233" s="587"/>
      <c r="M233" s="581"/>
      <c r="N233" s="581"/>
      <c r="O233" s="585"/>
      <c r="P233" s="603"/>
      <c r="Q233" s="581"/>
      <c r="R233" s="585"/>
    </row>
    <row r="234" spans="1:18" ht="18.75" customHeight="1">
      <c r="A234" s="647">
        <v>4300</v>
      </c>
      <c r="B234" s="651" t="s">
        <v>199</v>
      </c>
      <c r="C234" s="603">
        <v>1000000</v>
      </c>
      <c r="D234" s="581">
        <f t="shared" si="23"/>
        <v>1000000</v>
      </c>
      <c r="E234" s="581">
        <f t="shared" si="23"/>
        <v>39962</v>
      </c>
      <c r="F234" s="582">
        <f t="shared" si="20"/>
        <v>3.9962</v>
      </c>
      <c r="G234" s="603">
        <v>1000000</v>
      </c>
      <c r="H234" s="581">
        <v>39962</v>
      </c>
      <c r="I234" s="585">
        <f t="shared" si="24"/>
        <v>3.9962</v>
      </c>
      <c r="J234" s="586"/>
      <c r="K234" s="581"/>
      <c r="L234" s="587"/>
      <c r="M234" s="581"/>
      <c r="N234" s="581"/>
      <c r="O234" s="585"/>
      <c r="P234" s="603"/>
      <c r="Q234" s="581"/>
      <c r="R234" s="585"/>
    </row>
    <row r="235" spans="1:26" s="639" customFormat="1" ht="34.5" customHeight="1">
      <c r="A235" s="640">
        <v>71013</v>
      </c>
      <c r="B235" s="742" t="s">
        <v>624</v>
      </c>
      <c r="C235" s="608">
        <f>C236</f>
        <v>76000</v>
      </c>
      <c r="D235" s="595">
        <f t="shared" si="23"/>
        <v>76000</v>
      </c>
      <c r="E235" s="595">
        <f>E236</f>
        <v>76000</v>
      </c>
      <c r="F235" s="596">
        <f t="shared" si="20"/>
        <v>100</v>
      </c>
      <c r="G235" s="608"/>
      <c r="H235" s="595"/>
      <c r="I235" s="645"/>
      <c r="J235" s="600"/>
      <c r="K235" s="595"/>
      <c r="L235" s="601"/>
      <c r="M235" s="595"/>
      <c r="N235" s="595"/>
      <c r="O235" s="645"/>
      <c r="P235" s="608">
        <f>P236</f>
        <v>76000</v>
      </c>
      <c r="Q235" s="595">
        <f>Q236</f>
        <v>76000</v>
      </c>
      <c r="R235" s="624">
        <f t="shared" si="25"/>
        <v>100</v>
      </c>
      <c r="S235" s="564"/>
      <c r="T235" s="564"/>
      <c r="U235" s="564"/>
      <c r="V235" s="564"/>
      <c r="W235" s="565"/>
      <c r="X235" s="565"/>
      <c r="Y235" s="565"/>
      <c r="Z235" s="565"/>
    </row>
    <row r="236" spans="1:18" ht="15.75" customHeight="1">
      <c r="A236" s="732">
        <v>4300</v>
      </c>
      <c r="B236" s="733" t="s">
        <v>199</v>
      </c>
      <c r="C236" s="734">
        <v>76000</v>
      </c>
      <c r="D236" s="735">
        <f t="shared" si="23"/>
        <v>76000</v>
      </c>
      <c r="E236" s="735">
        <f>SUM(H236+K236+N236+Q236)</f>
        <v>76000</v>
      </c>
      <c r="F236" s="596">
        <f t="shared" si="20"/>
        <v>100</v>
      </c>
      <c r="G236" s="734"/>
      <c r="H236" s="735"/>
      <c r="I236" s="645"/>
      <c r="J236" s="736"/>
      <c r="K236" s="735"/>
      <c r="L236" s="737"/>
      <c r="M236" s="735"/>
      <c r="N236" s="735"/>
      <c r="O236" s="645"/>
      <c r="P236" s="734">
        <v>76000</v>
      </c>
      <c r="Q236" s="735">
        <v>76000</v>
      </c>
      <c r="R236" s="624">
        <f t="shared" si="25"/>
        <v>100</v>
      </c>
    </row>
    <row r="237" spans="1:26" s="639" customFormat="1" ht="22.5" customHeight="1">
      <c r="A237" s="719">
        <v>71014</v>
      </c>
      <c r="B237" s="720" t="s">
        <v>625</v>
      </c>
      <c r="C237" s="721">
        <f>C238</f>
        <v>19000</v>
      </c>
      <c r="D237" s="642">
        <f t="shared" si="23"/>
        <v>19000</v>
      </c>
      <c r="E237" s="642">
        <f>E238</f>
        <v>0</v>
      </c>
      <c r="F237" s="643">
        <f t="shared" si="20"/>
        <v>0</v>
      </c>
      <c r="G237" s="721"/>
      <c r="H237" s="642"/>
      <c r="I237" s="689"/>
      <c r="J237" s="723"/>
      <c r="K237" s="642"/>
      <c r="L237" s="763"/>
      <c r="M237" s="642"/>
      <c r="N237" s="642"/>
      <c r="O237" s="689"/>
      <c r="P237" s="721">
        <f>P238</f>
        <v>19000</v>
      </c>
      <c r="Q237" s="642">
        <f>Q238</f>
        <v>0</v>
      </c>
      <c r="R237" s="644">
        <f t="shared" si="25"/>
        <v>0</v>
      </c>
      <c r="S237" s="564"/>
      <c r="T237" s="564"/>
      <c r="U237" s="564"/>
      <c r="V237" s="564"/>
      <c r="W237" s="565"/>
      <c r="X237" s="565"/>
      <c r="Y237" s="565"/>
      <c r="Z237" s="565"/>
    </row>
    <row r="238" spans="1:18" ht="15" customHeight="1">
      <c r="A238" s="672">
        <v>4300</v>
      </c>
      <c r="B238" s="687" t="s">
        <v>199</v>
      </c>
      <c r="C238" s="603">
        <v>19000</v>
      </c>
      <c r="D238" s="675">
        <f t="shared" si="23"/>
        <v>19000</v>
      </c>
      <c r="E238" s="581">
        <f>SUM(H238+K238+N238+Q238)</f>
        <v>0</v>
      </c>
      <c r="F238" s="596">
        <f t="shared" si="20"/>
        <v>0</v>
      </c>
      <c r="G238" s="674"/>
      <c r="H238" s="675"/>
      <c r="I238" s="689"/>
      <c r="J238" s="676"/>
      <c r="K238" s="675"/>
      <c r="L238" s="677"/>
      <c r="M238" s="675"/>
      <c r="N238" s="675"/>
      <c r="O238" s="689"/>
      <c r="P238" s="674">
        <v>19000</v>
      </c>
      <c r="Q238" s="675"/>
      <c r="R238" s="644">
        <f t="shared" si="25"/>
        <v>0</v>
      </c>
    </row>
    <row r="239" spans="1:18" ht="12.75">
      <c r="A239" s="640">
        <v>71015</v>
      </c>
      <c r="B239" s="742" t="s">
        <v>626</v>
      </c>
      <c r="C239" s="608">
        <f>SUM(C240:C262)</f>
        <v>530000</v>
      </c>
      <c r="D239" s="642">
        <f t="shared" si="23"/>
        <v>534191</v>
      </c>
      <c r="E239" s="595">
        <f>H239+K239+Q239+N239</f>
        <v>116222</v>
      </c>
      <c r="F239" s="596">
        <f t="shared" si="20"/>
        <v>21.756637607148004</v>
      </c>
      <c r="G239" s="608"/>
      <c r="H239" s="595"/>
      <c r="I239" s="645"/>
      <c r="J239" s="600"/>
      <c r="K239" s="595"/>
      <c r="L239" s="601"/>
      <c r="M239" s="595">
        <f>SUM(M240:M262)</f>
        <v>200000</v>
      </c>
      <c r="N239" s="595">
        <f>SUM(N240:N262)</f>
        <v>27581</v>
      </c>
      <c r="O239" s="679">
        <f>N239/M239*100</f>
        <v>13.7905</v>
      </c>
      <c r="P239" s="608">
        <f>SUM(P240:P262)</f>
        <v>334191</v>
      </c>
      <c r="Q239" s="595">
        <f>SUM(Q240:Q262)</f>
        <v>88641</v>
      </c>
      <c r="R239" s="644">
        <f t="shared" si="25"/>
        <v>26.52405361006131</v>
      </c>
    </row>
    <row r="240" spans="1:18" ht="22.5" customHeight="1">
      <c r="A240" s="647">
        <v>3020</v>
      </c>
      <c r="B240" s="651" t="s">
        <v>267</v>
      </c>
      <c r="C240" s="603">
        <v>1400</v>
      </c>
      <c r="D240" s="581">
        <f t="shared" si="23"/>
        <v>1400</v>
      </c>
      <c r="E240" s="581">
        <f>SUM(H240+K240+N240+Q240)</f>
        <v>0</v>
      </c>
      <c r="F240" s="582">
        <f>E240/D240*100</f>
        <v>0</v>
      </c>
      <c r="G240" s="603"/>
      <c r="H240" s="581"/>
      <c r="I240" s="649"/>
      <c r="J240" s="586"/>
      <c r="K240" s="581"/>
      <c r="L240" s="587"/>
      <c r="M240" s="581"/>
      <c r="N240" s="581"/>
      <c r="O240" s="627"/>
      <c r="P240" s="603">
        <v>1400</v>
      </c>
      <c r="Q240" s="581"/>
      <c r="R240" s="627">
        <f t="shared" si="25"/>
        <v>0</v>
      </c>
    </row>
    <row r="241" spans="1:18" ht="22.5" customHeight="1">
      <c r="A241" s="647">
        <v>4010</v>
      </c>
      <c r="B241" s="651" t="s">
        <v>181</v>
      </c>
      <c r="C241" s="603">
        <v>373300</v>
      </c>
      <c r="D241" s="581">
        <f>G241+J241+P241+M241</f>
        <v>377491</v>
      </c>
      <c r="E241" s="581">
        <f>SUM(H241+K241+N241+Q241)</f>
        <v>80327</v>
      </c>
      <c r="F241" s="582">
        <f>E241/D241*100</f>
        <v>21.279182814954527</v>
      </c>
      <c r="G241" s="603"/>
      <c r="H241" s="581"/>
      <c r="I241" s="649"/>
      <c r="J241" s="586"/>
      <c r="K241" s="581"/>
      <c r="L241" s="587"/>
      <c r="M241" s="581">
        <v>148700</v>
      </c>
      <c r="N241" s="581">
        <v>19015</v>
      </c>
      <c r="O241" s="627">
        <f>N241/M241*100</f>
        <v>12.787491593813046</v>
      </c>
      <c r="P241" s="603">
        <f>224600+4191</f>
        <v>228791</v>
      </c>
      <c r="Q241" s="581">
        <v>61312</v>
      </c>
      <c r="R241" s="627">
        <f t="shared" si="25"/>
        <v>26.79825692444196</v>
      </c>
    </row>
    <row r="242" spans="1:18" ht="24">
      <c r="A242" s="647">
        <v>4040</v>
      </c>
      <c r="B242" s="651" t="s">
        <v>249</v>
      </c>
      <c r="C242" s="603">
        <v>28000</v>
      </c>
      <c r="D242" s="581">
        <f t="shared" si="23"/>
        <v>28000</v>
      </c>
      <c r="E242" s="581">
        <f aca="true" t="shared" si="26" ref="E242:E263">SUM(H242+K242+N242+Q242)</f>
        <v>19701</v>
      </c>
      <c r="F242" s="582">
        <f t="shared" si="20"/>
        <v>70.3607142857143</v>
      </c>
      <c r="G242" s="603"/>
      <c r="H242" s="581"/>
      <c r="I242" s="649"/>
      <c r="J242" s="586"/>
      <c r="K242" s="581"/>
      <c r="L242" s="587"/>
      <c r="M242" s="581">
        <v>8000</v>
      </c>
      <c r="N242" s="581">
        <f>5661+1</f>
        <v>5662</v>
      </c>
      <c r="O242" s="627">
        <f>N242/M242*100</f>
        <v>70.775</v>
      </c>
      <c r="P242" s="603">
        <v>20000</v>
      </c>
      <c r="Q242" s="581">
        <v>14039</v>
      </c>
      <c r="R242" s="627">
        <f t="shared" si="25"/>
        <v>70.195</v>
      </c>
    </row>
    <row r="243" spans="1:18" ht="25.5" customHeight="1">
      <c r="A243" s="647">
        <v>4110</v>
      </c>
      <c r="B243" s="579" t="s">
        <v>187</v>
      </c>
      <c r="C243" s="603">
        <v>63920</v>
      </c>
      <c r="D243" s="581">
        <f t="shared" si="23"/>
        <v>63920</v>
      </c>
      <c r="E243" s="581">
        <f t="shared" si="26"/>
        <v>8034</v>
      </c>
      <c r="F243" s="582">
        <f t="shared" si="20"/>
        <v>12.568836045056319</v>
      </c>
      <c r="G243" s="603"/>
      <c r="H243" s="581"/>
      <c r="I243" s="649"/>
      <c r="J243" s="586"/>
      <c r="K243" s="581"/>
      <c r="L243" s="587"/>
      <c r="M243" s="581">
        <v>24960</v>
      </c>
      <c r="N243" s="581">
        <f>1936+1</f>
        <v>1937</v>
      </c>
      <c r="O243" s="627">
        <f>N243/M243*100</f>
        <v>7.760416666666667</v>
      </c>
      <c r="P243" s="603">
        <v>38960</v>
      </c>
      <c r="Q243" s="581">
        <v>6097</v>
      </c>
      <c r="R243" s="627">
        <f t="shared" si="25"/>
        <v>15.649383983572896</v>
      </c>
    </row>
    <row r="244" spans="1:18" ht="13.5" customHeight="1">
      <c r="A244" s="647">
        <v>4120</v>
      </c>
      <c r="B244" s="651" t="s">
        <v>619</v>
      </c>
      <c r="C244" s="603">
        <v>9830</v>
      </c>
      <c r="D244" s="581">
        <f t="shared" si="23"/>
        <v>9830</v>
      </c>
      <c r="E244" s="581">
        <f t="shared" si="26"/>
        <v>1104</v>
      </c>
      <c r="F244" s="582">
        <f t="shared" si="20"/>
        <v>11.230925737538149</v>
      </c>
      <c r="G244" s="603"/>
      <c r="H244" s="581"/>
      <c r="I244" s="649"/>
      <c r="J244" s="586"/>
      <c r="K244" s="581"/>
      <c r="L244" s="587"/>
      <c r="M244" s="581">
        <v>3840</v>
      </c>
      <c r="N244" s="581">
        <v>312</v>
      </c>
      <c r="O244" s="627">
        <f>N244/M244*100</f>
        <v>8.125</v>
      </c>
      <c r="P244" s="603">
        <v>5990</v>
      </c>
      <c r="Q244" s="581">
        <v>792</v>
      </c>
      <c r="R244" s="627">
        <f t="shared" si="25"/>
        <v>13.222036727879798</v>
      </c>
    </row>
    <row r="245" spans="1:18" ht="24" hidden="1">
      <c r="A245" s="647">
        <v>4170</v>
      </c>
      <c r="B245" s="651" t="s">
        <v>221</v>
      </c>
      <c r="C245" s="603"/>
      <c r="D245" s="581">
        <f t="shared" si="23"/>
        <v>0</v>
      </c>
      <c r="E245" s="581">
        <f>SUM(H245+K245+N245+Q245)</f>
        <v>0</v>
      </c>
      <c r="F245" s="582" t="e">
        <f>E245/D245*100</f>
        <v>#DIV/0!</v>
      </c>
      <c r="G245" s="603"/>
      <c r="H245" s="581"/>
      <c r="I245" s="649"/>
      <c r="J245" s="586"/>
      <c r="K245" s="581"/>
      <c r="L245" s="587"/>
      <c r="M245" s="586"/>
      <c r="N245" s="586"/>
      <c r="O245" s="627" t="e">
        <f>N245/M245*100</f>
        <v>#DIV/0!</v>
      </c>
      <c r="P245" s="603"/>
      <c r="Q245" s="581"/>
      <c r="R245" s="627" t="e">
        <f t="shared" si="25"/>
        <v>#DIV/0!</v>
      </c>
    </row>
    <row r="246" spans="1:18" ht="22.5" customHeight="1">
      <c r="A246" s="647">
        <v>4210</v>
      </c>
      <c r="B246" s="651" t="s">
        <v>191</v>
      </c>
      <c r="C246" s="603">
        <v>4000</v>
      </c>
      <c r="D246" s="581">
        <f t="shared" si="23"/>
        <v>4000</v>
      </c>
      <c r="E246" s="581">
        <f t="shared" si="26"/>
        <v>580</v>
      </c>
      <c r="F246" s="582">
        <f t="shared" si="20"/>
        <v>14.499999999999998</v>
      </c>
      <c r="G246" s="603"/>
      <c r="H246" s="581"/>
      <c r="I246" s="649"/>
      <c r="J246" s="586"/>
      <c r="K246" s="581"/>
      <c r="L246" s="587"/>
      <c r="M246" s="586"/>
      <c r="N246" s="586"/>
      <c r="O246" s="627"/>
      <c r="P246" s="603">
        <v>4000</v>
      </c>
      <c r="Q246" s="581">
        <v>580</v>
      </c>
      <c r="R246" s="627">
        <f t="shared" si="25"/>
        <v>14.499999999999998</v>
      </c>
    </row>
    <row r="247" spans="1:18" ht="22.5" customHeight="1" hidden="1">
      <c r="A247" s="647">
        <v>4270</v>
      </c>
      <c r="B247" s="651" t="s">
        <v>197</v>
      </c>
      <c r="C247" s="603"/>
      <c r="D247" s="581">
        <f t="shared" si="23"/>
        <v>0</v>
      </c>
      <c r="E247" s="581">
        <f>SUM(H247+K247+N247+Q247)</f>
        <v>0</v>
      </c>
      <c r="F247" s="582" t="e">
        <f>E247/D247*100</f>
        <v>#DIV/0!</v>
      </c>
      <c r="G247" s="603"/>
      <c r="H247" s="581"/>
      <c r="I247" s="649"/>
      <c r="J247" s="586"/>
      <c r="K247" s="581"/>
      <c r="L247" s="587"/>
      <c r="M247" s="586"/>
      <c r="N247" s="586"/>
      <c r="O247" s="627"/>
      <c r="P247" s="603"/>
      <c r="Q247" s="581"/>
      <c r="R247" s="627" t="e">
        <f t="shared" si="25"/>
        <v>#DIV/0!</v>
      </c>
    </row>
    <row r="248" spans="1:18" ht="14.25" customHeight="1">
      <c r="A248" s="647">
        <v>4280</v>
      </c>
      <c r="B248" s="651" t="s">
        <v>582</v>
      </c>
      <c r="C248" s="603">
        <v>300</v>
      </c>
      <c r="D248" s="581">
        <f t="shared" si="23"/>
        <v>300</v>
      </c>
      <c r="E248" s="581">
        <f>SUM(H248+K248+N248+Q248)</f>
        <v>69</v>
      </c>
      <c r="F248" s="582">
        <f>E248/D248*100</f>
        <v>23</v>
      </c>
      <c r="G248" s="603"/>
      <c r="H248" s="581"/>
      <c r="I248" s="649"/>
      <c r="J248" s="586"/>
      <c r="K248" s="581"/>
      <c r="L248" s="587"/>
      <c r="M248" s="586"/>
      <c r="N248" s="586"/>
      <c r="O248" s="627"/>
      <c r="P248" s="603">
        <v>300</v>
      </c>
      <c r="Q248" s="581">
        <v>69</v>
      </c>
      <c r="R248" s="627">
        <f t="shared" si="25"/>
        <v>23</v>
      </c>
    </row>
    <row r="249" spans="1:18" ht="15.75" customHeight="1">
      <c r="A249" s="647">
        <v>4300</v>
      </c>
      <c r="B249" s="712" t="s">
        <v>199</v>
      </c>
      <c r="C249" s="603">
        <v>14800</v>
      </c>
      <c r="D249" s="581">
        <f t="shared" si="23"/>
        <v>14800</v>
      </c>
      <c r="E249" s="581">
        <f t="shared" si="26"/>
        <v>2867</v>
      </c>
      <c r="F249" s="582">
        <f t="shared" si="20"/>
        <v>19.37162162162162</v>
      </c>
      <c r="G249" s="603"/>
      <c r="H249" s="581"/>
      <c r="I249" s="649"/>
      <c r="J249" s="586"/>
      <c r="K249" s="581"/>
      <c r="L249" s="587"/>
      <c r="M249" s="586">
        <v>10300</v>
      </c>
      <c r="N249" s="586">
        <v>655</v>
      </c>
      <c r="O249" s="627">
        <f>N249/M249*100</f>
        <v>6.359223300970873</v>
      </c>
      <c r="P249" s="603">
        <v>4500</v>
      </c>
      <c r="Q249" s="581">
        <v>2212</v>
      </c>
      <c r="R249" s="627">
        <f t="shared" si="25"/>
        <v>49.15555555555556</v>
      </c>
    </row>
    <row r="250" spans="1:18" ht="24">
      <c r="A250" s="647">
        <v>4350</v>
      </c>
      <c r="B250" s="712" t="s">
        <v>584</v>
      </c>
      <c r="C250" s="603">
        <v>800</v>
      </c>
      <c r="D250" s="581">
        <f t="shared" si="23"/>
        <v>800</v>
      </c>
      <c r="E250" s="581">
        <f t="shared" si="26"/>
        <v>165</v>
      </c>
      <c r="F250" s="582">
        <f t="shared" si="20"/>
        <v>20.625</v>
      </c>
      <c r="G250" s="603"/>
      <c r="H250" s="581"/>
      <c r="I250" s="649"/>
      <c r="J250" s="586"/>
      <c r="K250" s="581"/>
      <c r="L250" s="587"/>
      <c r="M250" s="586"/>
      <c r="N250" s="586"/>
      <c r="O250" s="627"/>
      <c r="P250" s="603">
        <v>800</v>
      </c>
      <c r="Q250" s="581">
        <v>165</v>
      </c>
      <c r="R250" s="627">
        <f t="shared" si="25"/>
        <v>20.625</v>
      </c>
    </row>
    <row r="251" spans="1:18" ht="60" customHeight="1">
      <c r="A251" s="647">
        <v>4360</v>
      </c>
      <c r="B251" s="712" t="s">
        <v>431</v>
      </c>
      <c r="C251" s="603">
        <v>1200</v>
      </c>
      <c r="D251" s="581">
        <f t="shared" si="23"/>
        <v>1200</v>
      </c>
      <c r="E251" s="581">
        <f t="shared" si="26"/>
        <v>189</v>
      </c>
      <c r="F251" s="582">
        <f t="shared" si="20"/>
        <v>15.75</v>
      </c>
      <c r="G251" s="603"/>
      <c r="H251" s="581"/>
      <c r="I251" s="649"/>
      <c r="J251" s="586"/>
      <c r="K251" s="581"/>
      <c r="L251" s="587"/>
      <c r="M251" s="586"/>
      <c r="N251" s="586"/>
      <c r="O251" s="627"/>
      <c r="P251" s="603">
        <v>1200</v>
      </c>
      <c r="Q251" s="581">
        <f>188+1</f>
        <v>189</v>
      </c>
      <c r="R251" s="627">
        <f t="shared" si="25"/>
        <v>15.75</v>
      </c>
    </row>
    <row r="252" spans="1:18" ht="65.25" customHeight="1">
      <c r="A252" s="647">
        <v>4370</v>
      </c>
      <c r="B252" s="712" t="s">
        <v>432</v>
      </c>
      <c r="C252" s="603">
        <v>1800</v>
      </c>
      <c r="D252" s="581">
        <f t="shared" si="23"/>
        <v>1800</v>
      </c>
      <c r="E252" s="581">
        <f t="shared" si="26"/>
        <v>359</v>
      </c>
      <c r="F252" s="582">
        <f t="shared" si="20"/>
        <v>19.944444444444446</v>
      </c>
      <c r="G252" s="603"/>
      <c r="H252" s="581"/>
      <c r="I252" s="649"/>
      <c r="J252" s="586"/>
      <c r="K252" s="581"/>
      <c r="L252" s="587"/>
      <c r="M252" s="586"/>
      <c r="N252" s="586"/>
      <c r="O252" s="627"/>
      <c r="P252" s="603">
        <v>1800</v>
      </c>
      <c r="Q252" s="581">
        <v>359</v>
      </c>
      <c r="R252" s="627">
        <f t="shared" si="25"/>
        <v>19.944444444444446</v>
      </c>
    </row>
    <row r="253" spans="1:18" ht="36.75" customHeight="1">
      <c r="A253" s="647">
        <v>4400</v>
      </c>
      <c r="B253" s="712" t="s">
        <v>433</v>
      </c>
      <c r="C253" s="603">
        <v>3400</v>
      </c>
      <c r="D253" s="581">
        <f t="shared" si="23"/>
        <v>3400</v>
      </c>
      <c r="E253" s="581">
        <f t="shared" si="26"/>
        <v>712</v>
      </c>
      <c r="F253" s="582">
        <f aca="true" t="shared" si="27" ref="F253:F316">E253/D253*100</f>
        <v>20.941176470588236</v>
      </c>
      <c r="G253" s="603"/>
      <c r="H253" s="581"/>
      <c r="I253" s="649"/>
      <c r="J253" s="586"/>
      <c r="K253" s="581"/>
      <c r="L253" s="587"/>
      <c r="M253" s="586"/>
      <c r="N253" s="586"/>
      <c r="O253" s="627"/>
      <c r="P253" s="603">
        <v>3400</v>
      </c>
      <c r="Q253" s="581">
        <v>712</v>
      </c>
      <c r="R253" s="627">
        <f t="shared" si="25"/>
        <v>20.941176470588236</v>
      </c>
    </row>
    <row r="254" spans="1:18" ht="14.25" customHeight="1">
      <c r="A254" s="647">
        <v>4410</v>
      </c>
      <c r="B254" s="712" t="s">
        <v>627</v>
      </c>
      <c r="C254" s="603">
        <v>1000</v>
      </c>
      <c r="D254" s="581">
        <f t="shared" si="23"/>
        <v>1000</v>
      </c>
      <c r="E254" s="581">
        <f t="shared" si="26"/>
        <v>0</v>
      </c>
      <c r="F254" s="582">
        <f t="shared" si="27"/>
        <v>0</v>
      </c>
      <c r="G254" s="603"/>
      <c r="H254" s="581"/>
      <c r="I254" s="649"/>
      <c r="J254" s="586"/>
      <c r="K254" s="581"/>
      <c r="L254" s="587"/>
      <c r="M254" s="586"/>
      <c r="N254" s="586"/>
      <c r="O254" s="627"/>
      <c r="P254" s="603">
        <v>1000</v>
      </c>
      <c r="Q254" s="581"/>
      <c r="R254" s="627">
        <f t="shared" si="25"/>
        <v>0</v>
      </c>
    </row>
    <row r="255" spans="1:18" ht="14.25" customHeight="1">
      <c r="A255" s="647">
        <v>4430</v>
      </c>
      <c r="B255" s="712" t="s">
        <v>201</v>
      </c>
      <c r="C255" s="603">
        <v>1700</v>
      </c>
      <c r="D255" s="581">
        <f t="shared" si="23"/>
        <v>1700</v>
      </c>
      <c r="E255" s="581">
        <f>SUM(H255+K255+N255+Q255)</f>
        <v>1479</v>
      </c>
      <c r="F255" s="582">
        <f t="shared" si="27"/>
        <v>87</v>
      </c>
      <c r="G255" s="603"/>
      <c r="H255" s="581"/>
      <c r="I255" s="649"/>
      <c r="J255" s="586"/>
      <c r="K255" s="581"/>
      <c r="L255" s="587"/>
      <c r="M255" s="586"/>
      <c r="N255" s="586"/>
      <c r="O255" s="585"/>
      <c r="P255" s="603">
        <v>1700</v>
      </c>
      <c r="Q255" s="581">
        <v>1479</v>
      </c>
      <c r="R255" s="627">
        <f t="shared" si="25"/>
        <v>87</v>
      </c>
    </row>
    <row r="256" spans="1:18" ht="14.25" customHeight="1">
      <c r="A256" s="647">
        <v>4440</v>
      </c>
      <c r="B256" s="712" t="s">
        <v>203</v>
      </c>
      <c r="C256" s="603">
        <v>11000</v>
      </c>
      <c r="D256" s="581">
        <f t="shared" si="23"/>
        <v>11000</v>
      </c>
      <c r="E256" s="581">
        <f t="shared" si="26"/>
        <v>0</v>
      </c>
      <c r="F256" s="582">
        <f t="shared" si="27"/>
        <v>0</v>
      </c>
      <c r="G256" s="603"/>
      <c r="H256" s="581"/>
      <c r="I256" s="649"/>
      <c r="J256" s="586"/>
      <c r="K256" s="581"/>
      <c r="L256" s="587"/>
      <c r="M256" s="586">
        <v>4200</v>
      </c>
      <c r="N256" s="586"/>
      <c r="O256" s="627">
        <f>N256/M256*100</f>
        <v>0</v>
      </c>
      <c r="P256" s="603">
        <v>6800</v>
      </c>
      <c r="Q256" s="581"/>
      <c r="R256" s="627">
        <f t="shared" si="25"/>
        <v>0</v>
      </c>
    </row>
    <row r="257" spans="1:18" ht="26.25" customHeight="1">
      <c r="A257" s="647">
        <v>4490</v>
      </c>
      <c r="B257" s="712" t="s">
        <v>268</v>
      </c>
      <c r="C257" s="603">
        <v>100</v>
      </c>
      <c r="D257" s="581">
        <f aca="true" t="shared" si="28" ref="D257:E270">G257+J257+P257+M257</f>
        <v>100</v>
      </c>
      <c r="E257" s="581">
        <f>SUM(H257+K257+N257+Q257)</f>
        <v>0</v>
      </c>
      <c r="F257" s="582">
        <f t="shared" si="27"/>
        <v>0</v>
      </c>
      <c r="G257" s="603"/>
      <c r="H257" s="581"/>
      <c r="I257" s="649"/>
      <c r="J257" s="586"/>
      <c r="K257" s="581"/>
      <c r="L257" s="587"/>
      <c r="M257" s="586"/>
      <c r="N257" s="586"/>
      <c r="O257" s="627"/>
      <c r="P257" s="603">
        <v>100</v>
      </c>
      <c r="Q257" s="581"/>
      <c r="R257" s="627">
        <f t="shared" si="25"/>
        <v>0</v>
      </c>
    </row>
    <row r="258" spans="1:18" ht="27.75" customHeight="1">
      <c r="A258" s="647">
        <v>4550</v>
      </c>
      <c r="B258" s="712" t="s">
        <v>207</v>
      </c>
      <c r="C258" s="603">
        <v>5000</v>
      </c>
      <c r="D258" s="581">
        <f t="shared" si="28"/>
        <v>5000</v>
      </c>
      <c r="E258" s="581">
        <f>SUM(H258+K258+N258+Q258)</f>
        <v>380</v>
      </c>
      <c r="F258" s="582">
        <f t="shared" si="27"/>
        <v>7.6</v>
      </c>
      <c r="G258" s="603"/>
      <c r="H258" s="581"/>
      <c r="I258" s="649"/>
      <c r="J258" s="586"/>
      <c r="K258" s="581"/>
      <c r="L258" s="587"/>
      <c r="M258" s="586"/>
      <c r="N258" s="586"/>
      <c r="O258" s="627"/>
      <c r="P258" s="603">
        <v>5000</v>
      </c>
      <c r="Q258" s="581">
        <v>380</v>
      </c>
      <c r="R258" s="627">
        <f t="shared" si="25"/>
        <v>7.6</v>
      </c>
    </row>
    <row r="259" spans="1:18" ht="39" customHeight="1">
      <c r="A259" s="647">
        <v>4700</v>
      </c>
      <c r="B259" s="712" t="s">
        <v>588</v>
      </c>
      <c r="C259" s="603">
        <v>1200</v>
      </c>
      <c r="D259" s="581">
        <f t="shared" si="28"/>
        <v>1200</v>
      </c>
      <c r="E259" s="581">
        <f t="shared" si="26"/>
        <v>0</v>
      </c>
      <c r="F259" s="582">
        <f t="shared" si="27"/>
        <v>0</v>
      </c>
      <c r="G259" s="603"/>
      <c r="H259" s="581"/>
      <c r="I259" s="649"/>
      <c r="J259" s="586"/>
      <c r="K259" s="581"/>
      <c r="L259" s="587"/>
      <c r="M259" s="586"/>
      <c r="N259" s="586"/>
      <c r="O259" s="627"/>
      <c r="P259" s="603">
        <v>1200</v>
      </c>
      <c r="Q259" s="581"/>
      <c r="R259" s="627">
        <f t="shared" si="25"/>
        <v>0</v>
      </c>
    </row>
    <row r="260" spans="1:18" ht="51" customHeight="1">
      <c r="A260" s="647">
        <v>4740</v>
      </c>
      <c r="B260" s="712" t="s">
        <v>215</v>
      </c>
      <c r="C260" s="603">
        <v>1000</v>
      </c>
      <c r="D260" s="581">
        <f t="shared" si="28"/>
        <v>1000</v>
      </c>
      <c r="E260" s="581">
        <f>SUM(H260+K260+N260+Q260)</f>
        <v>0</v>
      </c>
      <c r="F260" s="582">
        <f t="shared" si="27"/>
        <v>0</v>
      </c>
      <c r="G260" s="603"/>
      <c r="H260" s="581"/>
      <c r="I260" s="649"/>
      <c r="J260" s="586"/>
      <c r="K260" s="770"/>
      <c r="L260" s="771"/>
      <c r="M260" s="586"/>
      <c r="N260" s="586"/>
      <c r="O260" s="585"/>
      <c r="P260" s="603">
        <v>1000</v>
      </c>
      <c r="Q260" s="581"/>
      <c r="R260" s="627">
        <f t="shared" si="25"/>
        <v>0</v>
      </c>
    </row>
    <row r="261" spans="1:18" ht="48" hidden="1">
      <c r="A261" s="647">
        <v>6060</v>
      </c>
      <c r="B261" s="651" t="s">
        <v>628</v>
      </c>
      <c r="C261" s="603"/>
      <c r="D261" s="581">
        <f t="shared" si="28"/>
        <v>0</v>
      </c>
      <c r="E261" s="581">
        <f>SUM(H261+K261+N261+Q261)</f>
        <v>0</v>
      </c>
      <c r="F261" s="582"/>
      <c r="G261" s="603"/>
      <c r="H261" s="581"/>
      <c r="I261" s="649"/>
      <c r="J261" s="586"/>
      <c r="K261" s="581"/>
      <c r="L261" s="587"/>
      <c r="M261" s="586"/>
      <c r="N261" s="586"/>
      <c r="O261" s="627"/>
      <c r="P261" s="603"/>
      <c r="Q261" s="581"/>
      <c r="R261" s="627"/>
    </row>
    <row r="262" spans="1:18" ht="36">
      <c r="A262" s="672">
        <v>4750</v>
      </c>
      <c r="B262" s="673" t="s">
        <v>589</v>
      </c>
      <c r="C262" s="674">
        <v>6250</v>
      </c>
      <c r="D262" s="675">
        <f t="shared" si="28"/>
        <v>6250</v>
      </c>
      <c r="E262" s="675">
        <f t="shared" si="26"/>
        <v>256</v>
      </c>
      <c r="F262" s="643">
        <f t="shared" si="27"/>
        <v>4.096</v>
      </c>
      <c r="G262" s="674"/>
      <c r="H262" s="675"/>
      <c r="I262" s="689"/>
      <c r="J262" s="676"/>
      <c r="K262" s="675"/>
      <c r="L262" s="677"/>
      <c r="M262" s="676"/>
      <c r="N262" s="676"/>
      <c r="O262" s="585"/>
      <c r="P262" s="674">
        <v>6250</v>
      </c>
      <c r="Q262" s="675">
        <v>256</v>
      </c>
      <c r="R262" s="644">
        <f t="shared" si="25"/>
        <v>4.096</v>
      </c>
    </row>
    <row r="263" spans="1:26" s="639" customFormat="1" ht="13.5" customHeight="1">
      <c r="A263" s="640">
        <v>71035</v>
      </c>
      <c r="B263" s="742" t="s">
        <v>629</v>
      </c>
      <c r="C263" s="608">
        <f>SUM(C264:C267)</f>
        <v>2416600</v>
      </c>
      <c r="D263" s="595">
        <f t="shared" si="28"/>
        <v>2416600</v>
      </c>
      <c r="E263" s="595">
        <f t="shared" si="26"/>
        <v>469315</v>
      </c>
      <c r="F263" s="609">
        <f t="shared" si="27"/>
        <v>19.420466771497143</v>
      </c>
      <c r="G263" s="608">
        <f>SUM(G264:G267)</f>
        <v>2400000</v>
      </c>
      <c r="H263" s="595">
        <f>SUM(H264:H267)</f>
        <v>469315</v>
      </c>
      <c r="I263" s="602">
        <f aca="true" t="shared" si="29" ref="I263:I275">H263/G263*100</f>
        <v>19.554791666666667</v>
      </c>
      <c r="J263" s="600">
        <f>SUM(J265:J267)</f>
        <v>16600</v>
      </c>
      <c r="K263" s="595">
        <f>SUM(K265:K267)</f>
        <v>0</v>
      </c>
      <c r="L263" s="601">
        <f>K263/J263*100</f>
        <v>0</v>
      </c>
      <c r="M263" s="600"/>
      <c r="N263" s="600"/>
      <c r="O263" s="684"/>
      <c r="P263" s="608"/>
      <c r="Q263" s="595"/>
      <c r="R263" s="682"/>
      <c r="S263" s="564"/>
      <c r="T263" s="564"/>
      <c r="U263" s="564"/>
      <c r="V263" s="564"/>
      <c r="W263" s="565"/>
      <c r="X263" s="565"/>
      <c r="Y263" s="565"/>
      <c r="Z263" s="565"/>
    </row>
    <row r="264" spans="1:18" ht="16.5" customHeight="1" hidden="1" thickBot="1">
      <c r="A264" s="647">
        <v>4270</v>
      </c>
      <c r="B264" s="651" t="s">
        <v>197</v>
      </c>
      <c r="C264" s="603"/>
      <c r="D264" s="581">
        <f t="shared" si="28"/>
        <v>0</v>
      </c>
      <c r="E264" s="581">
        <f t="shared" si="28"/>
        <v>0</v>
      </c>
      <c r="F264" s="582"/>
      <c r="G264" s="603"/>
      <c r="H264" s="581"/>
      <c r="I264" s="585"/>
      <c r="J264" s="586"/>
      <c r="K264" s="581"/>
      <c r="L264" s="587"/>
      <c r="M264" s="586"/>
      <c r="N264" s="586"/>
      <c r="O264" s="649"/>
      <c r="P264" s="603"/>
      <c r="Q264" s="581"/>
      <c r="R264" s="585"/>
    </row>
    <row r="265" spans="1:18" ht="24.75" customHeight="1">
      <c r="A265" s="647">
        <v>4300</v>
      </c>
      <c r="B265" s="651" t="s">
        <v>445</v>
      </c>
      <c r="C265" s="603">
        <v>16600</v>
      </c>
      <c r="D265" s="581">
        <f t="shared" si="28"/>
        <v>16600</v>
      </c>
      <c r="E265" s="581">
        <f t="shared" si="28"/>
        <v>0</v>
      </c>
      <c r="F265" s="582">
        <f t="shared" si="27"/>
        <v>0</v>
      </c>
      <c r="G265" s="603"/>
      <c r="H265" s="581"/>
      <c r="I265" s="585"/>
      <c r="J265" s="586">
        <v>16600</v>
      </c>
      <c r="K265" s="581"/>
      <c r="L265" s="587">
        <f>K265/J265*100</f>
        <v>0</v>
      </c>
      <c r="M265" s="586"/>
      <c r="N265" s="586"/>
      <c r="O265" s="649"/>
      <c r="P265" s="603"/>
      <c r="Q265" s="581"/>
      <c r="R265" s="585"/>
    </row>
    <row r="266" spans="1:18" ht="29.25" customHeight="1">
      <c r="A266" s="647">
        <v>4300</v>
      </c>
      <c r="B266" s="651" t="s">
        <v>446</v>
      </c>
      <c r="C266" s="603">
        <v>1600000</v>
      </c>
      <c r="D266" s="581">
        <f t="shared" si="28"/>
        <v>1600000</v>
      </c>
      <c r="E266" s="581">
        <f t="shared" si="28"/>
        <v>217385</v>
      </c>
      <c r="F266" s="582">
        <f t="shared" si="27"/>
        <v>13.5865625</v>
      </c>
      <c r="G266" s="603">
        <v>1600000</v>
      </c>
      <c r="H266" s="581">
        <v>217385</v>
      </c>
      <c r="I266" s="585">
        <f t="shared" si="29"/>
        <v>13.5865625</v>
      </c>
      <c r="J266" s="586"/>
      <c r="K266" s="581"/>
      <c r="L266" s="587"/>
      <c r="M266" s="586"/>
      <c r="N266" s="586"/>
      <c r="O266" s="649"/>
      <c r="P266" s="603"/>
      <c r="Q266" s="581"/>
      <c r="R266" s="585"/>
    </row>
    <row r="267" spans="1:18" ht="25.5" customHeight="1" thickBot="1">
      <c r="A267" s="647">
        <v>6050</v>
      </c>
      <c r="B267" s="651" t="s">
        <v>225</v>
      </c>
      <c r="C267" s="603">
        <v>800000</v>
      </c>
      <c r="D267" s="581">
        <f>G267+J267+P267+M267</f>
        <v>800000</v>
      </c>
      <c r="E267" s="581">
        <f>H267+K267+Q267+N267</f>
        <v>251930</v>
      </c>
      <c r="F267" s="582">
        <f>E267/D267*100</f>
        <v>31.491249999999997</v>
      </c>
      <c r="G267" s="603">
        <v>800000</v>
      </c>
      <c r="H267" s="581">
        <v>251930</v>
      </c>
      <c r="I267" s="585">
        <f t="shared" si="29"/>
        <v>31.491249999999997</v>
      </c>
      <c r="J267" s="586"/>
      <c r="K267" s="581"/>
      <c r="L267" s="587"/>
      <c r="M267" s="772"/>
      <c r="N267" s="675"/>
      <c r="O267" s="649"/>
      <c r="P267" s="603"/>
      <c r="Q267" s="581"/>
      <c r="R267" s="585"/>
    </row>
    <row r="268" spans="1:18" ht="15.75" customHeight="1" hidden="1" thickTop="1">
      <c r="A268" s="640">
        <v>71095</v>
      </c>
      <c r="B268" s="742" t="s">
        <v>213</v>
      </c>
      <c r="C268" s="608"/>
      <c r="D268" s="595">
        <f t="shared" si="28"/>
        <v>0</v>
      </c>
      <c r="E268" s="595">
        <f t="shared" si="28"/>
        <v>0</v>
      </c>
      <c r="F268" s="596" t="e">
        <f t="shared" si="27"/>
        <v>#DIV/0!</v>
      </c>
      <c r="G268" s="608">
        <f>G269</f>
        <v>0</v>
      </c>
      <c r="H268" s="595">
        <f>H269</f>
        <v>0</v>
      </c>
      <c r="I268" s="679" t="e">
        <f t="shared" si="29"/>
        <v>#DIV/0!</v>
      </c>
      <c r="J268" s="600"/>
      <c r="K268" s="595"/>
      <c r="L268" s="601"/>
      <c r="M268" s="773"/>
      <c r="N268" s="595"/>
      <c r="O268" s="684"/>
      <c r="P268" s="608"/>
      <c r="Q268" s="595"/>
      <c r="R268" s="682"/>
    </row>
    <row r="269" spans="1:18" ht="17.25" customHeight="1" hidden="1">
      <c r="A269" s="647">
        <v>4300</v>
      </c>
      <c r="B269" s="651" t="s">
        <v>199</v>
      </c>
      <c r="C269" s="603"/>
      <c r="D269" s="581">
        <f t="shared" si="28"/>
        <v>0</v>
      </c>
      <c r="E269" s="581">
        <f t="shared" si="28"/>
        <v>0</v>
      </c>
      <c r="F269" s="582" t="e">
        <f t="shared" si="27"/>
        <v>#DIV/0!</v>
      </c>
      <c r="G269" s="603"/>
      <c r="H269" s="581"/>
      <c r="I269" s="585" t="e">
        <f t="shared" si="29"/>
        <v>#DIV/0!</v>
      </c>
      <c r="J269" s="586"/>
      <c r="K269" s="581"/>
      <c r="L269" s="587"/>
      <c r="M269" s="772"/>
      <c r="N269" s="631"/>
      <c r="O269" s="649"/>
      <c r="P269" s="603"/>
      <c r="Q269" s="581"/>
      <c r="R269" s="585"/>
    </row>
    <row r="270" spans="1:26" s="639" customFormat="1" ht="29.25" customHeight="1" thickBot="1" thickTop="1">
      <c r="A270" s="632">
        <v>750</v>
      </c>
      <c r="B270" s="633" t="s">
        <v>630</v>
      </c>
      <c r="C270" s="634">
        <f>C271+C282+C299+C313+C446+C459+C381+C397</f>
        <v>35872041</v>
      </c>
      <c r="D270" s="556">
        <f t="shared" si="28"/>
        <v>36056211</v>
      </c>
      <c r="E270" s="556">
        <f t="shared" si="28"/>
        <v>8590945</v>
      </c>
      <c r="F270" s="557">
        <f t="shared" si="27"/>
        <v>23.826532965430005</v>
      </c>
      <c r="G270" s="634">
        <f>G271+G299+G313+G381+G446+G459+G282+G397</f>
        <v>30895211</v>
      </c>
      <c r="H270" s="556">
        <f>H271+H299+H313+H381+H446+H459+H282+H397</f>
        <v>7607952</v>
      </c>
      <c r="I270" s="559">
        <f t="shared" si="29"/>
        <v>24.625020363188327</v>
      </c>
      <c r="J270" s="556">
        <f>J271+J299+J313+J381+J446+J459+J282+J397</f>
        <v>757900</v>
      </c>
      <c r="K270" s="556">
        <f>K271+K299+K313+K381+K446+K459+K282+K397</f>
        <v>235360</v>
      </c>
      <c r="L270" s="774">
        <f aca="true" t="shared" si="30" ref="L270:L275">K270/J270*100</f>
        <v>31.054228790077847</v>
      </c>
      <c r="M270" s="775">
        <f>M271+M299+M313+M381+M446+M459+M282</f>
        <v>4117400</v>
      </c>
      <c r="N270" s="556">
        <f>N271+N299+N313+N381+N446+N459+N282</f>
        <v>667512</v>
      </c>
      <c r="O270" s="559">
        <f>N270/M270*100</f>
        <v>16.211978432991696</v>
      </c>
      <c r="P270" s="634">
        <f>P271+P299+P313+P381+P446+P459+P282</f>
        <v>285700</v>
      </c>
      <c r="Q270" s="556">
        <f>Q271+Q299+Q313+Q381+Q446+Q459+Q282</f>
        <v>80121</v>
      </c>
      <c r="R270" s="635">
        <f aca="true" t="shared" si="31" ref="R270:R276">Q270/P270*100</f>
        <v>28.043752187609382</v>
      </c>
      <c r="S270" s="564"/>
      <c r="T270" s="564"/>
      <c r="U270" s="564"/>
      <c r="V270" s="564"/>
      <c r="W270" s="565"/>
      <c r="X270" s="565"/>
      <c r="Y270" s="565"/>
      <c r="Z270" s="565"/>
    </row>
    <row r="271" spans="1:18" ht="15" customHeight="1" thickTop="1">
      <c r="A271" s="640">
        <v>75011</v>
      </c>
      <c r="B271" s="742" t="s">
        <v>957</v>
      </c>
      <c r="C271" s="608">
        <f>SUM(C272:C281)</f>
        <v>1557700</v>
      </c>
      <c r="D271" s="642">
        <f>G271+J271+P271+M271</f>
        <v>1557700</v>
      </c>
      <c r="E271" s="642">
        <f>H271+K271+Q271+N271</f>
        <v>449750</v>
      </c>
      <c r="F271" s="643">
        <f t="shared" si="27"/>
        <v>28.872696924953456</v>
      </c>
      <c r="G271" s="608">
        <f>SUM(G272:G281)</f>
        <v>558600</v>
      </c>
      <c r="H271" s="595">
        <f>SUM(H272:H281)</f>
        <v>139488</v>
      </c>
      <c r="I271" s="679">
        <f t="shared" si="29"/>
        <v>24.970998925886143</v>
      </c>
      <c r="J271" s="600">
        <f>SUM(J272:J281)</f>
        <v>757900</v>
      </c>
      <c r="K271" s="595">
        <f>SUM(K272:K281)</f>
        <v>235360</v>
      </c>
      <c r="L271" s="776">
        <f t="shared" si="30"/>
        <v>31.054228790077847</v>
      </c>
      <c r="M271" s="595"/>
      <c r="N271" s="595"/>
      <c r="O271" s="645"/>
      <c r="P271" s="608">
        <f>SUM(P272:P281)</f>
        <v>241200</v>
      </c>
      <c r="Q271" s="595">
        <f>SUM(Q272:Q281)</f>
        <v>74902</v>
      </c>
      <c r="R271" s="644">
        <f t="shared" si="31"/>
        <v>31.053897180762853</v>
      </c>
    </row>
    <row r="272" spans="1:18" ht="24" customHeight="1">
      <c r="A272" s="667">
        <v>4010</v>
      </c>
      <c r="B272" s="668" t="s">
        <v>181</v>
      </c>
      <c r="C272" s="606">
        <v>951100</v>
      </c>
      <c r="D272" s="615">
        <f aca="true" t="shared" si="32" ref="D272:D335">G272+J272+P272+M272</f>
        <v>951100</v>
      </c>
      <c r="E272" s="615">
        <f aca="true" t="shared" si="33" ref="E272:E281">SUM(H272+K272+N272+Q272)</f>
        <v>231885</v>
      </c>
      <c r="F272" s="604">
        <f t="shared" si="27"/>
        <v>24.380717064451687</v>
      </c>
      <c r="G272" s="606">
        <v>165600</v>
      </c>
      <c r="H272" s="615">
        <v>27872</v>
      </c>
      <c r="I272" s="669">
        <f t="shared" si="29"/>
        <v>16.830917874396135</v>
      </c>
      <c r="J272" s="618">
        <v>595800</v>
      </c>
      <c r="K272" s="615">
        <v>154536</v>
      </c>
      <c r="L272" s="669">
        <f t="shared" si="30"/>
        <v>25.93756294058409</v>
      </c>
      <c r="M272" s="615"/>
      <c r="N272" s="615"/>
      <c r="O272" s="686"/>
      <c r="P272" s="606">
        <v>189700</v>
      </c>
      <c r="Q272" s="615">
        <v>49477</v>
      </c>
      <c r="R272" s="669">
        <f t="shared" si="31"/>
        <v>26.08170795993674</v>
      </c>
    </row>
    <row r="273" spans="1:18" ht="24">
      <c r="A273" s="647">
        <v>4040</v>
      </c>
      <c r="B273" s="651" t="s">
        <v>249</v>
      </c>
      <c r="C273" s="603">
        <v>77200</v>
      </c>
      <c r="D273" s="581">
        <f t="shared" si="32"/>
        <v>77200</v>
      </c>
      <c r="E273" s="581">
        <f t="shared" si="33"/>
        <v>77200</v>
      </c>
      <c r="F273" s="582">
        <f t="shared" si="27"/>
        <v>100</v>
      </c>
      <c r="G273" s="603">
        <v>13400</v>
      </c>
      <c r="H273" s="581">
        <v>13400</v>
      </c>
      <c r="I273" s="627">
        <f t="shared" si="29"/>
        <v>100</v>
      </c>
      <c r="J273" s="586">
        <v>48400</v>
      </c>
      <c r="K273" s="581">
        <v>48400</v>
      </c>
      <c r="L273" s="627">
        <f t="shared" si="30"/>
        <v>100</v>
      </c>
      <c r="M273" s="581"/>
      <c r="N273" s="581"/>
      <c r="O273" s="649"/>
      <c r="P273" s="603">
        <v>15400</v>
      </c>
      <c r="Q273" s="581">
        <v>15400</v>
      </c>
      <c r="R273" s="627">
        <f t="shared" si="31"/>
        <v>100</v>
      </c>
    </row>
    <row r="274" spans="1:18" ht="24.75" customHeight="1">
      <c r="A274" s="647">
        <v>4110</v>
      </c>
      <c r="B274" s="579" t="s">
        <v>187</v>
      </c>
      <c r="C274" s="603">
        <v>156200</v>
      </c>
      <c r="D274" s="581">
        <f t="shared" si="32"/>
        <v>156200</v>
      </c>
      <c r="E274" s="581">
        <f t="shared" si="33"/>
        <v>42479</v>
      </c>
      <c r="F274" s="582">
        <f t="shared" si="27"/>
        <v>27.19526248399488</v>
      </c>
      <c r="G274" s="603">
        <v>27200</v>
      </c>
      <c r="H274" s="581">
        <f>6229+1</f>
        <v>6230</v>
      </c>
      <c r="I274" s="627">
        <f t="shared" si="29"/>
        <v>22.90441176470588</v>
      </c>
      <c r="J274" s="586">
        <v>97900</v>
      </c>
      <c r="K274" s="581">
        <v>27474</v>
      </c>
      <c r="L274" s="627">
        <f t="shared" si="30"/>
        <v>28.06332992849847</v>
      </c>
      <c r="M274" s="581"/>
      <c r="N274" s="581"/>
      <c r="O274" s="649"/>
      <c r="P274" s="603">
        <v>31100</v>
      </c>
      <c r="Q274" s="581">
        <v>8775</v>
      </c>
      <c r="R274" s="627">
        <f t="shared" si="31"/>
        <v>28.215434083601288</v>
      </c>
    </row>
    <row r="275" spans="1:18" ht="11.25" customHeight="1">
      <c r="A275" s="647">
        <v>4120</v>
      </c>
      <c r="B275" s="651" t="s">
        <v>619</v>
      </c>
      <c r="C275" s="603">
        <v>25200</v>
      </c>
      <c r="D275" s="581">
        <f t="shared" si="32"/>
        <v>25200</v>
      </c>
      <c r="E275" s="581">
        <f t="shared" si="33"/>
        <v>7208</v>
      </c>
      <c r="F275" s="582">
        <f t="shared" si="27"/>
        <v>28.6031746031746</v>
      </c>
      <c r="G275" s="603">
        <v>4400</v>
      </c>
      <c r="H275" s="581">
        <v>1008</v>
      </c>
      <c r="I275" s="627">
        <f t="shared" si="29"/>
        <v>22.90909090909091</v>
      </c>
      <c r="J275" s="586">
        <v>15800</v>
      </c>
      <c r="K275" s="581">
        <v>4950</v>
      </c>
      <c r="L275" s="627">
        <f t="shared" si="30"/>
        <v>31.329113924050635</v>
      </c>
      <c r="M275" s="581"/>
      <c r="N275" s="581"/>
      <c r="O275" s="649"/>
      <c r="P275" s="603">
        <v>5000</v>
      </c>
      <c r="Q275" s="581">
        <v>1250</v>
      </c>
      <c r="R275" s="627">
        <f t="shared" si="31"/>
        <v>25</v>
      </c>
    </row>
    <row r="276" spans="1:18" ht="24" hidden="1">
      <c r="A276" s="647">
        <v>4170</v>
      </c>
      <c r="B276" s="651" t="s">
        <v>221</v>
      </c>
      <c r="C276" s="603"/>
      <c r="D276" s="581">
        <f t="shared" si="32"/>
        <v>0</v>
      </c>
      <c r="E276" s="581">
        <f>SUM(H276+K276+N276+Q276)</f>
        <v>0</v>
      </c>
      <c r="F276" s="582" t="e">
        <f>E276/D276*100</f>
        <v>#DIV/0!</v>
      </c>
      <c r="G276" s="603"/>
      <c r="H276" s="581"/>
      <c r="I276" s="627"/>
      <c r="J276" s="586"/>
      <c r="K276" s="581"/>
      <c r="L276" s="627"/>
      <c r="M276" s="581"/>
      <c r="N276" s="581"/>
      <c r="O276" s="649"/>
      <c r="P276" s="603"/>
      <c r="Q276" s="581"/>
      <c r="R276" s="627" t="e">
        <f t="shared" si="31"/>
        <v>#DIV/0!</v>
      </c>
    </row>
    <row r="277" spans="1:18" ht="24">
      <c r="A277" s="647">
        <v>4210</v>
      </c>
      <c r="B277" s="651" t="s">
        <v>191</v>
      </c>
      <c r="C277" s="603">
        <v>143000</v>
      </c>
      <c r="D277" s="581">
        <f t="shared" si="32"/>
        <v>143000</v>
      </c>
      <c r="E277" s="581">
        <f t="shared" si="33"/>
        <v>38002</v>
      </c>
      <c r="F277" s="582">
        <f t="shared" si="27"/>
        <v>26.574825174825172</v>
      </c>
      <c r="G277" s="603">
        <v>143000</v>
      </c>
      <c r="H277" s="581">
        <f>38001+1</f>
        <v>38002</v>
      </c>
      <c r="I277" s="627">
        <f>H277/G277*100</f>
        <v>26.574825174825172</v>
      </c>
      <c r="J277" s="586"/>
      <c r="K277" s="581"/>
      <c r="L277" s="628"/>
      <c r="M277" s="581"/>
      <c r="N277" s="581"/>
      <c r="O277" s="649"/>
      <c r="P277" s="603"/>
      <c r="Q277" s="581"/>
      <c r="R277" s="585"/>
    </row>
    <row r="278" spans="1:18" ht="12.75">
      <c r="A278" s="647">
        <v>4260</v>
      </c>
      <c r="B278" s="651" t="s">
        <v>195</v>
      </c>
      <c r="C278" s="603">
        <v>40000</v>
      </c>
      <c r="D278" s="581">
        <f t="shared" si="32"/>
        <v>40000</v>
      </c>
      <c r="E278" s="581">
        <f t="shared" si="33"/>
        <v>15740</v>
      </c>
      <c r="F278" s="582">
        <f t="shared" si="27"/>
        <v>39.35</v>
      </c>
      <c r="G278" s="603">
        <v>40000</v>
      </c>
      <c r="H278" s="581">
        <v>15740</v>
      </c>
      <c r="I278" s="627">
        <f>H278/G278*100</f>
        <v>39.35</v>
      </c>
      <c r="J278" s="586"/>
      <c r="K278" s="581"/>
      <c r="L278" s="587"/>
      <c r="M278" s="581"/>
      <c r="N278" s="581"/>
      <c r="O278" s="649"/>
      <c r="P278" s="603"/>
      <c r="Q278" s="581"/>
      <c r="R278" s="629"/>
    </row>
    <row r="279" spans="1:18" ht="18" customHeight="1">
      <c r="A279" s="647">
        <v>4300</v>
      </c>
      <c r="B279" s="651" t="s">
        <v>199</v>
      </c>
      <c r="C279" s="603">
        <v>109000</v>
      </c>
      <c r="D279" s="581">
        <f t="shared" si="32"/>
        <v>109000</v>
      </c>
      <c r="E279" s="581">
        <f>SUM(H279+K279+N279+Q279)</f>
        <v>27084</v>
      </c>
      <c r="F279" s="582">
        <f>E279/D279*100</f>
        <v>24.847706422018348</v>
      </c>
      <c r="G279" s="603">
        <v>109000</v>
      </c>
      <c r="H279" s="581">
        <v>27084</v>
      </c>
      <c r="I279" s="585">
        <f>H279/G279*100</f>
        <v>24.847706422018348</v>
      </c>
      <c r="J279" s="586"/>
      <c r="K279" s="581"/>
      <c r="L279" s="587"/>
      <c r="M279" s="581"/>
      <c r="N279" s="581"/>
      <c r="O279" s="649"/>
      <c r="P279" s="603"/>
      <c r="Q279" s="581"/>
      <c r="R279" s="629"/>
    </row>
    <row r="280" spans="1:18" ht="60" customHeight="1">
      <c r="A280" s="647">
        <v>4360</v>
      </c>
      <c r="B280" s="712" t="s">
        <v>431</v>
      </c>
      <c r="C280" s="603">
        <v>22000</v>
      </c>
      <c r="D280" s="581">
        <f t="shared" si="32"/>
        <v>22000</v>
      </c>
      <c r="E280" s="581">
        <f>SUM(H280+K280+N280+Q280)</f>
        <v>3362</v>
      </c>
      <c r="F280" s="582">
        <f>E280/D280*100</f>
        <v>15.281818181818183</v>
      </c>
      <c r="G280" s="603">
        <v>22000</v>
      </c>
      <c r="H280" s="581">
        <v>3362</v>
      </c>
      <c r="I280" s="585">
        <f>H280/G280*100</f>
        <v>15.281818181818183</v>
      </c>
      <c r="J280" s="586"/>
      <c r="K280" s="581"/>
      <c r="L280" s="587"/>
      <c r="M280" s="581"/>
      <c r="N280" s="581"/>
      <c r="O280" s="649"/>
      <c r="P280" s="603"/>
      <c r="Q280" s="581"/>
      <c r="R280" s="629"/>
    </row>
    <row r="281" spans="1:18" ht="53.25" customHeight="1">
      <c r="A281" s="647">
        <v>4740</v>
      </c>
      <c r="B281" s="712" t="s">
        <v>215</v>
      </c>
      <c r="C281" s="603">
        <v>34000</v>
      </c>
      <c r="D281" s="581">
        <f t="shared" si="32"/>
        <v>34000</v>
      </c>
      <c r="E281" s="581">
        <f t="shared" si="33"/>
        <v>6790</v>
      </c>
      <c r="F281" s="582">
        <f t="shared" si="27"/>
        <v>19.970588235294116</v>
      </c>
      <c r="G281" s="603">
        <v>34000</v>
      </c>
      <c r="H281" s="581">
        <v>6790</v>
      </c>
      <c r="I281" s="585">
        <f>H281/G281*100</f>
        <v>19.970588235294116</v>
      </c>
      <c r="J281" s="586"/>
      <c r="K281" s="581"/>
      <c r="L281" s="585" t="s">
        <v>631</v>
      </c>
      <c r="M281" s="581"/>
      <c r="N281" s="581"/>
      <c r="O281" s="649"/>
      <c r="P281" s="603"/>
      <c r="Q281" s="581"/>
      <c r="R281" s="653"/>
    </row>
    <row r="282" spans="1:18" ht="12.75" customHeight="1">
      <c r="A282" s="640">
        <v>75020</v>
      </c>
      <c r="B282" s="742" t="s">
        <v>632</v>
      </c>
      <c r="C282" s="608">
        <f>SUM(C283:C298)</f>
        <v>4114400</v>
      </c>
      <c r="D282" s="595">
        <f t="shared" si="32"/>
        <v>4114400</v>
      </c>
      <c r="E282" s="595">
        <f>H282+K282+Q282+N282</f>
        <v>667512</v>
      </c>
      <c r="F282" s="596">
        <f t="shared" si="27"/>
        <v>16.223799338907252</v>
      </c>
      <c r="G282" s="734"/>
      <c r="H282" s="735"/>
      <c r="I282" s="645"/>
      <c r="J282" s="736"/>
      <c r="K282" s="735"/>
      <c r="L282" s="737"/>
      <c r="M282" s="595">
        <f>SUM(M283:M298)</f>
        <v>4114400</v>
      </c>
      <c r="N282" s="595">
        <f>SUM(N283:N298)</f>
        <v>667512</v>
      </c>
      <c r="O282" s="624">
        <f aca="true" t="shared" si="34" ref="O282:O298">N282/M282*100</f>
        <v>16.223799338907252</v>
      </c>
      <c r="P282" s="608"/>
      <c r="Q282" s="595"/>
      <c r="R282" s="731"/>
    </row>
    <row r="283" spans="1:18" ht="62.25" customHeight="1">
      <c r="A283" s="667">
        <v>2320</v>
      </c>
      <c r="B283" s="777" t="s">
        <v>633</v>
      </c>
      <c r="C283" s="606">
        <v>15000</v>
      </c>
      <c r="D283" s="615">
        <f t="shared" si="32"/>
        <v>15000</v>
      </c>
      <c r="E283" s="615">
        <f aca="true" t="shared" si="35" ref="E283:E297">SUM(H283+K283+N283+Q283)</f>
        <v>3750</v>
      </c>
      <c r="F283" s="604">
        <f t="shared" si="27"/>
        <v>25</v>
      </c>
      <c r="G283" s="606"/>
      <c r="H283" s="615"/>
      <c r="I283" s="686"/>
      <c r="J283" s="618"/>
      <c r="K283" s="615"/>
      <c r="L283" s="619"/>
      <c r="M283" s="778">
        <v>15000</v>
      </c>
      <c r="N283" s="615">
        <v>3750</v>
      </c>
      <c r="O283" s="669">
        <f t="shared" si="34"/>
        <v>25</v>
      </c>
      <c r="P283" s="606"/>
      <c r="Q283" s="615"/>
      <c r="R283" s="671"/>
    </row>
    <row r="284" spans="1:18" ht="27.75" customHeight="1">
      <c r="A284" s="647">
        <v>4010</v>
      </c>
      <c r="B284" s="651" t="s">
        <v>181</v>
      </c>
      <c r="C284" s="693">
        <v>1034300</v>
      </c>
      <c r="D284" s="581">
        <f t="shared" si="32"/>
        <v>1034300</v>
      </c>
      <c r="E284" s="581">
        <f t="shared" si="35"/>
        <v>258576</v>
      </c>
      <c r="F284" s="582">
        <f t="shared" si="27"/>
        <v>25.000096683747465</v>
      </c>
      <c r="G284" s="603"/>
      <c r="H284" s="581"/>
      <c r="I284" s="649"/>
      <c r="J284" s="586"/>
      <c r="K284" s="581"/>
      <c r="L284" s="587"/>
      <c r="M284" s="693">
        <v>1034300</v>
      </c>
      <c r="N284" s="581">
        <v>258576</v>
      </c>
      <c r="O284" s="627">
        <f t="shared" si="34"/>
        <v>25.000096683747465</v>
      </c>
      <c r="P284" s="603"/>
      <c r="Q284" s="581"/>
      <c r="R284" s="653"/>
    </row>
    <row r="285" spans="1:18" ht="24">
      <c r="A285" s="647">
        <v>4040</v>
      </c>
      <c r="B285" s="651" t="s">
        <v>249</v>
      </c>
      <c r="C285" s="693">
        <v>84300</v>
      </c>
      <c r="D285" s="581">
        <f t="shared" si="32"/>
        <v>84300</v>
      </c>
      <c r="E285" s="581">
        <f t="shared" si="35"/>
        <v>84300</v>
      </c>
      <c r="F285" s="582">
        <f t="shared" si="27"/>
        <v>100</v>
      </c>
      <c r="G285" s="603"/>
      <c r="H285" s="581"/>
      <c r="I285" s="649"/>
      <c r="J285" s="586"/>
      <c r="K285" s="581"/>
      <c r="L285" s="587"/>
      <c r="M285" s="693">
        <v>84300</v>
      </c>
      <c r="N285" s="581">
        <v>84300</v>
      </c>
      <c r="O285" s="627">
        <f t="shared" si="34"/>
        <v>100</v>
      </c>
      <c r="P285" s="603"/>
      <c r="Q285" s="581"/>
      <c r="R285" s="653"/>
    </row>
    <row r="286" spans="1:18" ht="24" customHeight="1">
      <c r="A286" s="647">
        <v>4110</v>
      </c>
      <c r="B286" s="651" t="s">
        <v>187</v>
      </c>
      <c r="C286" s="693">
        <v>169900</v>
      </c>
      <c r="D286" s="581">
        <f t="shared" si="32"/>
        <v>169900</v>
      </c>
      <c r="E286" s="581">
        <f t="shared" si="35"/>
        <v>52078</v>
      </c>
      <c r="F286" s="582">
        <f t="shared" si="27"/>
        <v>30.652148322542672</v>
      </c>
      <c r="G286" s="603"/>
      <c r="H286" s="581"/>
      <c r="I286" s="649"/>
      <c r="J286" s="586"/>
      <c r="K286" s="581"/>
      <c r="L286" s="587"/>
      <c r="M286" s="693">
        <v>169900</v>
      </c>
      <c r="N286" s="581">
        <v>52078</v>
      </c>
      <c r="O286" s="627">
        <f t="shared" si="34"/>
        <v>30.652148322542672</v>
      </c>
      <c r="P286" s="603"/>
      <c r="Q286" s="581"/>
      <c r="R286" s="653"/>
    </row>
    <row r="287" spans="1:18" ht="16.5" customHeight="1">
      <c r="A287" s="647">
        <v>4120</v>
      </c>
      <c r="B287" s="651" t="s">
        <v>619</v>
      </c>
      <c r="C287" s="693">
        <v>27400</v>
      </c>
      <c r="D287" s="581">
        <f t="shared" si="32"/>
        <v>27400</v>
      </c>
      <c r="E287" s="581">
        <f t="shared" si="35"/>
        <v>8398</v>
      </c>
      <c r="F287" s="582">
        <f t="shared" si="27"/>
        <v>30.64963503649635</v>
      </c>
      <c r="G287" s="603"/>
      <c r="H287" s="581"/>
      <c r="I287" s="649"/>
      <c r="J287" s="586"/>
      <c r="K287" s="581"/>
      <c r="L287" s="587"/>
      <c r="M287" s="693">
        <v>27400</v>
      </c>
      <c r="N287" s="581">
        <v>8398</v>
      </c>
      <c r="O287" s="627">
        <f t="shared" si="34"/>
        <v>30.64963503649635</v>
      </c>
      <c r="P287" s="603"/>
      <c r="Q287" s="581"/>
      <c r="R287" s="653"/>
    </row>
    <row r="288" spans="1:18" ht="24">
      <c r="A288" s="647">
        <v>4210</v>
      </c>
      <c r="B288" s="651" t="s">
        <v>191</v>
      </c>
      <c r="C288" s="693">
        <v>94000</v>
      </c>
      <c r="D288" s="581">
        <f t="shared" si="32"/>
        <v>94000</v>
      </c>
      <c r="E288" s="581">
        <f t="shared" si="35"/>
        <v>25161</v>
      </c>
      <c r="F288" s="582">
        <f t="shared" si="27"/>
        <v>26.76702127659574</v>
      </c>
      <c r="G288" s="603"/>
      <c r="H288" s="581"/>
      <c r="I288" s="649"/>
      <c r="J288" s="586"/>
      <c r="K288" s="581"/>
      <c r="L288" s="587"/>
      <c r="M288" s="693">
        <v>94000</v>
      </c>
      <c r="N288" s="581">
        <v>25161</v>
      </c>
      <c r="O288" s="627">
        <f t="shared" si="34"/>
        <v>26.76702127659574</v>
      </c>
      <c r="P288" s="603"/>
      <c r="Q288" s="581"/>
      <c r="R288" s="653"/>
    </row>
    <row r="289" spans="1:18" ht="24" customHeight="1">
      <c r="A289" s="647">
        <v>4210</v>
      </c>
      <c r="B289" s="651" t="s">
        <v>634</v>
      </c>
      <c r="C289" s="693">
        <v>100000</v>
      </c>
      <c r="D289" s="581">
        <f t="shared" si="32"/>
        <v>100000</v>
      </c>
      <c r="E289" s="581">
        <f t="shared" si="35"/>
        <v>1132</v>
      </c>
      <c r="F289" s="582">
        <f t="shared" si="27"/>
        <v>1.1320000000000001</v>
      </c>
      <c r="G289" s="603"/>
      <c r="H289" s="581"/>
      <c r="I289" s="649"/>
      <c r="J289" s="586"/>
      <c r="K289" s="581"/>
      <c r="L289" s="587"/>
      <c r="M289" s="693">
        <v>100000</v>
      </c>
      <c r="N289" s="581">
        <v>1132</v>
      </c>
      <c r="O289" s="585">
        <f t="shared" si="34"/>
        <v>1.1320000000000001</v>
      </c>
      <c r="P289" s="603"/>
      <c r="Q289" s="581"/>
      <c r="R289" s="653"/>
    </row>
    <row r="290" spans="1:18" ht="12.75">
      <c r="A290" s="647">
        <v>4260</v>
      </c>
      <c r="B290" s="651" t="s">
        <v>195</v>
      </c>
      <c r="C290" s="693">
        <v>13000</v>
      </c>
      <c r="D290" s="581">
        <f t="shared" si="32"/>
        <v>13000</v>
      </c>
      <c r="E290" s="581">
        <f t="shared" si="35"/>
        <v>5840</v>
      </c>
      <c r="F290" s="582">
        <f t="shared" si="27"/>
        <v>44.92307692307692</v>
      </c>
      <c r="G290" s="603"/>
      <c r="H290" s="581"/>
      <c r="I290" s="649"/>
      <c r="J290" s="586"/>
      <c r="K290" s="581"/>
      <c r="L290" s="587"/>
      <c r="M290" s="693">
        <v>13000</v>
      </c>
      <c r="N290" s="581">
        <v>5840</v>
      </c>
      <c r="O290" s="585">
        <f t="shared" si="34"/>
        <v>44.92307692307692</v>
      </c>
      <c r="P290" s="603"/>
      <c r="Q290" s="581"/>
      <c r="R290" s="653"/>
    </row>
    <row r="291" spans="1:18" ht="24">
      <c r="A291" s="647">
        <v>4300</v>
      </c>
      <c r="B291" s="651" t="s">
        <v>199</v>
      </c>
      <c r="C291" s="693">
        <v>220000</v>
      </c>
      <c r="D291" s="581">
        <f t="shared" si="32"/>
        <v>220000</v>
      </c>
      <c r="E291" s="581">
        <f>SUM(H291+K291+N291+Q291)</f>
        <v>49150</v>
      </c>
      <c r="F291" s="582">
        <f>E291/D291*100</f>
        <v>22.340909090909093</v>
      </c>
      <c r="G291" s="603"/>
      <c r="H291" s="581"/>
      <c r="I291" s="649"/>
      <c r="J291" s="586"/>
      <c r="K291" s="581"/>
      <c r="L291" s="587"/>
      <c r="M291" s="693">
        <v>220000</v>
      </c>
      <c r="N291" s="581">
        <v>49150</v>
      </c>
      <c r="O291" s="585">
        <f t="shared" si="34"/>
        <v>22.340909090909093</v>
      </c>
      <c r="P291" s="603"/>
      <c r="Q291" s="581"/>
      <c r="R291" s="653"/>
    </row>
    <row r="292" spans="1:18" ht="24">
      <c r="A292" s="647">
        <v>4300</v>
      </c>
      <c r="B292" s="651" t="s">
        <v>635</v>
      </c>
      <c r="C292" s="693">
        <v>1200000</v>
      </c>
      <c r="D292" s="581">
        <f t="shared" si="32"/>
        <v>1198000</v>
      </c>
      <c r="E292" s="581">
        <f t="shared" si="35"/>
        <v>154725</v>
      </c>
      <c r="F292" s="582">
        <f t="shared" si="27"/>
        <v>12.915275459098496</v>
      </c>
      <c r="G292" s="603"/>
      <c r="H292" s="581"/>
      <c r="I292" s="649"/>
      <c r="J292" s="586"/>
      <c r="K292" s="581"/>
      <c r="L292" s="587"/>
      <c r="M292" s="693">
        <f>1200000-2000</f>
        <v>1198000</v>
      </c>
      <c r="N292" s="581">
        <f>154724+1</f>
        <v>154725</v>
      </c>
      <c r="O292" s="585">
        <f t="shared" si="34"/>
        <v>12.915275459098496</v>
      </c>
      <c r="P292" s="603"/>
      <c r="Q292" s="581"/>
      <c r="R292" s="653"/>
    </row>
    <row r="293" spans="1:18" ht="60" customHeight="1">
      <c r="A293" s="647">
        <v>4370</v>
      </c>
      <c r="B293" s="712" t="s">
        <v>432</v>
      </c>
      <c r="C293" s="603">
        <v>41000</v>
      </c>
      <c r="D293" s="581">
        <f t="shared" si="32"/>
        <v>41000</v>
      </c>
      <c r="E293" s="581">
        <f>SUM(H293+K293+N293+Q293)</f>
        <v>8005</v>
      </c>
      <c r="F293" s="582">
        <f>E293/D293*100</f>
        <v>19.524390243902438</v>
      </c>
      <c r="G293" s="603"/>
      <c r="H293" s="581"/>
      <c r="I293" s="649"/>
      <c r="J293" s="586"/>
      <c r="K293" s="581"/>
      <c r="L293" s="587"/>
      <c r="M293" s="772">
        <v>41000</v>
      </c>
      <c r="N293" s="581">
        <v>8005</v>
      </c>
      <c r="O293" s="585">
        <f t="shared" si="34"/>
        <v>19.524390243902438</v>
      </c>
      <c r="P293" s="603"/>
      <c r="Q293" s="581"/>
      <c r="R293" s="653"/>
    </row>
    <row r="294" spans="1:18" ht="14.25" customHeight="1">
      <c r="A294" s="647">
        <v>4430</v>
      </c>
      <c r="B294" s="651" t="s">
        <v>447</v>
      </c>
      <c r="C294" s="603"/>
      <c r="D294" s="581">
        <f t="shared" si="32"/>
        <v>2000</v>
      </c>
      <c r="E294" s="581">
        <f>SUM(H294+K294+N294+Q294)</f>
        <v>664</v>
      </c>
      <c r="F294" s="582">
        <f>E294/D294*100</f>
        <v>33.2</v>
      </c>
      <c r="G294" s="603"/>
      <c r="H294" s="581"/>
      <c r="I294" s="649"/>
      <c r="J294" s="586"/>
      <c r="K294" s="581"/>
      <c r="L294" s="587"/>
      <c r="M294" s="772">
        <v>2000</v>
      </c>
      <c r="N294" s="581">
        <v>664</v>
      </c>
      <c r="O294" s="627">
        <f t="shared" si="34"/>
        <v>33.2</v>
      </c>
      <c r="P294" s="603"/>
      <c r="Q294" s="581"/>
      <c r="R294" s="653"/>
    </row>
    <row r="295" spans="1:18" ht="36">
      <c r="A295" s="647">
        <v>4590</v>
      </c>
      <c r="B295" s="651" t="s">
        <v>269</v>
      </c>
      <c r="C295" s="603">
        <v>42500</v>
      </c>
      <c r="D295" s="581">
        <f t="shared" si="32"/>
        <v>42500</v>
      </c>
      <c r="E295" s="581">
        <f>SUM(H295+K295+N295+Q295)</f>
        <v>0</v>
      </c>
      <c r="F295" s="582">
        <f>E295/D295*100</f>
        <v>0</v>
      </c>
      <c r="G295" s="603"/>
      <c r="H295" s="581"/>
      <c r="I295" s="649"/>
      <c r="J295" s="586"/>
      <c r="K295" s="581"/>
      <c r="L295" s="587"/>
      <c r="M295" s="772">
        <v>42500</v>
      </c>
      <c r="N295" s="581"/>
      <c r="O295" s="627">
        <f t="shared" si="34"/>
        <v>0</v>
      </c>
      <c r="P295" s="603"/>
      <c r="Q295" s="581"/>
      <c r="R295" s="653"/>
    </row>
    <row r="296" spans="1:18" ht="36">
      <c r="A296" s="647">
        <v>4610</v>
      </c>
      <c r="B296" s="651" t="s">
        <v>270</v>
      </c>
      <c r="C296" s="603">
        <v>3000</v>
      </c>
      <c r="D296" s="581">
        <f t="shared" si="32"/>
        <v>3000</v>
      </c>
      <c r="E296" s="581">
        <f>SUM(H296+K296+N296+Q296)</f>
        <v>0</v>
      </c>
      <c r="F296" s="582">
        <f>E296/D296*100</f>
        <v>0</v>
      </c>
      <c r="G296" s="603"/>
      <c r="H296" s="581"/>
      <c r="I296" s="649"/>
      <c r="J296" s="586"/>
      <c r="K296" s="581"/>
      <c r="L296" s="587"/>
      <c r="M296" s="772">
        <v>3000</v>
      </c>
      <c r="N296" s="581"/>
      <c r="O296" s="627">
        <f t="shared" si="34"/>
        <v>0</v>
      </c>
      <c r="P296" s="603"/>
      <c r="Q296" s="581"/>
      <c r="R296" s="653"/>
    </row>
    <row r="297" spans="1:18" ht="36">
      <c r="A297" s="647">
        <v>4750</v>
      </c>
      <c r="B297" s="651" t="s">
        <v>589</v>
      </c>
      <c r="C297" s="603">
        <v>70000</v>
      </c>
      <c r="D297" s="581">
        <f t="shared" si="32"/>
        <v>70000</v>
      </c>
      <c r="E297" s="581">
        <f t="shared" si="35"/>
        <v>15733</v>
      </c>
      <c r="F297" s="582">
        <f t="shared" si="27"/>
        <v>22.475714285714286</v>
      </c>
      <c r="G297" s="603"/>
      <c r="H297" s="581"/>
      <c r="I297" s="649"/>
      <c r="J297" s="586"/>
      <c r="K297" s="581"/>
      <c r="L297" s="587"/>
      <c r="M297" s="581">
        <v>70000</v>
      </c>
      <c r="N297" s="581">
        <v>15733</v>
      </c>
      <c r="O297" s="585">
        <f t="shared" si="34"/>
        <v>22.475714285714286</v>
      </c>
      <c r="P297" s="603"/>
      <c r="Q297" s="581"/>
      <c r="R297" s="653"/>
    </row>
    <row r="298" spans="1:18" ht="74.25" customHeight="1">
      <c r="A298" s="672">
        <v>6300</v>
      </c>
      <c r="B298" s="712" t="s">
        <v>448</v>
      </c>
      <c r="C298" s="675">
        <v>1000000</v>
      </c>
      <c r="D298" s="581">
        <f t="shared" si="32"/>
        <v>1000000</v>
      </c>
      <c r="E298" s="581">
        <f>SUM(H298+K298+N298+Q298)</f>
        <v>0</v>
      </c>
      <c r="F298" s="582">
        <f>E298/D298*100</f>
        <v>0</v>
      </c>
      <c r="G298" s="674"/>
      <c r="H298" s="675"/>
      <c r="I298" s="689"/>
      <c r="J298" s="676"/>
      <c r="K298" s="675"/>
      <c r="L298" s="677"/>
      <c r="M298" s="675">
        <v>1000000</v>
      </c>
      <c r="N298" s="675"/>
      <c r="O298" s="627">
        <f t="shared" si="34"/>
        <v>0</v>
      </c>
      <c r="P298" s="674"/>
      <c r="Q298" s="675"/>
      <c r="R298" s="680"/>
    </row>
    <row r="299" spans="1:18" ht="12.75">
      <c r="A299" s="640">
        <v>75022</v>
      </c>
      <c r="B299" s="742" t="s">
        <v>636</v>
      </c>
      <c r="C299" s="608">
        <f>SUM(C301:C307)</f>
        <v>815000</v>
      </c>
      <c r="D299" s="595">
        <f t="shared" si="32"/>
        <v>821000</v>
      </c>
      <c r="E299" s="595">
        <f>H299+K299+Q299+N299</f>
        <v>185441</v>
      </c>
      <c r="F299" s="596">
        <f t="shared" si="27"/>
        <v>22.587210718635813</v>
      </c>
      <c r="G299" s="608">
        <f>SUM(G301:G307)</f>
        <v>821000</v>
      </c>
      <c r="H299" s="595">
        <f>SUM(H301:H307)</f>
        <v>185441</v>
      </c>
      <c r="I299" s="602">
        <f>H299/G299*100</f>
        <v>22.587210718635813</v>
      </c>
      <c r="J299" s="600"/>
      <c r="K299" s="595"/>
      <c r="L299" s="601"/>
      <c r="M299" s="595"/>
      <c r="N299" s="595"/>
      <c r="O299" s="602"/>
      <c r="P299" s="608"/>
      <c r="Q299" s="595"/>
      <c r="R299" s="731"/>
    </row>
    <row r="300" spans="1:26" s="702" customFormat="1" ht="10.5" customHeight="1">
      <c r="A300" s="752"/>
      <c r="B300" s="753" t="s">
        <v>637</v>
      </c>
      <c r="C300" s="754">
        <f>SUM(C301:C306)</f>
        <v>800000</v>
      </c>
      <c r="D300" s="755">
        <f t="shared" si="32"/>
        <v>806000</v>
      </c>
      <c r="E300" s="755">
        <f>H300+K300+Q300+N300</f>
        <v>185441</v>
      </c>
      <c r="F300" s="604">
        <f t="shared" si="27"/>
        <v>23.0075682382134</v>
      </c>
      <c r="G300" s="754">
        <f>SUM(G301:G306)</f>
        <v>806000</v>
      </c>
      <c r="H300" s="755">
        <f>SUM(H301:H306)</f>
        <v>185441</v>
      </c>
      <c r="I300" s="590">
        <f>H300/G300*100</f>
        <v>23.0075682382134</v>
      </c>
      <c r="J300" s="756"/>
      <c r="K300" s="755"/>
      <c r="L300" s="662"/>
      <c r="M300" s="755"/>
      <c r="N300" s="755"/>
      <c r="O300" s="587"/>
      <c r="P300" s="754"/>
      <c r="Q300" s="755"/>
      <c r="R300" s="715"/>
      <c r="S300" s="700"/>
      <c r="T300" s="700"/>
      <c r="U300" s="700"/>
      <c r="V300" s="700"/>
      <c r="W300" s="701"/>
      <c r="X300" s="701"/>
      <c r="Y300" s="701"/>
      <c r="Z300" s="701"/>
    </row>
    <row r="301" spans="1:18" ht="24">
      <c r="A301" s="647">
        <v>3030</v>
      </c>
      <c r="B301" s="651" t="s">
        <v>179</v>
      </c>
      <c r="C301" s="603">
        <v>780000</v>
      </c>
      <c r="D301" s="581">
        <f t="shared" si="32"/>
        <v>780000</v>
      </c>
      <c r="E301" s="581">
        <f aca="true" t="shared" si="36" ref="E301:E306">SUM(H301+K301+N301+Q301)</f>
        <v>184076</v>
      </c>
      <c r="F301" s="582">
        <f t="shared" si="27"/>
        <v>23.59948717948718</v>
      </c>
      <c r="G301" s="603">
        <v>780000</v>
      </c>
      <c r="H301" s="581">
        <f>184077-1</f>
        <v>184076</v>
      </c>
      <c r="I301" s="585">
        <f aca="true" t="shared" si="37" ref="I301:I364">H301/G301*100</f>
        <v>23.59948717948718</v>
      </c>
      <c r="J301" s="586"/>
      <c r="K301" s="581"/>
      <c r="L301" s="587"/>
      <c r="M301" s="581"/>
      <c r="N301" s="581"/>
      <c r="O301" s="649"/>
      <c r="P301" s="603"/>
      <c r="Q301" s="581"/>
      <c r="R301" s="653"/>
    </row>
    <row r="302" spans="1:18" ht="24">
      <c r="A302" s="647">
        <v>4170</v>
      </c>
      <c r="B302" s="651" t="s">
        <v>221</v>
      </c>
      <c r="C302" s="603"/>
      <c r="D302" s="581">
        <f t="shared" si="32"/>
        <v>6000</v>
      </c>
      <c r="E302" s="581">
        <f t="shared" si="36"/>
        <v>0</v>
      </c>
      <c r="F302" s="582">
        <f t="shared" si="27"/>
        <v>0</v>
      </c>
      <c r="G302" s="603">
        <v>6000</v>
      </c>
      <c r="H302" s="581"/>
      <c r="I302" s="585">
        <f t="shared" si="37"/>
        <v>0</v>
      </c>
      <c r="J302" s="586"/>
      <c r="K302" s="581"/>
      <c r="L302" s="587"/>
      <c r="M302" s="581"/>
      <c r="N302" s="581"/>
      <c r="O302" s="649"/>
      <c r="P302" s="603"/>
      <c r="Q302" s="581"/>
      <c r="R302" s="653"/>
    </row>
    <row r="303" spans="1:18" ht="24.75" customHeight="1">
      <c r="A303" s="647">
        <v>4210</v>
      </c>
      <c r="B303" s="651" t="s">
        <v>191</v>
      </c>
      <c r="C303" s="603">
        <v>10000</v>
      </c>
      <c r="D303" s="581">
        <f t="shared" si="32"/>
        <v>10000</v>
      </c>
      <c r="E303" s="581">
        <f t="shared" si="36"/>
        <v>1145</v>
      </c>
      <c r="F303" s="582">
        <f t="shared" si="27"/>
        <v>11.450000000000001</v>
      </c>
      <c r="G303" s="603">
        <v>10000</v>
      </c>
      <c r="H303" s="581">
        <v>1145</v>
      </c>
      <c r="I303" s="585">
        <f t="shared" si="37"/>
        <v>11.450000000000001</v>
      </c>
      <c r="J303" s="586"/>
      <c r="K303" s="581"/>
      <c r="L303" s="587"/>
      <c r="M303" s="581"/>
      <c r="N303" s="581"/>
      <c r="O303" s="649"/>
      <c r="P303" s="603"/>
      <c r="Q303" s="581"/>
      <c r="R303" s="653"/>
    </row>
    <row r="304" spans="1:18" ht="15.75" customHeight="1">
      <c r="A304" s="647">
        <v>4300</v>
      </c>
      <c r="B304" s="651" t="s">
        <v>199</v>
      </c>
      <c r="C304" s="603">
        <v>10000</v>
      </c>
      <c r="D304" s="581">
        <f t="shared" si="32"/>
        <v>10000</v>
      </c>
      <c r="E304" s="581">
        <f t="shared" si="36"/>
        <v>220</v>
      </c>
      <c r="F304" s="582">
        <f t="shared" si="27"/>
        <v>2.1999999999999997</v>
      </c>
      <c r="G304" s="603">
        <v>10000</v>
      </c>
      <c r="H304" s="581">
        <v>220</v>
      </c>
      <c r="I304" s="585">
        <f t="shared" si="37"/>
        <v>2.1999999999999997</v>
      </c>
      <c r="J304" s="586"/>
      <c r="K304" s="581"/>
      <c r="L304" s="587"/>
      <c r="M304" s="581"/>
      <c r="N304" s="581"/>
      <c r="O304" s="649"/>
      <c r="P304" s="603"/>
      <c r="Q304" s="581"/>
      <c r="R304" s="653"/>
    </row>
    <row r="305" spans="1:18" ht="24" hidden="1">
      <c r="A305" s="647">
        <v>4410</v>
      </c>
      <c r="B305" s="651" t="s">
        <v>173</v>
      </c>
      <c r="C305" s="603"/>
      <c r="D305" s="581">
        <f t="shared" si="32"/>
        <v>0</v>
      </c>
      <c r="E305" s="581">
        <f t="shared" si="36"/>
        <v>0</v>
      </c>
      <c r="F305" s="582"/>
      <c r="G305" s="603"/>
      <c r="H305" s="581"/>
      <c r="I305" s="585"/>
      <c r="J305" s="586"/>
      <c r="K305" s="581"/>
      <c r="L305" s="587"/>
      <c r="M305" s="581"/>
      <c r="N305" s="581"/>
      <c r="O305" s="649"/>
      <c r="P305" s="603"/>
      <c r="Q305" s="581"/>
      <c r="R305" s="653"/>
    </row>
    <row r="306" spans="1:18" ht="21.75" customHeight="1" hidden="1">
      <c r="A306" s="647">
        <v>4420</v>
      </c>
      <c r="B306" s="651" t="s">
        <v>596</v>
      </c>
      <c r="C306" s="603"/>
      <c r="D306" s="581">
        <f t="shared" si="32"/>
        <v>0</v>
      </c>
      <c r="E306" s="581">
        <f t="shared" si="36"/>
        <v>0</v>
      </c>
      <c r="F306" s="582"/>
      <c r="G306" s="603"/>
      <c r="H306" s="581"/>
      <c r="I306" s="585"/>
      <c r="J306" s="586"/>
      <c r="K306" s="581"/>
      <c r="L306" s="587"/>
      <c r="M306" s="581"/>
      <c r="N306" s="581"/>
      <c r="O306" s="649"/>
      <c r="P306" s="603"/>
      <c r="Q306" s="581"/>
      <c r="R306" s="653"/>
    </row>
    <row r="307" spans="1:26" s="702" customFormat="1" ht="24">
      <c r="A307" s="752"/>
      <c r="B307" s="753" t="s">
        <v>639</v>
      </c>
      <c r="C307" s="754">
        <f>SUM(C309:C312)</f>
        <v>15000</v>
      </c>
      <c r="D307" s="755">
        <f t="shared" si="32"/>
        <v>15000</v>
      </c>
      <c r="E307" s="755">
        <f>H307+K307+Q307+N307</f>
        <v>0</v>
      </c>
      <c r="F307" s="582">
        <f t="shared" si="27"/>
        <v>0</v>
      </c>
      <c r="G307" s="754">
        <f>SUM(G308:G312)</f>
        <v>15000</v>
      </c>
      <c r="H307" s="755">
        <f>SUM(H308:H312)</f>
        <v>0</v>
      </c>
      <c r="I307" s="585">
        <f t="shared" si="37"/>
        <v>0</v>
      </c>
      <c r="J307" s="756"/>
      <c r="K307" s="756"/>
      <c r="L307" s="662"/>
      <c r="M307" s="755"/>
      <c r="N307" s="755"/>
      <c r="O307" s="587"/>
      <c r="P307" s="754"/>
      <c r="Q307" s="755"/>
      <c r="R307" s="715"/>
      <c r="S307" s="700"/>
      <c r="T307" s="700"/>
      <c r="U307" s="700"/>
      <c r="V307" s="700"/>
      <c r="W307" s="701"/>
      <c r="X307" s="701"/>
      <c r="Y307" s="701"/>
      <c r="Z307" s="701"/>
    </row>
    <row r="308" spans="1:18" ht="48" hidden="1">
      <c r="A308" s="647">
        <v>3040</v>
      </c>
      <c r="B308" s="651" t="s">
        <v>638</v>
      </c>
      <c r="C308" s="603"/>
      <c r="D308" s="581">
        <f t="shared" si="32"/>
        <v>0</v>
      </c>
      <c r="E308" s="581">
        <f>SUM(H308+K308+N308+Q308)</f>
        <v>0</v>
      </c>
      <c r="F308" s="582" t="e">
        <f t="shared" si="27"/>
        <v>#DIV/0!</v>
      </c>
      <c r="G308" s="603"/>
      <c r="H308" s="581"/>
      <c r="I308" s="585" t="e">
        <f t="shared" si="37"/>
        <v>#DIV/0!</v>
      </c>
      <c r="J308" s="586"/>
      <c r="K308" s="586"/>
      <c r="L308" s="587"/>
      <c r="M308" s="581"/>
      <c r="N308" s="581"/>
      <c r="O308" s="649"/>
      <c r="P308" s="603"/>
      <c r="Q308" s="581"/>
      <c r="R308" s="653"/>
    </row>
    <row r="309" spans="1:18" ht="23.25" customHeight="1">
      <c r="A309" s="647">
        <v>4210</v>
      </c>
      <c r="B309" s="651" t="s">
        <v>191</v>
      </c>
      <c r="C309" s="603">
        <v>9000</v>
      </c>
      <c r="D309" s="581">
        <f t="shared" si="32"/>
        <v>9000</v>
      </c>
      <c r="E309" s="581">
        <f>SUM(H309+K309+N309+Q309)</f>
        <v>0</v>
      </c>
      <c r="F309" s="582">
        <f t="shared" si="27"/>
        <v>0</v>
      </c>
      <c r="G309" s="603">
        <v>9000</v>
      </c>
      <c r="H309" s="581"/>
      <c r="I309" s="585">
        <f t="shared" si="37"/>
        <v>0</v>
      </c>
      <c r="J309" s="586"/>
      <c r="K309" s="581"/>
      <c r="L309" s="587"/>
      <c r="M309" s="581"/>
      <c r="N309" s="581"/>
      <c r="O309" s="649"/>
      <c r="P309" s="603"/>
      <c r="Q309" s="581"/>
      <c r="R309" s="653"/>
    </row>
    <row r="310" spans="1:18" ht="12.75" customHeight="1">
      <c r="A310" s="647">
        <v>4300</v>
      </c>
      <c r="B310" s="651" t="s">
        <v>199</v>
      </c>
      <c r="C310" s="603">
        <v>4800</v>
      </c>
      <c r="D310" s="581">
        <f t="shared" si="32"/>
        <v>4800</v>
      </c>
      <c r="E310" s="581">
        <f>SUM(H310+K310+N310+Q310)</f>
        <v>0</v>
      </c>
      <c r="F310" s="582">
        <f t="shared" si="27"/>
        <v>0</v>
      </c>
      <c r="G310" s="603">
        <v>4800</v>
      </c>
      <c r="H310" s="581"/>
      <c r="I310" s="585">
        <f t="shared" si="37"/>
        <v>0</v>
      </c>
      <c r="J310" s="586"/>
      <c r="K310" s="581"/>
      <c r="L310" s="587"/>
      <c r="M310" s="581"/>
      <c r="N310" s="581"/>
      <c r="O310" s="649"/>
      <c r="P310" s="603"/>
      <c r="Q310" s="581"/>
      <c r="R310" s="653"/>
    </row>
    <row r="311" spans="1:18" ht="60" hidden="1">
      <c r="A311" s="647">
        <v>4740</v>
      </c>
      <c r="B311" s="712" t="s">
        <v>215</v>
      </c>
      <c r="C311" s="603"/>
      <c r="D311" s="581">
        <f t="shared" si="32"/>
        <v>0</v>
      </c>
      <c r="E311" s="581">
        <f>SUM(H311+K311+N311+Q311)</f>
        <v>0</v>
      </c>
      <c r="F311" s="582" t="e">
        <f t="shared" si="27"/>
        <v>#DIV/0!</v>
      </c>
      <c r="G311" s="603"/>
      <c r="H311" s="581"/>
      <c r="I311" s="585" t="e">
        <f t="shared" si="37"/>
        <v>#DIV/0!</v>
      </c>
      <c r="J311" s="586"/>
      <c r="K311" s="581"/>
      <c r="L311" s="587"/>
      <c r="M311" s="581"/>
      <c r="N311" s="581"/>
      <c r="O311" s="649"/>
      <c r="P311" s="603"/>
      <c r="Q311" s="581"/>
      <c r="R311" s="653"/>
    </row>
    <row r="312" spans="1:18" ht="15" customHeight="1">
      <c r="A312" s="672">
        <v>4430</v>
      </c>
      <c r="B312" s="687" t="s">
        <v>201</v>
      </c>
      <c r="C312" s="674">
        <v>1200</v>
      </c>
      <c r="D312" s="675">
        <f t="shared" si="32"/>
        <v>1200</v>
      </c>
      <c r="E312" s="675">
        <f>SUM(H312+K312+N312+Q312)</f>
        <v>0</v>
      </c>
      <c r="F312" s="643">
        <f t="shared" si="27"/>
        <v>0</v>
      </c>
      <c r="G312" s="674">
        <v>1200</v>
      </c>
      <c r="H312" s="779"/>
      <c r="I312" s="644">
        <f t="shared" si="37"/>
        <v>0</v>
      </c>
      <c r="J312" s="780"/>
      <c r="K312" s="675"/>
      <c r="L312" s="677"/>
      <c r="M312" s="779"/>
      <c r="N312" s="779"/>
      <c r="O312" s="781"/>
      <c r="P312" s="782"/>
      <c r="Q312" s="779"/>
      <c r="R312" s="783"/>
    </row>
    <row r="313" spans="1:18" ht="12.75">
      <c r="A313" s="640">
        <v>75023</v>
      </c>
      <c r="B313" s="784" t="s">
        <v>640</v>
      </c>
      <c r="C313" s="608">
        <f>SUM(C320:C377)-SUM(C346:C354)+C314-SUM(C334:C338)-SUM(C342:C343)</f>
        <v>24890297</v>
      </c>
      <c r="D313" s="595">
        <f t="shared" si="32"/>
        <v>24999297</v>
      </c>
      <c r="E313" s="595">
        <f>H313+K313+Q313+N313</f>
        <v>6526596</v>
      </c>
      <c r="F313" s="596">
        <f t="shared" si="27"/>
        <v>26.107118132161876</v>
      </c>
      <c r="G313" s="608">
        <f>G314+SUM(G320:G333)+SUM(G339:G341)+SUM(G344:G345)+SUM(G355:G377)</f>
        <v>24999297</v>
      </c>
      <c r="H313" s="595">
        <f>H314+SUM(H320:H333)+SUM(H339:H341)+SUM(H344:H345)+SUM(H355:H377)</f>
        <v>6526596</v>
      </c>
      <c r="I313" s="602">
        <f t="shared" si="37"/>
        <v>26.107118132161876</v>
      </c>
      <c r="J313" s="600"/>
      <c r="K313" s="595"/>
      <c r="L313" s="601"/>
      <c r="M313" s="595"/>
      <c r="N313" s="595"/>
      <c r="O313" s="645"/>
      <c r="P313" s="608"/>
      <c r="Q313" s="595"/>
      <c r="R313" s="731"/>
    </row>
    <row r="314" spans="1:18" ht="36">
      <c r="A314" s="647">
        <v>3020</v>
      </c>
      <c r="B314" s="651" t="s">
        <v>248</v>
      </c>
      <c r="C314" s="606">
        <f>SUM(C315:C319)</f>
        <v>216000</v>
      </c>
      <c r="D314" s="581">
        <f t="shared" si="32"/>
        <v>225000</v>
      </c>
      <c r="E314" s="581">
        <f aca="true" t="shared" si="38" ref="E314:E344">SUM(H314+K314+N314+Q314)</f>
        <v>110607</v>
      </c>
      <c r="F314" s="582">
        <f t="shared" si="27"/>
        <v>49.15866666666667</v>
      </c>
      <c r="G314" s="606">
        <f>SUM(G315:G319)</f>
        <v>225000</v>
      </c>
      <c r="H314" s="615">
        <f>SUM(H315:H319)</f>
        <v>110607</v>
      </c>
      <c r="I314" s="585">
        <f t="shared" si="37"/>
        <v>49.15866666666667</v>
      </c>
      <c r="J314" s="618"/>
      <c r="K314" s="615"/>
      <c r="L314" s="619"/>
      <c r="M314" s="615"/>
      <c r="N314" s="615"/>
      <c r="O314" s="686"/>
      <c r="P314" s="606"/>
      <c r="Q314" s="615"/>
      <c r="R314" s="671"/>
    </row>
    <row r="315" spans="1:26" s="702" customFormat="1" ht="15" customHeight="1">
      <c r="A315" s="694"/>
      <c r="B315" s="695" t="s">
        <v>641</v>
      </c>
      <c r="C315" s="699">
        <v>19000</v>
      </c>
      <c r="D315" s="697">
        <f t="shared" si="32"/>
        <v>28000</v>
      </c>
      <c r="E315" s="697">
        <f t="shared" si="38"/>
        <v>20498</v>
      </c>
      <c r="F315" s="582">
        <f t="shared" si="27"/>
        <v>73.20714285714286</v>
      </c>
      <c r="G315" s="699">
        <f>19000+9000</f>
        <v>28000</v>
      </c>
      <c r="H315" s="697">
        <v>20498</v>
      </c>
      <c r="I315" s="585">
        <f t="shared" si="37"/>
        <v>73.20714285714286</v>
      </c>
      <c r="J315" s="698"/>
      <c r="K315" s="697"/>
      <c r="L315" s="587"/>
      <c r="M315" s="697"/>
      <c r="N315" s="697"/>
      <c r="O315" s="587"/>
      <c r="P315" s="699"/>
      <c r="Q315" s="697"/>
      <c r="R315" s="715"/>
      <c r="S315" s="700"/>
      <c r="T315" s="700"/>
      <c r="U315" s="700"/>
      <c r="V315" s="700"/>
      <c r="W315" s="701"/>
      <c r="X315" s="701"/>
      <c r="Y315" s="701"/>
      <c r="Z315" s="701"/>
    </row>
    <row r="316" spans="1:26" s="702" customFormat="1" ht="12.75">
      <c r="A316" s="694"/>
      <c r="B316" s="695" t="s">
        <v>642</v>
      </c>
      <c r="C316" s="699">
        <v>77000</v>
      </c>
      <c r="D316" s="697">
        <f t="shared" si="32"/>
        <v>77000</v>
      </c>
      <c r="E316" s="697">
        <f t="shared" si="38"/>
        <v>58770</v>
      </c>
      <c r="F316" s="582">
        <f t="shared" si="27"/>
        <v>76.32467532467533</v>
      </c>
      <c r="G316" s="699">
        <v>77000</v>
      </c>
      <c r="H316" s="697">
        <v>58770</v>
      </c>
      <c r="I316" s="585">
        <f t="shared" si="37"/>
        <v>76.32467532467533</v>
      </c>
      <c r="J316" s="698"/>
      <c r="K316" s="697"/>
      <c r="L316" s="587"/>
      <c r="M316" s="697"/>
      <c r="N316" s="697"/>
      <c r="O316" s="587"/>
      <c r="P316" s="699"/>
      <c r="Q316" s="697"/>
      <c r="R316" s="715"/>
      <c r="S316" s="700"/>
      <c r="T316" s="700"/>
      <c r="U316" s="700"/>
      <c r="V316" s="700"/>
      <c r="W316" s="701"/>
      <c r="X316" s="701"/>
      <c r="Y316" s="701"/>
      <c r="Z316" s="701"/>
    </row>
    <row r="317" spans="1:26" s="702" customFormat="1" ht="12.75">
      <c r="A317" s="694"/>
      <c r="B317" s="695" t="s">
        <v>643</v>
      </c>
      <c r="C317" s="699">
        <v>80000</v>
      </c>
      <c r="D317" s="697">
        <f t="shared" si="32"/>
        <v>80000</v>
      </c>
      <c r="E317" s="697">
        <f t="shared" si="38"/>
        <v>29039</v>
      </c>
      <c r="F317" s="582">
        <f>E317/D317*100</f>
        <v>36.29875</v>
      </c>
      <c r="G317" s="699">
        <v>80000</v>
      </c>
      <c r="H317" s="697">
        <f>29038+1</f>
        <v>29039</v>
      </c>
      <c r="I317" s="585">
        <f t="shared" si="37"/>
        <v>36.29875</v>
      </c>
      <c r="J317" s="698"/>
      <c r="K317" s="697"/>
      <c r="L317" s="587"/>
      <c r="M317" s="697"/>
      <c r="N317" s="697"/>
      <c r="O317" s="587"/>
      <c r="P317" s="699"/>
      <c r="Q317" s="697"/>
      <c r="R317" s="715"/>
      <c r="S317" s="700"/>
      <c r="T317" s="700"/>
      <c r="U317" s="700"/>
      <c r="V317" s="700"/>
      <c r="W317" s="701"/>
      <c r="X317" s="701"/>
      <c r="Y317" s="701"/>
      <c r="Z317" s="701"/>
    </row>
    <row r="318" spans="1:26" s="702" customFormat="1" ht="12.75" hidden="1">
      <c r="A318" s="694"/>
      <c r="B318" s="695" t="s">
        <v>644</v>
      </c>
      <c r="C318" s="699"/>
      <c r="D318" s="697">
        <f t="shared" si="32"/>
        <v>0</v>
      </c>
      <c r="E318" s="697">
        <f>SUM(H318+K318+N318+Q318)</f>
        <v>0</v>
      </c>
      <c r="F318" s="582" t="e">
        <f>E318/D318*100</f>
        <v>#DIV/0!</v>
      </c>
      <c r="G318" s="699"/>
      <c r="H318" s="697"/>
      <c r="I318" s="585" t="e">
        <f t="shared" si="37"/>
        <v>#DIV/0!</v>
      </c>
      <c r="J318" s="698"/>
      <c r="K318" s="697"/>
      <c r="L318" s="587"/>
      <c r="M318" s="697"/>
      <c r="N318" s="697"/>
      <c r="O318" s="587"/>
      <c r="P318" s="699"/>
      <c r="Q318" s="697"/>
      <c r="R318" s="715"/>
      <c r="S318" s="700"/>
      <c r="T318" s="700"/>
      <c r="U318" s="700"/>
      <c r="V318" s="700"/>
      <c r="W318" s="701"/>
      <c r="X318" s="701"/>
      <c r="Y318" s="701"/>
      <c r="Z318" s="701"/>
    </row>
    <row r="319" spans="1:26" s="702" customFormat="1" ht="12.75">
      <c r="A319" s="694"/>
      <c r="B319" s="695" t="s">
        <v>645</v>
      </c>
      <c r="C319" s="699">
        <v>40000</v>
      </c>
      <c r="D319" s="697">
        <f t="shared" si="32"/>
        <v>40000</v>
      </c>
      <c r="E319" s="697">
        <f t="shared" si="38"/>
        <v>2300</v>
      </c>
      <c r="F319" s="582">
        <f>E319/D319*100</f>
        <v>5.75</v>
      </c>
      <c r="G319" s="699">
        <v>40000</v>
      </c>
      <c r="H319" s="697">
        <v>2300</v>
      </c>
      <c r="I319" s="585">
        <f t="shared" si="37"/>
        <v>5.75</v>
      </c>
      <c r="J319" s="698"/>
      <c r="K319" s="697"/>
      <c r="L319" s="587"/>
      <c r="M319" s="697"/>
      <c r="N319" s="697"/>
      <c r="O319" s="587"/>
      <c r="P319" s="699"/>
      <c r="Q319" s="697"/>
      <c r="R319" s="715"/>
      <c r="S319" s="700"/>
      <c r="T319" s="700"/>
      <c r="U319" s="700"/>
      <c r="V319" s="700"/>
      <c r="W319" s="701"/>
      <c r="X319" s="701"/>
      <c r="Y319" s="701"/>
      <c r="Z319" s="701"/>
    </row>
    <row r="320" spans="1:18" ht="36" hidden="1">
      <c r="A320" s="647">
        <v>3030</v>
      </c>
      <c r="B320" s="651" t="s">
        <v>646</v>
      </c>
      <c r="C320" s="603"/>
      <c r="D320" s="581">
        <f t="shared" si="32"/>
        <v>0</v>
      </c>
      <c r="E320" s="581">
        <f t="shared" si="38"/>
        <v>0</v>
      </c>
      <c r="F320" s="582"/>
      <c r="G320" s="603"/>
      <c r="H320" s="581"/>
      <c r="I320" s="585" t="e">
        <f t="shared" si="37"/>
        <v>#DIV/0!</v>
      </c>
      <c r="J320" s="586"/>
      <c r="K320" s="581"/>
      <c r="L320" s="587"/>
      <c r="M320" s="581"/>
      <c r="N320" s="581"/>
      <c r="O320" s="649"/>
      <c r="P320" s="603"/>
      <c r="Q320" s="581"/>
      <c r="R320" s="653"/>
    </row>
    <row r="321" spans="1:18" ht="38.25" customHeight="1">
      <c r="A321" s="647">
        <v>3040</v>
      </c>
      <c r="B321" s="651" t="s">
        <v>647</v>
      </c>
      <c r="C321" s="603">
        <v>4800</v>
      </c>
      <c r="D321" s="581">
        <f>G321+J321+P321+M321</f>
        <v>4800</v>
      </c>
      <c r="E321" s="581">
        <f>SUM(H321+K321+N321+Q321)</f>
        <v>0</v>
      </c>
      <c r="F321" s="582">
        <f>E321/D321*100</f>
        <v>0</v>
      </c>
      <c r="G321" s="603">
        <v>4800</v>
      </c>
      <c r="H321" s="581"/>
      <c r="I321" s="585">
        <f t="shared" si="37"/>
        <v>0</v>
      </c>
      <c r="J321" s="586"/>
      <c r="K321" s="581"/>
      <c r="L321" s="587"/>
      <c r="M321" s="581"/>
      <c r="N321" s="581"/>
      <c r="O321" s="649"/>
      <c r="P321" s="603"/>
      <c r="Q321" s="581"/>
      <c r="R321" s="653"/>
    </row>
    <row r="322" spans="1:18" ht="21.75" customHeight="1">
      <c r="A322" s="647">
        <v>4010</v>
      </c>
      <c r="B322" s="651" t="s">
        <v>181</v>
      </c>
      <c r="C322" s="603">
        <v>13899040</v>
      </c>
      <c r="D322" s="581">
        <f t="shared" si="32"/>
        <v>13899040</v>
      </c>
      <c r="E322" s="581">
        <f t="shared" si="38"/>
        <v>3119764</v>
      </c>
      <c r="F322" s="582">
        <f>E322/D322*100</f>
        <v>22.4458955438649</v>
      </c>
      <c r="G322" s="603">
        <v>13899040</v>
      </c>
      <c r="H322" s="581">
        <v>3119764</v>
      </c>
      <c r="I322" s="585">
        <f t="shared" si="37"/>
        <v>22.4458955438649</v>
      </c>
      <c r="J322" s="586"/>
      <c r="K322" s="581"/>
      <c r="L322" s="587"/>
      <c r="M322" s="581"/>
      <c r="N322" s="581"/>
      <c r="O322" s="649"/>
      <c r="P322" s="603"/>
      <c r="Q322" s="581"/>
      <c r="R322" s="653"/>
    </row>
    <row r="323" spans="1:18" ht="24">
      <c r="A323" s="739">
        <v>4040</v>
      </c>
      <c r="B323" s="651" t="s">
        <v>249</v>
      </c>
      <c r="C323" s="603">
        <v>1159497</v>
      </c>
      <c r="D323" s="581">
        <f t="shared" si="32"/>
        <v>1123497</v>
      </c>
      <c r="E323" s="581">
        <f t="shared" si="38"/>
        <v>1063747</v>
      </c>
      <c r="F323" s="582">
        <f>E323/D323*100</f>
        <v>94.68178375198154</v>
      </c>
      <c r="G323" s="603">
        <f>1159497-11000-25000</f>
        <v>1123497</v>
      </c>
      <c r="H323" s="581">
        <f>1063747+1-1</f>
        <v>1063747</v>
      </c>
      <c r="I323" s="585">
        <f t="shared" si="37"/>
        <v>94.68178375198154</v>
      </c>
      <c r="J323" s="586"/>
      <c r="K323" s="581"/>
      <c r="L323" s="587"/>
      <c r="M323" s="581"/>
      <c r="N323" s="581"/>
      <c r="O323" s="649"/>
      <c r="P323" s="603"/>
      <c r="Q323" s="581"/>
      <c r="R323" s="653"/>
    </row>
    <row r="324" spans="1:18" ht="24" hidden="1">
      <c r="A324" s="739">
        <v>4100</v>
      </c>
      <c r="B324" s="651" t="s">
        <v>648</v>
      </c>
      <c r="C324" s="603"/>
      <c r="D324" s="581">
        <f t="shared" si="32"/>
        <v>0</v>
      </c>
      <c r="E324" s="581">
        <f t="shared" si="38"/>
        <v>0</v>
      </c>
      <c r="F324" s="582" t="e">
        <f>E324/D324*100</f>
        <v>#DIV/0!</v>
      </c>
      <c r="G324" s="603"/>
      <c r="H324" s="581"/>
      <c r="I324" s="585" t="e">
        <f t="shared" si="37"/>
        <v>#DIV/0!</v>
      </c>
      <c r="J324" s="586"/>
      <c r="K324" s="581"/>
      <c r="L324" s="587"/>
      <c r="M324" s="581"/>
      <c r="N324" s="581"/>
      <c r="O324" s="649"/>
      <c r="P324" s="603"/>
      <c r="Q324" s="581"/>
      <c r="R324" s="653"/>
    </row>
    <row r="325" spans="1:18" ht="36" hidden="1">
      <c r="A325" s="739">
        <v>4100</v>
      </c>
      <c r="B325" s="651" t="s">
        <v>449</v>
      </c>
      <c r="C325" s="603"/>
      <c r="D325" s="581">
        <f t="shared" si="32"/>
        <v>0</v>
      </c>
      <c r="E325" s="581">
        <f t="shared" si="38"/>
        <v>0</v>
      </c>
      <c r="F325" s="582"/>
      <c r="G325" s="603"/>
      <c r="H325" s="581"/>
      <c r="I325" s="585"/>
      <c r="J325" s="586"/>
      <c r="K325" s="581"/>
      <c r="L325" s="587"/>
      <c r="M325" s="581"/>
      <c r="N325" s="581"/>
      <c r="O325" s="649"/>
      <c r="P325" s="603"/>
      <c r="Q325" s="581"/>
      <c r="R325" s="653"/>
    </row>
    <row r="326" spans="1:18" ht="24" customHeight="1">
      <c r="A326" s="647">
        <v>4110</v>
      </c>
      <c r="B326" s="651" t="s">
        <v>649</v>
      </c>
      <c r="C326" s="603">
        <v>2310190</v>
      </c>
      <c r="D326" s="581">
        <f t="shared" si="32"/>
        <v>2310190</v>
      </c>
      <c r="E326" s="581">
        <f t="shared" si="38"/>
        <v>508952</v>
      </c>
      <c r="F326" s="582">
        <f aca="true" t="shared" si="39" ref="F326:F345">E326/D326*100</f>
        <v>22.03074206017687</v>
      </c>
      <c r="G326" s="603">
        <v>2310190</v>
      </c>
      <c r="H326" s="581">
        <v>508952</v>
      </c>
      <c r="I326" s="585">
        <f t="shared" si="37"/>
        <v>22.03074206017687</v>
      </c>
      <c r="J326" s="586"/>
      <c r="K326" s="581"/>
      <c r="L326" s="587"/>
      <c r="M326" s="581"/>
      <c r="N326" s="581"/>
      <c r="O326" s="649"/>
      <c r="P326" s="603"/>
      <c r="Q326" s="581"/>
      <c r="R326" s="653"/>
    </row>
    <row r="327" spans="1:18" ht="36" hidden="1">
      <c r="A327" s="647">
        <v>4110</v>
      </c>
      <c r="B327" s="651" t="s">
        <v>450</v>
      </c>
      <c r="C327" s="603"/>
      <c r="D327" s="581">
        <f t="shared" si="32"/>
        <v>0</v>
      </c>
      <c r="E327" s="581">
        <f t="shared" si="38"/>
        <v>0</v>
      </c>
      <c r="F327" s="582" t="e">
        <f t="shared" si="39"/>
        <v>#DIV/0!</v>
      </c>
      <c r="G327" s="603"/>
      <c r="H327" s="581"/>
      <c r="I327" s="585" t="e">
        <f t="shared" si="37"/>
        <v>#DIV/0!</v>
      </c>
      <c r="J327" s="586"/>
      <c r="K327" s="581"/>
      <c r="L327" s="587"/>
      <c r="M327" s="581"/>
      <c r="N327" s="581"/>
      <c r="O327" s="649"/>
      <c r="P327" s="603"/>
      <c r="Q327" s="581"/>
      <c r="R327" s="653"/>
    </row>
    <row r="328" spans="1:18" ht="12.75">
      <c r="A328" s="647">
        <v>4120</v>
      </c>
      <c r="B328" s="651" t="s">
        <v>451</v>
      </c>
      <c r="C328" s="603">
        <v>372610</v>
      </c>
      <c r="D328" s="581">
        <f t="shared" si="32"/>
        <v>372610</v>
      </c>
      <c r="E328" s="581">
        <f t="shared" si="38"/>
        <v>64292</v>
      </c>
      <c r="F328" s="582">
        <f t="shared" si="39"/>
        <v>17.25450202624728</v>
      </c>
      <c r="G328" s="603">
        <v>372610</v>
      </c>
      <c r="H328" s="581">
        <v>64292</v>
      </c>
      <c r="I328" s="585">
        <f t="shared" si="37"/>
        <v>17.25450202624728</v>
      </c>
      <c r="J328" s="586"/>
      <c r="K328" s="581"/>
      <c r="L328" s="587"/>
      <c r="M328" s="581"/>
      <c r="N328" s="581"/>
      <c r="O328" s="649"/>
      <c r="P328" s="603"/>
      <c r="Q328" s="581"/>
      <c r="R328" s="653"/>
    </row>
    <row r="329" spans="1:18" ht="12.75" hidden="1">
      <c r="A329" s="647">
        <v>4120</v>
      </c>
      <c r="B329" s="651" t="s">
        <v>452</v>
      </c>
      <c r="C329" s="603"/>
      <c r="D329" s="581">
        <f t="shared" si="32"/>
        <v>0</v>
      </c>
      <c r="E329" s="581">
        <f t="shared" si="38"/>
        <v>0</v>
      </c>
      <c r="F329" s="582" t="e">
        <f t="shared" si="39"/>
        <v>#DIV/0!</v>
      </c>
      <c r="G329" s="603"/>
      <c r="H329" s="581"/>
      <c r="I329" s="585" t="e">
        <f t="shared" si="37"/>
        <v>#DIV/0!</v>
      </c>
      <c r="J329" s="586"/>
      <c r="K329" s="581"/>
      <c r="L329" s="587"/>
      <c r="M329" s="581"/>
      <c r="N329" s="581"/>
      <c r="O329" s="649"/>
      <c r="P329" s="603"/>
      <c r="Q329" s="581"/>
      <c r="R329" s="653"/>
    </row>
    <row r="330" spans="1:18" ht="12.75">
      <c r="A330" s="647">
        <v>4140</v>
      </c>
      <c r="B330" s="651" t="s">
        <v>252</v>
      </c>
      <c r="C330" s="603">
        <v>100000</v>
      </c>
      <c r="D330" s="581">
        <f t="shared" si="32"/>
        <v>100000</v>
      </c>
      <c r="E330" s="581">
        <f t="shared" si="38"/>
        <v>7387</v>
      </c>
      <c r="F330" s="582">
        <f t="shared" si="39"/>
        <v>7.3870000000000005</v>
      </c>
      <c r="G330" s="603">
        <v>100000</v>
      </c>
      <c r="H330" s="581">
        <v>7387</v>
      </c>
      <c r="I330" s="585">
        <f t="shared" si="37"/>
        <v>7.3870000000000005</v>
      </c>
      <c r="J330" s="586"/>
      <c r="K330" s="581"/>
      <c r="L330" s="587"/>
      <c r="M330" s="581"/>
      <c r="N330" s="581"/>
      <c r="O330" s="649"/>
      <c r="P330" s="603"/>
      <c r="Q330" s="581"/>
      <c r="R330" s="653"/>
    </row>
    <row r="331" spans="1:18" ht="24">
      <c r="A331" s="647">
        <v>4170</v>
      </c>
      <c r="B331" s="651" t="s">
        <v>221</v>
      </c>
      <c r="C331" s="603">
        <v>150000</v>
      </c>
      <c r="D331" s="581">
        <f t="shared" si="32"/>
        <v>150000</v>
      </c>
      <c r="E331" s="581">
        <f t="shared" si="38"/>
        <v>51698</v>
      </c>
      <c r="F331" s="582">
        <f t="shared" si="39"/>
        <v>34.465333333333334</v>
      </c>
      <c r="G331" s="603">
        <v>150000</v>
      </c>
      <c r="H331" s="581">
        <v>51698</v>
      </c>
      <c r="I331" s="585">
        <f t="shared" si="37"/>
        <v>34.465333333333334</v>
      </c>
      <c r="J331" s="586"/>
      <c r="K331" s="581"/>
      <c r="L331" s="587"/>
      <c r="M331" s="581"/>
      <c r="N331" s="581"/>
      <c r="O331" s="649"/>
      <c r="P331" s="603"/>
      <c r="Q331" s="581"/>
      <c r="R331" s="653"/>
    </row>
    <row r="332" spans="1:18" ht="24" hidden="1">
      <c r="A332" s="647">
        <v>4170</v>
      </c>
      <c r="B332" s="651" t="s">
        <v>453</v>
      </c>
      <c r="C332" s="603"/>
      <c r="D332" s="581">
        <f t="shared" si="32"/>
        <v>0</v>
      </c>
      <c r="E332" s="581">
        <f t="shared" si="38"/>
        <v>0</v>
      </c>
      <c r="F332" s="582" t="e">
        <f t="shared" si="39"/>
        <v>#DIV/0!</v>
      </c>
      <c r="G332" s="603"/>
      <c r="H332" s="581"/>
      <c r="I332" s="585" t="e">
        <f t="shared" si="37"/>
        <v>#DIV/0!</v>
      </c>
      <c r="J332" s="586"/>
      <c r="K332" s="581"/>
      <c r="L332" s="587"/>
      <c r="M332" s="581"/>
      <c r="N332" s="581"/>
      <c r="O332" s="649"/>
      <c r="P332" s="603"/>
      <c r="Q332" s="581"/>
      <c r="R332" s="653"/>
    </row>
    <row r="333" spans="1:18" ht="24">
      <c r="A333" s="647">
        <v>4210</v>
      </c>
      <c r="B333" s="651" t="s">
        <v>454</v>
      </c>
      <c r="C333" s="603">
        <f>SUM(C334:C338)</f>
        <v>609000</v>
      </c>
      <c r="D333" s="581">
        <f t="shared" si="32"/>
        <v>615000</v>
      </c>
      <c r="E333" s="581">
        <f t="shared" si="38"/>
        <v>135612</v>
      </c>
      <c r="F333" s="582">
        <f t="shared" si="39"/>
        <v>22.050731707317073</v>
      </c>
      <c r="G333" s="693">
        <f>SUM(G334:G338)</f>
        <v>615000</v>
      </c>
      <c r="H333" s="581">
        <f>SUM(H334:H338)</f>
        <v>135612</v>
      </c>
      <c r="I333" s="585">
        <f t="shared" si="37"/>
        <v>22.050731707317073</v>
      </c>
      <c r="J333" s="586"/>
      <c r="K333" s="581"/>
      <c r="L333" s="587"/>
      <c r="M333" s="581"/>
      <c r="N333" s="581"/>
      <c r="O333" s="649"/>
      <c r="P333" s="603"/>
      <c r="Q333" s="581"/>
      <c r="R333" s="653"/>
    </row>
    <row r="334" spans="1:26" s="702" customFormat="1" ht="12.75" customHeight="1">
      <c r="A334" s="694"/>
      <c r="B334" s="695" t="s">
        <v>650</v>
      </c>
      <c r="C334" s="699">
        <v>450000</v>
      </c>
      <c r="D334" s="697">
        <f t="shared" si="32"/>
        <v>456000</v>
      </c>
      <c r="E334" s="697">
        <f t="shared" si="38"/>
        <v>121401</v>
      </c>
      <c r="F334" s="582">
        <f t="shared" si="39"/>
        <v>26.62302631578947</v>
      </c>
      <c r="G334" s="699">
        <f>450000-9000+15000</f>
        <v>456000</v>
      </c>
      <c r="H334" s="697">
        <v>121401</v>
      </c>
      <c r="I334" s="585">
        <f t="shared" si="37"/>
        <v>26.62302631578947</v>
      </c>
      <c r="J334" s="698"/>
      <c r="K334" s="697"/>
      <c r="L334" s="587"/>
      <c r="M334" s="697"/>
      <c r="N334" s="697"/>
      <c r="O334" s="587"/>
      <c r="P334" s="699"/>
      <c r="Q334" s="697"/>
      <c r="R334" s="715"/>
      <c r="S334" s="700"/>
      <c r="T334" s="700"/>
      <c r="U334" s="700"/>
      <c r="V334" s="700"/>
      <c r="W334" s="701"/>
      <c r="X334" s="701"/>
      <c r="Y334" s="701"/>
      <c r="Z334" s="701"/>
    </row>
    <row r="335" spans="1:26" s="702" customFormat="1" ht="12.75">
      <c r="A335" s="694"/>
      <c r="B335" s="695" t="s">
        <v>651</v>
      </c>
      <c r="C335" s="699">
        <v>6000</v>
      </c>
      <c r="D335" s="697">
        <f t="shared" si="32"/>
        <v>6000</v>
      </c>
      <c r="E335" s="697">
        <f t="shared" si="38"/>
        <v>798</v>
      </c>
      <c r="F335" s="582">
        <f t="shared" si="39"/>
        <v>13.3</v>
      </c>
      <c r="G335" s="699">
        <v>6000</v>
      </c>
      <c r="H335" s="697">
        <v>798</v>
      </c>
      <c r="I335" s="585">
        <f t="shared" si="37"/>
        <v>13.3</v>
      </c>
      <c r="J335" s="698"/>
      <c r="K335" s="697"/>
      <c r="L335" s="587"/>
      <c r="M335" s="697"/>
      <c r="N335" s="697"/>
      <c r="O335" s="587"/>
      <c r="P335" s="699"/>
      <c r="Q335" s="697"/>
      <c r="R335" s="715"/>
      <c r="S335" s="700"/>
      <c r="T335" s="700"/>
      <c r="U335" s="700"/>
      <c r="V335" s="700"/>
      <c r="W335" s="701"/>
      <c r="X335" s="701"/>
      <c r="Y335" s="701"/>
      <c r="Z335" s="701"/>
    </row>
    <row r="336" spans="1:26" s="702" customFormat="1" ht="12.75">
      <c r="A336" s="694"/>
      <c r="B336" s="695" t="s">
        <v>652</v>
      </c>
      <c r="C336" s="699">
        <v>1000</v>
      </c>
      <c r="D336" s="697">
        <f aca="true" t="shared" si="40" ref="D336:D377">G336+J336+P336+M336</f>
        <v>1000</v>
      </c>
      <c r="E336" s="697">
        <f t="shared" si="38"/>
        <v>0</v>
      </c>
      <c r="F336" s="582">
        <f t="shared" si="39"/>
        <v>0</v>
      </c>
      <c r="G336" s="699">
        <v>1000</v>
      </c>
      <c r="H336" s="697"/>
      <c r="I336" s="585">
        <f t="shared" si="37"/>
        <v>0</v>
      </c>
      <c r="J336" s="698"/>
      <c r="K336" s="697"/>
      <c r="L336" s="587"/>
      <c r="M336" s="697"/>
      <c r="N336" s="697"/>
      <c r="O336" s="587"/>
      <c r="P336" s="699"/>
      <c r="Q336" s="697"/>
      <c r="R336" s="715"/>
      <c r="S336" s="700"/>
      <c r="T336" s="700"/>
      <c r="U336" s="700"/>
      <c r="V336" s="700"/>
      <c r="W336" s="701"/>
      <c r="X336" s="701"/>
      <c r="Y336" s="701"/>
      <c r="Z336" s="701"/>
    </row>
    <row r="337" spans="1:26" s="702" customFormat="1" ht="12.75">
      <c r="A337" s="694"/>
      <c r="B337" s="695" t="s">
        <v>653</v>
      </c>
      <c r="C337" s="699">
        <v>150000</v>
      </c>
      <c r="D337" s="697">
        <f t="shared" si="40"/>
        <v>150000</v>
      </c>
      <c r="E337" s="697">
        <f t="shared" si="38"/>
        <v>13413</v>
      </c>
      <c r="F337" s="582">
        <f t="shared" si="39"/>
        <v>8.942</v>
      </c>
      <c r="G337" s="699">
        <v>150000</v>
      </c>
      <c r="H337" s="697">
        <v>13413</v>
      </c>
      <c r="I337" s="585">
        <f t="shared" si="37"/>
        <v>8.942</v>
      </c>
      <c r="J337" s="698"/>
      <c r="K337" s="697"/>
      <c r="L337" s="587"/>
      <c r="M337" s="697"/>
      <c r="N337" s="697"/>
      <c r="O337" s="587"/>
      <c r="P337" s="699"/>
      <c r="Q337" s="697"/>
      <c r="R337" s="715"/>
      <c r="S337" s="700"/>
      <c r="T337" s="700"/>
      <c r="U337" s="700"/>
      <c r="V337" s="700"/>
      <c r="W337" s="701"/>
      <c r="X337" s="701"/>
      <c r="Y337" s="701"/>
      <c r="Z337" s="701"/>
    </row>
    <row r="338" spans="1:26" s="702" customFormat="1" ht="12.75">
      <c r="A338" s="694"/>
      <c r="B338" s="695" t="s">
        <v>654</v>
      </c>
      <c r="C338" s="699">
        <v>2000</v>
      </c>
      <c r="D338" s="697">
        <f t="shared" si="40"/>
        <v>2000</v>
      </c>
      <c r="E338" s="697">
        <f t="shared" si="38"/>
        <v>0</v>
      </c>
      <c r="F338" s="582">
        <f t="shared" si="39"/>
        <v>0</v>
      </c>
      <c r="G338" s="699">
        <v>2000</v>
      </c>
      <c r="H338" s="697"/>
      <c r="I338" s="585">
        <f t="shared" si="37"/>
        <v>0</v>
      </c>
      <c r="J338" s="698"/>
      <c r="K338" s="697"/>
      <c r="L338" s="587"/>
      <c r="M338" s="697"/>
      <c r="N338" s="697"/>
      <c r="O338" s="587"/>
      <c r="P338" s="699"/>
      <c r="Q338" s="697"/>
      <c r="R338" s="715"/>
      <c r="S338" s="700"/>
      <c r="T338" s="700"/>
      <c r="U338" s="700"/>
      <c r="V338" s="700"/>
      <c r="W338" s="701"/>
      <c r="X338" s="701"/>
      <c r="Y338" s="701"/>
      <c r="Z338" s="701"/>
    </row>
    <row r="339" spans="1:18" ht="25.5" customHeight="1">
      <c r="A339" s="647">
        <v>4240</v>
      </c>
      <c r="B339" s="651" t="s">
        <v>608</v>
      </c>
      <c r="C339" s="603">
        <v>1000</v>
      </c>
      <c r="D339" s="581">
        <f t="shared" si="40"/>
        <v>1000</v>
      </c>
      <c r="E339" s="581">
        <f t="shared" si="38"/>
        <v>50</v>
      </c>
      <c r="F339" s="582">
        <f t="shared" si="39"/>
        <v>5</v>
      </c>
      <c r="G339" s="603">
        <v>1000</v>
      </c>
      <c r="H339" s="581">
        <v>50</v>
      </c>
      <c r="I339" s="585">
        <f t="shared" si="37"/>
        <v>5</v>
      </c>
      <c r="J339" s="586"/>
      <c r="K339" s="581"/>
      <c r="L339" s="587"/>
      <c r="M339" s="581"/>
      <c r="N339" s="581"/>
      <c r="O339" s="649"/>
      <c r="P339" s="603"/>
      <c r="Q339" s="581"/>
      <c r="R339" s="653"/>
    </row>
    <row r="340" spans="1:18" ht="12.75">
      <c r="A340" s="647">
        <v>4260</v>
      </c>
      <c r="B340" s="651" t="s">
        <v>195</v>
      </c>
      <c r="C340" s="603">
        <v>520000</v>
      </c>
      <c r="D340" s="581">
        <f t="shared" si="40"/>
        <v>520000</v>
      </c>
      <c r="E340" s="581">
        <f t="shared" si="38"/>
        <v>201730</v>
      </c>
      <c r="F340" s="582">
        <f t="shared" si="39"/>
        <v>38.79423076923077</v>
      </c>
      <c r="G340" s="603">
        <v>520000</v>
      </c>
      <c r="H340" s="581">
        <v>201730</v>
      </c>
      <c r="I340" s="585">
        <f t="shared" si="37"/>
        <v>38.79423076923077</v>
      </c>
      <c r="J340" s="586"/>
      <c r="K340" s="581"/>
      <c r="L340" s="587"/>
      <c r="M340" s="581"/>
      <c r="N340" s="581"/>
      <c r="O340" s="649"/>
      <c r="P340" s="603"/>
      <c r="Q340" s="581"/>
      <c r="R340" s="653"/>
    </row>
    <row r="341" spans="1:18" ht="15.75" customHeight="1">
      <c r="A341" s="647">
        <v>4270</v>
      </c>
      <c r="B341" s="651" t="s">
        <v>655</v>
      </c>
      <c r="C341" s="603">
        <f>SUM(C342:C343)</f>
        <v>640000</v>
      </c>
      <c r="D341" s="581">
        <f t="shared" si="40"/>
        <v>625000</v>
      </c>
      <c r="E341" s="581">
        <f t="shared" si="38"/>
        <v>65422</v>
      </c>
      <c r="F341" s="582">
        <f t="shared" si="39"/>
        <v>10.46752</v>
      </c>
      <c r="G341" s="603">
        <f>SUM(G342:G343)</f>
        <v>625000</v>
      </c>
      <c r="H341" s="581">
        <f>SUM(H342:H343)</f>
        <v>65422</v>
      </c>
      <c r="I341" s="585">
        <f t="shared" si="37"/>
        <v>10.46752</v>
      </c>
      <c r="J341" s="586"/>
      <c r="K341" s="581"/>
      <c r="L341" s="587"/>
      <c r="M341" s="581"/>
      <c r="N341" s="581"/>
      <c r="O341" s="649"/>
      <c r="P341" s="603"/>
      <c r="Q341" s="581"/>
      <c r="R341" s="653"/>
    </row>
    <row r="342" spans="1:26" s="702" customFormat="1" ht="12">
      <c r="A342" s="694"/>
      <c r="B342" s="695" t="s">
        <v>656</v>
      </c>
      <c r="C342" s="745">
        <v>600000</v>
      </c>
      <c r="D342" s="746">
        <f t="shared" si="40"/>
        <v>585000</v>
      </c>
      <c r="E342" s="746">
        <f t="shared" si="38"/>
        <v>59478</v>
      </c>
      <c r="F342" s="582">
        <f t="shared" si="39"/>
        <v>10.167179487179487</v>
      </c>
      <c r="G342" s="745">
        <f>600000-15000</f>
        <v>585000</v>
      </c>
      <c r="H342" s="746">
        <v>59478</v>
      </c>
      <c r="I342" s="585">
        <f t="shared" si="37"/>
        <v>10.167179487179487</v>
      </c>
      <c r="J342" s="748"/>
      <c r="K342" s="746"/>
      <c r="L342" s="587"/>
      <c r="M342" s="746"/>
      <c r="N342" s="746"/>
      <c r="O342" s="587"/>
      <c r="P342" s="745"/>
      <c r="Q342" s="746"/>
      <c r="R342" s="715"/>
      <c r="S342" s="700"/>
      <c r="T342" s="700"/>
      <c r="U342" s="700"/>
      <c r="V342" s="700"/>
      <c r="W342" s="701"/>
      <c r="X342" s="701"/>
      <c r="Y342" s="701"/>
      <c r="Z342" s="701"/>
    </row>
    <row r="343" spans="1:26" s="702" customFormat="1" ht="12">
      <c r="A343" s="694"/>
      <c r="B343" s="695" t="s">
        <v>653</v>
      </c>
      <c r="C343" s="745">
        <v>40000</v>
      </c>
      <c r="D343" s="746">
        <f t="shared" si="40"/>
        <v>40000</v>
      </c>
      <c r="E343" s="746">
        <f t="shared" si="38"/>
        <v>5944</v>
      </c>
      <c r="F343" s="582">
        <f t="shared" si="39"/>
        <v>14.860000000000001</v>
      </c>
      <c r="G343" s="745">
        <v>40000</v>
      </c>
      <c r="H343" s="746">
        <v>5944</v>
      </c>
      <c r="I343" s="585">
        <f t="shared" si="37"/>
        <v>14.860000000000001</v>
      </c>
      <c r="J343" s="748"/>
      <c r="K343" s="746"/>
      <c r="L343" s="587"/>
      <c r="M343" s="746"/>
      <c r="N343" s="746"/>
      <c r="O343" s="587"/>
      <c r="P343" s="745"/>
      <c r="Q343" s="746"/>
      <c r="R343" s="715"/>
      <c r="S343" s="700"/>
      <c r="T343" s="700"/>
      <c r="U343" s="700"/>
      <c r="V343" s="700"/>
      <c r="W343" s="701"/>
      <c r="X343" s="701"/>
      <c r="Y343" s="701"/>
      <c r="Z343" s="701"/>
    </row>
    <row r="344" spans="1:18" ht="24">
      <c r="A344" s="647">
        <v>4280</v>
      </c>
      <c r="B344" s="651" t="s">
        <v>271</v>
      </c>
      <c r="C344" s="603">
        <v>28000</v>
      </c>
      <c r="D344" s="581">
        <f t="shared" si="40"/>
        <v>28000</v>
      </c>
      <c r="E344" s="581">
        <f t="shared" si="38"/>
        <v>2163</v>
      </c>
      <c r="F344" s="582">
        <f t="shared" si="39"/>
        <v>7.725</v>
      </c>
      <c r="G344" s="603">
        <v>28000</v>
      </c>
      <c r="H344" s="581">
        <v>2163</v>
      </c>
      <c r="I344" s="585">
        <f t="shared" si="37"/>
        <v>7.725</v>
      </c>
      <c r="J344" s="586"/>
      <c r="K344" s="785"/>
      <c r="L344" s="587"/>
      <c r="M344" s="785"/>
      <c r="N344" s="785"/>
      <c r="O344" s="649"/>
      <c r="P344" s="786"/>
      <c r="Q344" s="785"/>
      <c r="R344" s="653"/>
    </row>
    <row r="345" spans="1:18" ht="24">
      <c r="A345" s="647">
        <v>4300</v>
      </c>
      <c r="B345" s="651" t="s">
        <v>657</v>
      </c>
      <c r="C345" s="603">
        <f>SUM(C346:C354)</f>
        <v>1296960</v>
      </c>
      <c r="D345" s="581">
        <f t="shared" si="40"/>
        <v>1321960</v>
      </c>
      <c r="E345" s="581">
        <f>H345+K345+Q345+N345</f>
        <v>319772</v>
      </c>
      <c r="F345" s="582">
        <f t="shared" si="39"/>
        <v>24.189234167448333</v>
      </c>
      <c r="G345" s="603">
        <f>SUM(G347:G354)</f>
        <v>1321960</v>
      </c>
      <c r="H345" s="581">
        <f>SUM(H347:H354)</f>
        <v>319772</v>
      </c>
      <c r="I345" s="585">
        <f t="shared" si="37"/>
        <v>24.189234167448333</v>
      </c>
      <c r="J345" s="586"/>
      <c r="K345" s="581"/>
      <c r="L345" s="587"/>
      <c r="M345" s="581"/>
      <c r="N345" s="581"/>
      <c r="O345" s="649"/>
      <c r="P345" s="603"/>
      <c r="Q345" s="581"/>
      <c r="R345" s="653"/>
    </row>
    <row r="346" spans="1:26" s="702" customFormat="1" ht="12.75" hidden="1">
      <c r="A346" s="694"/>
      <c r="B346" s="695" t="s">
        <v>658</v>
      </c>
      <c r="C346" s="745"/>
      <c r="D346" s="581">
        <f t="shared" si="40"/>
        <v>0</v>
      </c>
      <c r="E346" s="581">
        <f>H346+K346+Q346+N346</f>
        <v>0</v>
      </c>
      <c r="F346" s="582"/>
      <c r="G346" s="745"/>
      <c r="H346" s="746"/>
      <c r="I346" s="585"/>
      <c r="J346" s="748"/>
      <c r="K346" s="746"/>
      <c r="L346" s="587"/>
      <c r="M346" s="746"/>
      <c r="N346" s="746"/>
      <c r="O346" s="587"/>
      <c r="P346" s="745"/>
      <c r="Q346" s="746"/>
      <c r="R346" s="715"/>
      <c r="S346" s="700"/>
      <c r="T346" s="700"/>
      <c r="U346" s="700"/>
      <c r="V346" s="700"/>
      <c r="W346" s="701"/>
      <c r="X346" s="701"/>
      <c r="Y346" s="701"/>
      <c r="Z346" s="701"/>
    </row>
    <row r="347" spans="1:26" s="702" customFormat="1" ht="12">
      <c r="A347" s="694"/>
      <c r="B347" s="695" t="s">
        <v>656</v>
      </c>
      <c r="C347" s="745">
        <v>899960</v>
      </c>
      <c r="D347" s="746">
        <f t="shared" si="40"/>
        <v>899960</v>
      </c>
      <c r="E347" s="785">
        <f aca="true" t="shared" si="41" ref="E347:E392">SUM(H347+K347+N347+Q347)</f>
        <v>219619</v>
      </c>
      <c r="F347" s="582">
        <f>E347/D347*100</f>
        <v>24.40319569758656</v>
      </c>
      <c r="G347" s="745">
        <v>899960</v>
      </c>
      <c r="H347" s="746">
        <v>219619</v>
      </c>
      <c r="I347" s="585">
        <f t="shared" si="37"/>
        <v>24.40319569758656</v>
      </c>
      <c r="J347" s="748"/>
      <c r="K347" s="746"/>
      <c r="L347" s="587"/>
      <c r="M347" s="746"/>
      <c r="N347" s="746"/>
      <c r="O347" s="587"/>
      <c r="P347" s="745"/>
      <c r="Q347" s="746"/>
      <c r="R347" s="715"/>
      <c r="S347" s="700"/>
      <c r="T347" s="700"/>
      <c r="U347" s="700"/>
      <c r="V347" s="700"/>
      <c r="W347" s="701"/>
      <c r="X347" s="701"/>
      <c r="Y347" s="701"/>
      <c r="Z347" s="701"/>
    </row>
    <row r="348" spans="1:26" s="702" customFormat="1" ht="12" hidden="1">
      <c r="A348" s="694"/>
      <c r="B348" s="695" t="s">
        <v>642</v>
      </c>
      <c r="C348" s="745"/>
      <c r="D348" s="746">
        <f t="shared" si="40"/>
        <v>0</v>
      </c>
      <c r="E348" s="785">
        <f t="shared" si="41"/>
        <v>0</v>
      </c>
      <c r="F348" s="582" t="e">
        <f>E348/D348*100</f>
        <v>#DIV/0!</v>
      </c>
      <c r="G348" s="745"/>
      <c r="H348" s="746"/>
      <c r="I348" s="585" t="e">
        <f t="shared" si="37"/>
        <v>#DIV/0!</v>
      </c>
      <c r="J348" s="748"/>
      <c r="K348" s="746"/>
      <c r="L348" s="587"/>
      <c r="M348" s="746"/>
      <c r="N348" s="746"/>
      <c r="O348" s="587"/>
      <c r="P348" s="745"/>
      <c r="Q348" s="746"/>
      <c r="R348" s="715"/>
      <c r="S348" s="700"/>
      <c r="T348" s="700"/>
      <c r="U348" s="700"/>
      <c r="V348" s="700"/>
      <c r="W348" s="701"/>
      <c r="X348" s="701"/>
      <c r="Y348" s="701"/>
      <c r="Z348" s="701"/>
    </row>
    <row r="349" spans="1:26" s="702" customFormat="1" ht="11.25" customHeight="1">
      <c r="A349" s="694"/>
      <c r="B349" s="695" t="s">
        <v>659</v>
      </c>
      <c r="C349" s="745">
        <v>20000</v>
      </c>
      <c r="D349" s="746">
        <f t="shared" si="40"/>
        <v>45000</v>
      </c>
      <c r="E349" s="785">
        <f t="shared" si="41"/>
        <v>559</v>
      </c>
      <c r="F349" s="582">
        <f>E349/D349*100</f>
        <v>1.2422222222222221</v>
      </c>
      <c r="G349" s="745">
        <f>20000+25000</f>
        <v>45000</v>
      </c>
      <c r="H349" s="746">
        <v>559</v>
      </c>
      <c r="I349" s="585">
        <f t="shared" si="37"/>
        <v>1.2422222222222221</v>
      </c>
      <c r="J349" s="748"/>
      <c r="K349" s="746"/>
      <c r="L349" s="587"/>
      <c r="M349" s="746"/>
      <c r="N349" s="746"/>
      <c r="O349" s="587"/>
      <c r="P349" s="745"/>
      <c r="Q349" s="746"/>
      <c r="R349" s="715"/>
      <c r="S349" s="700"/>
      <c r="T349" s="700"/>
      <c r="U349" s="700"/>
      <c r="V349" s="700"/>
      <c r="W349" s="701"/>
      <c r="X349" s="701"/>
      <c r="Y349" s="701"/>
      <c r="Z349" s="701"/>
    </row>
    <row r="350" spans="1:26" s="702" customFormat="1" ht="24" hidden="1">
      <c r="A350" s="694"/>
      <c r="B350" s="695" t="s">
        <v>660</v>
      </c>
      <c r="C350" s="745"/>
      <c r="D350" s="746">
        <f t="shared" si="40"/>
        <v>0</v>
      </c>
      <c r="E350" s="785">
        <f t="shared" si="41"/>
        <v>0</v>
      </c>
      <c r="F350" s="582"/>
      <c r="G350" s="745"/>
      <c r="H350" s="746"/>
      <c r="I350" s="585"/>
      <c r="J350" s="748"/>
      <c r="K350" s="746"/>
      <c r="L350" s="587"/>
      <c r="M350" s="746"/>
      <c r="N350" s="746"/>
      <c r="O350" s="587"/>
      <c r="P350" s="745"/>
      <c r="Q350" s="746"/>
      <c r="R350" s="715"/>
      <c r="S350" s="700"/>
      <c r="T350" s="700"/>
      <c r="U350" s="700"/>
      <c r="V350" s="700"/>
      <c r="W350" s="701"/>
      <c r="X350" s="701"/>
      <c r="Y350" s="701"/>
      <c r="Z350" s="701"/>
    </row>
    <row r="351" spans="1:26" s="702" customFormat="1" ht="12" hidden="1">
      <c r="A351" s="694"/>
      <c r="B351" s="695" t="s">
        <v>645</v>
      </c>
      <c r="C351" s="745"/>
      <c r="D351" s="746">
        <f t="shared" si="40"/>
        <v>0</v>
      </c>
      <c r="E351" s="746">
        <f t="shared" si="41"/>
        <v>0</v>
      </c>
      <c r="F351" s="582" t="e">
        <f aca="true" t="shared" si="42" ref="F351:F381">E351/D351*100</f>
        <v>#DIV/0!</v>
      </c>
      <c r="G351" s="745"/>
      <c r="H351" s="746"/>
      <c r="I351" s="585" t="e">
        <f t="shared" si="37"/>
        <v>#DIV/0!</v>
      </c>
      <c r="J351" s="748"/>
      <c r="K351" s="746"/>
      <c r="L351" s="587"/>
      <c r="M351" s="746"/>
      <c r="N351" s="746"/>
      <c r="O351" s="587"/>
      <c r="P351" s="745"/>
      <c r="Q351" s="746"/>
      <c r="R351" s="715"/>
      <c r="S351" s="700"/>
      <c r="T351" s="700"/>
      <c r="U351" s="700"/>
      <c r="V351" s="700"/>
      <c r="W351" s="701"/>
      <c r="X351" s="701"/>
      <c r="Y351" s="701"/>
      <c r="Z351" s="701"/>
    </row>
    <row r="352" spans="1:26" s="702" customFormat="1" ht="12">
      <c r="A352" s="694"/>
      <c r="B352" s="695" t="s">
        <v>661</v>
      </c>
      <c r="C352" s="745">
        <v>360000</v>
      </c>
      <c r="D352" s="746">
        <f t="shared" si="40"/>
        <v>360000</v>
      </c>
      <c r="E352" s="746">
        <f t="shared" si="41"/>
        <v>89343</v>
      </c>
      <c r="F352" s="582">
        <f t="shared" si="42"/>
        <v>24.8175</v>
      </c>
      <c r="G352" s="745">
        <v>360000</v>
      </c>
      <c r="H352" s="746">
        <f>89344-1</f>
        <v>89343</v>
      </c>
      <c r="I352" s="585">
        <f t="shared" si="37"/>
        <v>24.8175</v>
      </c>
      <c r="J352" s="748"/>
      <c r="K352" s="746"/>
      <c r="L352" s="587"/>
      <c r="M352" s="746"/>
      <c r="N352" s="746"/>
      <c r="O352" s="587"/>
      <c r="P352" s="745"/>
      <c r="Q352" s="746"/>
      <c r="R352" s="715"/>
      <c r="S352" s="700"/>
      <c r="T352" s="700"/>
      <c r="U352" s="700"/>
      <c r="V352" s="700"/>
      <c r="W352" s="701"/>
      <c r="X352" s="701"/>
      <c r="Y352" s="701"/>
      <c r="Z352" s="701"/>
    </row>
    <row r="353" spans="1:18" ht="33.75" customHeight="1" hidden="1">
      <c r="A353" s="647">
        <v>4390</v>
      </c>
      <c r="B353" s="695" t="s">
        <v>661</v>
      </c>
      <c r="C353" s="745"/>
      <c r="D353" s="746">
        <f t="shared" si="40"/>
        <v>0</v>
      </c>
      <c r="E353" s="746">
        <f t="shared" si="41"/>
        <v>0</v>
      </c>
      <c r="F353" s="582" t="e">
        <f t="shared" si="42"/>
        <v>#DIV/0!</v>
      </c>
      <c r="G353" s="745"/>
      <c r="H353" s="785"/>
      <c r="I353" s="585" t="e">
        <f t="shared" si="37"/>
        <v>#DIV/0!</v>
      </c>
      <c r="J353" s="787"/>
      <c r="K353" s="785"/>
      <c r="L353" s="587"/>
      <c r="M353" s="785"/>
      <c r="N353" s="785"/>
      <c r="O353" s="649"/>
      <c r="P353" s="787"/>
      <c r="Q353" s="785"/>
      <c r="R353" s="653"/>
    </row>
    <row r="354" spans="1:18" ht="9.75" customHeight="1">
      <c r="A354" s="647"/>
      <c r="B354" s="695" t="s">
        <v>272</v>
      </c>
      <c r="C354" s="745">
        <v>17000</v>
      </c>
      <c r="D354" s="746">
        <f t="shared" si="40"/>
        <v>17000</v>
      </c>
      <c r="E354" s="746">
        <f t="shared" si="41"/>
        <v>10251</v>
      </c>
      <c r="F354" s="582">
        <f t="shared" si="42"/>
        <v>60.3</v>
      </c>
      <c r="G354" s="745">
        <v>17000</v>
      </c>
      <c r="H354" s="746">
        <v>10251</v>
      </c>
      <c r="I354" s="585">
        <f t="shared" si="37"/>
        <v>60.3</v>
      </c>
      <c r="J354" s="787"/>
      <c r="K354" s="785"/>
      <c r="L354" s="587"/>
      <c r="M354" s="785"/>
      <c r="N354" s="785"/>
      <c r="O354" s="649"/>
      <c r="P354" s="787"/>
      <c r="Q354" s="785"/>
      <c r="R354" s="653"/>
    </row>
    <row r="355" spans="1:18" ht="24">
      <c r="A355" s="647">
        <v>4350</v>
      </c>
      <c r="B355" s="651" t="s">
        <v>455</v>
      </c>
      <c r="C355" s="603">
        <v>45000</v>
      </c>
      <c r="D355" s="581">
        <f t="shared" si="40"/>
        <v>45000</v>
      </c>
      <c r="E355" s="581">
        <f t="shared" si="41"/>
        <v>6721</v>
      </c>
      <c r="F355" s="582">
        <f t="shared" si="42"/>
        <v>14.935555555555554</v>
      </c>
      <c r="G355" s="603">
        <v>45000</v>
      </c>
      <c r="H355" s="581">
        <v>6721</v>
      </c>
      <c r="I355" s="585">
        <f t="shared" si="37"/>
        <v>14.935555555555554</v>
      </c>
      <c r="J355" s="586"/>
      <c r="K355" s="581"/>
      <c r="L355" s="587"/>
      <c r="M355" s="581"/>
      <c r="N355" s="581"/>
      <c r="O355" s="649"/>
      <c r="P355" s="581"/>
      <c r="Q355" s="581"/>
      <c r="R355" s="653"/>
    </row>
    <row r="356" spans="1:18" ht="22.5" customHeight="1" hidden="1">
      <c r="A356" s="647">
        <v>4350</v>
      </c>
      <c r="B356" s="651" t="s">
        <v>456</v>
      </c>
      <c r="C356" s="603"/>
      <c r="D356" s="581">
        <f t="shared" si="40"/>
        <v>0</v>
      </c>
      <c r="E356" s="581">
        <f t="shared" si="41"/>
        <v>0</v>
      </c>
      <c r="F356" s="582" t="e">
        <f t="shared" si="42"/>
        <v>#DIV/0!</v>
      </c>
      <c r="G356" s="603"/>
      <c r="H356" s="581"/>
      <c r="I356" s="627" t="e">
        <f t="shared" si="37"/>
        <v>#DIV/0!</v>
      </c>
      <c r="J356" s="586"/>
      <c r="K356" s="581"/>
      <c r="L356" s="587"/>
      <c r="M356" s="581"/>
      <c r="N356" s="581"/>
      <c r="O356" s="649"/>
      <c r="P356" s="581"/>
      <c r="Q356" s="581"/>
      <c r="R356" s="653"/>
    </row>
    <row r="357" spans="1:18" ht="60" customHeight="1">
      <c r="A357" s="647">
        <v>4360</v>
      </c>
      <c r="B357" s="712" t="s">
        <v>431</v>
      </c>
      <c r="C357" s="603">
        <v>46000</v>
      </c>
      <c r="D357" s="581">
        <f>G357+J357+P357+M357</f>
        <v>46000</v>
      </c>
      <c r="E357" s="581">
        <f>SUM(H357+K357+N357+Q357)</f>
        <v>12553</v>
      </c>
      <c r="F357" s="582">
        <f>E357/D357*100</f>
        <v>27.28913043478261</v>
      </c>
      <c r="G357" s="603">
        <v>46000</v>
      </c>
      <c r="H357" s="581">
        <v>12553</v>
      </c>
      <c r="I357" s="585">
        <f t="shared" si="37"/>
        <v>27.28913043478261</v>
      </c>
      <c r="J357" s="586"/>
      <c r="K357" s="581"/>
      <c r="L357" s="587"/>
      <c r="M357" s="581"/>
      <c r="N357" s="581"/>
      <c r="O357" s="649"/>
      <c r="P357" s="581"/>
      <c r="Q357" s="581"/>
      <c r="R357" s="653"/>
    </row>
    <row r="358" spans="1:18" ht="58.5" customHeight="1">
      <c r="A358" s="647">
        <v>4370</v>
      </c>
      <c r="B358" s="712" t="s">
        <v>432</v>
      </c>
      <c r="C358" s="603">
        <v>147000</v>
      </c>
      <c r="D358" s="581">
        <f>G358+J358+P358+M358</f>
        <v>147000</v>
      </c>
      <c r="E358" s="581">
        <f>SUM(H358+K358+N358+Q358)</f>
        <v>21795</v>
      </c>
      <c r="F358" s="582">
        <f>E358/D358*100</f>
        <v>14.826530612244898</v>
      </c>
      <c r="G358" s="603">
        <v>147000</v>
      </c>
      <c r="H358" s="581">
        <v>21795</v>
      </c>
      <c r="I358" s="585">
        <f t="shared" si="37"/>
        <v>14.826530612244898</v>
      </c>
      <c r="J358" s="586"/>
      <c r="K358" s="581"/>
      <c r="L358" s="587"/>
      <c r="M358" s="581"/>
      <c r="N358" s="581"/>
      <c r="O358" s="649"/>
      <c r="P358" s="581"/>
      <c r="Q358" s="581"/>
      <c r="R358" s="653"/>
    </row>
    <row r="359" spans="1:18" ht="38.25" customHeight="1">
      <c r="A359" s="647">
        <v>4390</v>
      </c>
      <c r="B359" s="651" t="s">
        <v>273</v>
      </c>
      <c r="C359" s="603">
        <v>12200</v>
      </c>
      <c r="D359" s="581">
        <f>G359+J359+P359+M359</f>
        <v>12200</v>
      </c>
      <c r="E359" s="581">
        <f>SUM(H359+K359+N359+Q359)</f>
        <v>0</v>
      </c>
      <c r="F359" s="582">
        <f>E359/D359*100</f>
        <v>0</v>
      </c>
      <c r="G359" s="603">
        <v>12200</v>
      </c>
      <c r="H359" s="581"/>
      <c r="I359" s="627">
        <f t="shared" si="37"/>
        <v>0</v>
      </c>
      <c r="J359" s="586"/>
      <c r="K359" s="581"/>
      <c r="L359" s="587"/>
      <c r="M359" s="581"/>
      <c r="N359" s="581"/>
      <c r="O359" s="649"/>
      <c r="P359" s="581"/>
      <c r="Q359" s="581"/>
      <c r="R359" s="653"/>
    </row>
    <row r="360" spans="1:18" ht="36.75" customHeight="1">
      <c r="A360" s="647">
        <v>4390</v>
      </c>
      <c r="B360" s="651" t="s">
        <v>274</v>
      </c>
      <c r="C360" s="603">
        <v>12000</v>
      </c>
      <c r="D360" s="581">
        <f>G360+J360+P360+M360</f>
        <v>12000</v>
      </c>
      <c r="E360" s="581">
        <f>SUM(H360+K360+N360+Q360)</f>
        <v>0</v>
      </c>
      <c r="F360" s="582">
        <f>E360/D360*100</f>
        <v>0</v>
      </c>
      <c r="G360" s="603">
        <v>12000</v>
      </c>
      <c r="H360" s="581"/>
      <c r="I360" s="627">
        <f t="shared" si="37"/>
        <v>0</v>
      </c>
      <c r="J360" s="586"/>
      <c r="K360" s="581"/>
      <c r="L360" s="587"/>
      <c r="M360" s="581"/>
      <c r="N360" s="581"/>
      <c r="O360" s="649"/>
      <c r="P360" s="581"/>
      <c r="Q360" s="581"/>
      <c r="R360" s="653"/>
    </row>
    <row r="361" spans="1:18" ht="37.5" customHeight="1">
      <c r="A361" s="647">
        <v>4400</v>
      </c>
      <c r="B361" s="651" t="s">
        <v>433</v>
      </c>
      <c r="C361" s="603">
        <v>11300</v>
      </c>
      <c r="D361" s="581">
        <f>G361+J361+P361+M361</f>
        <v>11300</v>
      </c>
      <c r="E361" s="581">
        <f>SUM(H361+K361+N361+Q361)</f>
        <v>5462</v>
      </c>
      <c r="F361" s="582">
        <f>E361/D361*100</f>
        <v>48.336283185840706</v>
      </c>
      <c r="G361" s="603">
        <v>11300</v>
      </c>
      <c r="H361" s="581">
        <v>5462</v>
      </c>
      <c r="I361" s="585">
        <f t="shared" si="37"/>
        <v>48.336283185840706</v>
      </c>
      <c r="J361" s="586"/>
      <c r="K361" s="581"/>
      <c r="L361" s="587"/>
      <c r="M361" s="581"/>
      <c r="N361" s="581"/>
      <c r="O361" s="649"/>
      <c r="P361" s="581"/>
      <c r="Q361" s="581"/>
      <c r="R361" s="653"/>
    </row>
    <row r="362" spans="1:18" ht="14.25" customHeight="1">
      <c r="A362" s="647">
        <v>4410</v>
      </c>
      <c r="B362" s="651" t="s">
        <v>173</v>
      </c>
      <c r="C362" s="603">
        <v>200000</v>
      </c>
      <c r="D362" s="581">
        <f t="shared" si="40"/>
        <v>200000</v>
      </c>
      <c r="E362" s="581">
        <f t="shared" si="41"/>
        <v>52771</v>
      </c>
      <c r="F362" s="582">
        <f t="shared" si="42"/>
        <v>26.3855</v>
      </c>
      <c r="G362" s="603">
        <v>200000</v>
      </c>
      <c r="H362" s="581">
        <v>52771</v>
      </c>
      <c r="I362" s="585">
        <f t="shared" si="37"/>
        <v>26.3855</v>
      </c>
      <c r="J362" s="586"/>
      <c r="K362" s="581"/>
      <c r="L362" s="587"/>
      <c r="M362" s="581"/>
      <c r="N362" s="581"/>
      <c r="O362" s="649"/>
      <c r="P362" s="581"/>
      <c r="Q362" s="581"/>
      <c r="R362" s="653"/>
    </row>
    <row r="363" spans="1:18" ht="24">
      <c r="A363" s="647">
        <v>4420</v>
      </c>
      <c r="B363" s="651" t="s">
        <v>457</v>
      </c>
      <c r="C363" s="603">
        <v>90000</v>
      </c>
      <c r="D363" s="581">
        <f t="shared" si="40"/>
        <v>90000</v>
      </c>
      <c r="E363" s="581">
        <f t="shared" si="41"/>
        <v>16217</v>
      </c>
      <c r="F363" s="582">
        <f t="shared" si="42"/>
        <v>18.01888888888889</v>
      </c>
      <c r="G363" s="603">
        <v>90000</v>
      </c>
      <c r="H363" s="581">
        <v>16217</v>
      </c>
      <c r="I363" s="585">
        <f t="shared" si="37"/>
        <v>18.01888888888889</v>
      </c>
      <c r="J363" s="586"/>
      <c r="K363" s="581"/>
      <c r="L363" s="587"/>
      <c r="M363" s="581"/>
      <c r="N363" s="581"/>
      <c r="O363" s="649"/>
      <c r="P363" s="581"/>
      <c r="Q363" s="581"/>
      <c r="R363" s="653"/>
    </row>
    <row r="364" spans="1:18" ht="24" hidden="1">
      <c r="A364" s="647">
        <v>4430</v>
      </c>
      <c r="B364" s="651" t="s">
        <v>662</v>
      </c>
      <c r="C364" s="603"/>
      <c r="D364" s="581">
        <f>G364+J364+P364+M364</f>
        <v>0</v>
      </c>
      <c r="E364" s="581">
        <f>SUM(H364+K364+N364+Q364)</f>
        <v>0</v>
      </c>
      <c r="F364" s="582" t="e">
        <f>E364/D364*100</f>
        <v>#DIV/0!</v>
      </c>
      <c r="G364" s="603"/>
      <c r="H364" s="581"/>
      <c r="I364" s="585" t="e">
        <f t="shared" si="37"/>
        <v>#DIV/0!</v>
      </c>
      <c r="J364" s="586"/>
      <c r="K364" s="581"/>
      <c r="L364" s="587"/>
      <c r="M364" s="581"/>
      <c r="N364" s="581"/>
      <c r="O364" s="649"/>
      <c r="P364" s="581"/>
      <c r="Q364" s="581"/>
      <c r="R364" s="653"/>
    </row>
    <row r="365" spans="1:18" ht="12.75" customHeight="1">
      <c r="A365" s="647">
        <v>4430</v>
      </c>
      <c r="B365" s="651" t="s">
        <v>663</v>
      </c>
      <c r="C365" s="603">
        <v>231000</v>
      </c>
      <c r="D365" s="581">
        <f t="shared" si="40"/>
        <v>186000</v>
      </c>
      <c r="E365" s="581">
        <f t="shared" si="41"/>
        <v>42190</v>
      </c>
      <c r="F365" s="582">
        <f t="shared" si="42"/>
        <v>22.682795698924732</v>
      </c>
      <c r="G365" s="603">
        <f>231000-45000</f>
        <v>186000</v>
      </c>
      <c r="H365" s="581">
        <v>42190</v>
      </c>
      <c r="I365" s="585">
        <f aca="true" t="shared" si="43" ref="I365:I379">H365/G365*100</f>
        <v>22.682795698924732</v>
      </c>
      <c r="J365" s="586"/>
      <c r="K365" s="581"/>
      <c r="L365" s="587"/>
      <c r="M365" s="581"/>
      <c r="N365" s="581"/>
      <c r="O365" s="649"/>
      <c r="P365" s="581"/>
      <c r="Q365" s="581"/>
      <c r="R365" s="653"/>
    </row>
    <row r="366" spans="1:18" ht="15" customHeight="1">
      <c r="A366" s="647">
        <v>4430</v>
      </c>
      <c r="B366" s="651" t="s">
        <v>662</v>
      </c>
      <c r="C366" s="603">
        <v>3000</v>
      </c>
      <c r="D366" s="581">
        <f t="shared" si="40"/>
        <v>3000</v>
      </c>
      <c r="E366" s="581">
        <f>SUM(H366+K366+N366+Q366)</f>
        <v>0</v>
      </c>
      <c r="F366" s="582">
        <f t="shared" si="42"/>
        <v>0</v>
      </c>
      <c r="G366" s="603">
        <v>3000</v>
      </c>
      <c r="H366" s="581"/>
      <c r="I366" s="585">
        <f t="shared" si="43"/>
        <v>0</v>
      </c>
      <c r="J366" s="586"/>
      <c r="K366" s="581"/>
      <c r="L366" s="587"/>
      <c r="M366" s="581"/>
      <c r="N366" s="581"/>
      <c r="O366" s="649"/>
      <c r="P366" s="581"/>
      <c r="Q366" s="581"/>
      <c r="R366" s="653"/>
    </row>
    <row r="367" spans="1:18" ht="14.25" customHeight="1">
      <c r="A367" s="647">
        <v>4440</v>
      </c>
      <c r="B367" s="651" t="s">
        <v>203</v>
      </c>
      <c r="C367" s="603">
        <v>383680</v>
      </c>
      <c r="D367" s="581">
        <f t="shared" si="40"/>
        <v>383680</v>
      </c>
      <c r="E367" s="581">
        <f t="shared" si="41"/>
        <v>327368</v>
      </c>
      <c r="F367" s="582">
        <f t="shared" si="42"/>
        <v>85.3231859883236</v>
      </c>
      <c r="G367" s="603">
        <v>383680</v>
      </c>
      <c r="H367" s="581">
        <v>327368</v>
      </c>
      <c r="I367" s="627">
        <f t="shared" si="43"/>
        <v>85.3231859883236</v>
      </c>
      <c r="J367" s="586"/>
      <c r="K367" s="581"/>
      <c r="L367" s="587"/>
      <c r="M367" s="581"/>
      <c r="N367" s="581"/>
      <c r="O367" s="649"/>
      <c r="P367" s="581"/>
      <c r="Q367" s="581"/>
      <c r="R367" s="653"/>
    </row>
    <row r="368" spans="1:18" ht="14.25" customHeight="1">
      <c r="A368" s="647">
        <v>4580</v>
      </c>
      <c r="B368" s="651" t="s">
        <v>223</v>
      </c>
      <c r="C368" s="603"/>
      <c r="D368" s="581">
        <f>G368+J368+P368+M368</f>
        <v>1315</v>
      </c>
      <c r="E368" s="581">
        <f>SUM(H368+K368+N368+Q368)</f>
        <v>1314</v>
      </c>
      <c r="F368" s="582">
        <f t="shared" si="42"/>
        <v>99.92395437262357</v>
      </c>
      <c r="G368" s="603">
        <v>1315</v>
      </c>
      <c r="H368" s="581">
        <v>1314</v>
      </c>
      <c r="I368" s="627">
        <f t="shared" si="43"/>
        <v>99.92395437262357</v>
      </c>
      <c r="J368" s="586"/>
      <c r="K368" s="581"/>
      <c r="L368" s="587"/>
      <c r="M368" s="581"/>
      <c r="N368" s="581"/>
      <c r="O368" s="649"/>
      <c r="P368" s="581"/>
      <c r="Q368" s="581"/>
      <c r="R368" s="653"/>
    </row>
    <row r="369" spans="1:18" ht="36" hidden="1">
      <c r="A369" s="647">
        <v>4590</v>
      </c>
      <c r="B369" s="651" t="s">
        <v>275</v>
      </c>
      <c r="C369" s="603"/>
      <c r="D369" s="581">
        <f t="shared" si="40"/>
        <v>0</v>
      </c>
      <c r="E369" s="581">
        <f t="shared" si="41"/>
        <v>0</v>
      </c>
      <c r="F369" s="582" t="e">
        <f t="shared" si="42"/>
        <v>#DIV/0!</v>
      </c>
      <c r="G369" s="603"/>
      <c r="H369" s="581"/>
      <c r="I369" s="585" t="e">
        <f t="shared" si="43"/>
        <v>#DIV/0!</v>
      </c>
      <c r="J369" s="586"/>
      <c r="K369" s="581"/>
      <c r="L369" s="587"/>
      <c r="M369" s="581"/>
      <c r="N369" s="581"/>
      <c r="O369" s="649"/>
      <c r="P369" s="581"/>
      <c r="Q369" s="581"/>
      <c r="R369" s="653"/>
    </row>
    <row r="370" spans="1:18" ht="24">
      <c r="A370" s="647">
        <v>4610</v>
      </c>
      <c r="B370" s="651" t="s">
        <v>458</v>
      </c>
      <c r="C370" s="603"/>
      <c r="D370" s="581">
        <f t="shared" si="40"/>
        <v>1589</v>
      </c>
      <c r="E370" s="581">
        <f t="shared" si="41"/>
        <v>1188</v>
      </c>
      <c r="F370" s="582">
        <f t="shared" si="42"/>
        <v>74.76400251730648</v>
      </c>
      <c r="G370" s="603">
        <v>1589</v>
      </c>
      <c r="H370" s="581">
        <v>1188</v>
      </c>
      <c r="I370" s="585">
        <f t="shared" si="43"/>
        <v>74.76400251730648</v>
      </c>
      <c r="J370" s="586"/>
      <c r="K370" s="581"/>
      <c r="L370" s="587"/>
      <c r="M370" s="581"/>
      <c r="N370" s="581"/>
      <c r="O370" s="649"/>
      <c r="P370" s="581"/>
      <c r="Q370" s="581"/>
      <c r="R370" s="653"/>
    </row>
    <row r="371" spans="1:18" ht="24" hidden="1">
      <c r="A371" s="647">
        <v>4610</v>
      </c>
      <c r="B371" s="651" t="s">
        <v>459</v>
      </c>
      <c r="C371" s="603"/>
      <c r="D371" s="581">
        <f t="shared" si="40"/>
        <v>0</v>
      </c>
      <c r="E371" s="581">
        <f>SUM(H371+K371+N371+Q371)</f>
        <v>0</v>
      </c>
      <c r="F371" s="582" t="e">
        <f>E371/D371*100</f>
        <v>#DIV/0!</v>
      </c>
      <c r="G371" s="603"/>
      <c r="H371" s="581"/>
      <c r="I371" s="585" t="e">
        <f t="shared" si="43"/>
        <v>#DIV/0!</v>
      </c>
      <c r="J371" s="586"/>
      <c r="K371" s="581"/>
      <c r="L371" s="587"/>
      <c r="M371" s="581"/>
      <c r="N371" s="581"/>
      <c r="O371" s="649"/>
      <c r="P371" s="581"/>
      <c r="Q371" s="581"/>
      <c r="R371" s="653"/>
    </row>
    <row r="372" spans="1:18" ht="60">
      <c r="A372" s="647">
        <v>4700</v>
      </c>
      <c r="B372" s="712" t="s">
        <v>460</v>
      </c>
      <c r="C372" s="603">
        <v>5000</v>
      </c>
      <c r="D372" s="581">
        <f t="shared" si="40"/>
        <v>5000</v>
      </c>
      <c r="E372" s="581">
        <f t="shared" si="41"/>
        <v>0</v>
      </c>
      <c r="F372" s="582">
        <f t="shared" si="42"/>
        <v>0</v>
      </c>
      <c r="G372" s="603">
        <v>5000</v>
      </c>
      <c r="H372" s="581"/>
      <c r="I372" s="585">
        <f t="shared" si="43"/>
        <v>0</v>
      </c>
      <c r="J372" s="586"/>
      <c r="K372" s="581"/>
      <c r="L372" s="587"/>
      <c r="M372" s="581"/>
      <c r="N372" s="581"/>
      <c r="O372" s="649"/>
      <c r="P372" s="581"/>
      <c r="Q372" s="581"/>
      <c r="R372" s="653"/>
    </row>
    <row r="373" spans="1:18" ht="35.25" customHeight="1">
      <c r="A373" s="647">
        <v>4700</v>
      </c>
      <c r="B373" s="712" t="s">
        <v>461</v>
      </c>
      <c r="C373" s="603">
        <v>130000</v>
      </c>
      <c r="D373" s="581">
        <f t="shared" si="40"/>
        <v>130000</v>
      </c>
      <c r="E373" s="581">
        <f>SUM(H373+K373+N373+Q373)</f>
        <v>37033</v>
      </c>
      <c r="F373" s="582">
        <f>E373/D373*100</f>
        <v>28.486923076923077</v>
      </c>
      <c r="G373" s="603">
        <f>130000-17400+17400</f>
        <v>130000</v>
      </c>
      <c r="H373" s="581">
        <v>37033</v>
      </c>
      <c r="I373" s="585">
        <f t="shared" si="43"/>
        <v>28.486923076923077</v>
      </c>
      <c r="J373" s="586"/>
      <c r="K373" s="581"/>
      <c r="L373" s="587"/>
      <c r="M373" s="581"/>
      <c r="N373" s="581"/>
      <c r="O373" s="649"/>
      <c r="P373" s="581"/>
      <c r="Q373" s="581"/>
      <c r="R373" s="653"/>
    </row>
    <row r="374" spans="1:18" ht="49.5" customHeight="1">
      <c r="A374" s="647">
        <v>4740</v>
      </c>
      <c r="B374" s="712" t="s">
        <v>215</v>
      </c>
      <c r="C374" s="603">
        <v>73000</v>
      </c>
      <c r="D374" s="581">
        <f t="shared" si="40"/>
        <v>73000</v>
      </c>
      <c r="E374" s="581">
        <f>SUM(H374+K374+N374+Q374)</f>
        <v>16124</v>
      </c>
      <c r="F374" s="582">
        <f>E374/D374*100</f>
        <v>22.087671232876712</v>
      </c>
      <c r="G374" s="603">
        <v>73000</v>
      </c>
      <c r="H374" s="581">
        <v>16124</v>
      </c>
      <c r="I374" s="585">
        <f t="shared" si="43"/>
        <v>22.087671232876712</v>
      </c>
      <c r="J374" s="586"/>
      <c r="K374" s="581"/>
      <c r="L374" s="587"/>
      <c r="M374" s="581"/>
      <c r="N374" s="581"/>
      <c r="O374" s="649"/>
      <c r="P374" s="581"/>
      <c r="Q374" s="581"/>
      <c r="R374" s="653"/>
    </row>
    <row r="375" spans="1:18" ht="48">
      <c r="A375" s="647">
        <v>4750</v>
      </c>
      <c r="B375" s="712" t="s">
        <v>462</v>
      </c>
      <c r="C375" s="603">
        <f>190000+44000</f>
        <v>234000</v>
      </c>
      <c r="D375" s="581">
        <f t="shared" si="40"/>
        <v>271252</v>
      </c>
      <c r="E375" s="581">
        <f>SUM(H375+K375+N375+Q375)</f>
        <v>50970</v>
      </c>
      <c r="F375" s="582">
        <f>E375/D375*100</f>
        <v>18.790644861604708</v>
      </c>
      <c r="G375" s="603">
        <f>190000+44000+37252</f>
        <v>271252</v>
      </c>
      <c r="H375" s="581">
        <v>50970</v>
      </c>
      <c r="I375" s="585">
        <f t="shared" si="43"/>
        <v>18.790644861604708</v>
      </c>
      <c r="J375" s="586"/>
      <c r="K375" s="581"/>
      <c r="L375" s="587"/>
      <c r="M375" s="581"/>
      <c r="N375" s="581"/>
      <c r="O375" s="649"/>
      <c r="P375" s="581"/>
      <c r="Q375" s="581"/>
      <c r="R375" s="653"/>
    </row>
    <row r="376" spans="1:18" ht="25.5" customHeight="1">
      <c r="A376" s="647">
        <v>6050</v>
      </c>
      <c r="B376" s="651" t="s">
        <v>664</v>
      </c>
      <c r="C376" s="603">
        <v>971700</v>
      </c>
      <c r="D376" s="581">
        <f>G376+J376+P376+M376</f>
        <v>1096544</v>
      </c>
      <c r="E376" s="581">
        <f>SUM(H376+K376+N376+Q376)</f>
        <v>223853</v>
      </c>
      <c r="F376" s="582">
        <f>E376/D376*100</f>
        <v>20.41441109522281</v>
      </c>
      <c r="G376" s="603">
        <f>971700+120000+4844</f>
        <v>1096544</v>
      </c>
      <c r="H376" s="581">
        <v>223853</v>
      </c>
      <c r="I376" s="585">
        <f t="shared" si="43"/>
        <v>20.41441109522281</v>
      </c>
      <c r="J376" s="586"/>
      <c r="K376" s="581"/>
      <c r="L376" s="587"/>
      <c r="M376" s="581"/>
      <c r="N376" s="581"/>
      <c r="O376" s="649"/>
      <c r="P376" s="581"/>
      <c r="Q376" s="581"/>
      <c r="R376" s="653"/>
    </row>
    <row r="377" spans="1:18" ht="33" customHeight="1">
      <c r="A377" s="647">
        <v>6060</v>
      </c>
      <c r="B377" s="651" t="s">
        <v>665</v>
      </c>
      <c r="C377" s="603">
        <f>SUM(C378:C380)</f>
        <v>988320</v>
      </c>
      <c r="D377" s="581">
        <f t="shared" si="40"/>
        <v>988320</v>
      </c>
      <c r="E377" s="581">
        <f t="shared" si="41"/>
        <v>59841</v>
      </c>
      <c r="F377" s="582">
        <f t="shared" si="42"/>
        <v>6.054820301117047</v>
      </c>
      <c r="G377" s="603">
        <f>SUM(G378:G380)</f>
        <v>988320</v>
      </c>
      <c r="H377" s="581">
        <v>59841</v>
      </c>
      <c r="I377" s="585">
        <f t="shared" si="43"/>
        <v>6.054820301117047</v>
      </c>
      <c r="J377" s="586"/>
      <c r="K377" s="581"/>
      <c r="L377" s="587"/>
      <c r="M377" s="581"/>
      <c r="N377" s="581"/>
      <c r="O377" s="649"/>
      <c r="P377" s="581"/>
      <c r="Q377" s="581"/>
      <c r="R377" s="653"/>
    </row>
    <row r="378" spans="1:26" s="702" customFormat="1" ht="12.75">
      <c r="A378" s="694"/>
      <c r="B378" s="695" t="s">
        <v>656</v>
      </c>
      <c r="C378" s="699">
        <v>72000</v>
      </c>
      <c r="D378" s="697">
        <f>G378+J378+P378+M378</f>
        <v>72000</v>
      </c>
      <c r="E378" s="697">
        <f>SUM(H378+K378+N378+Q378)</f>
        <v>3675</v>
      </c>
      <c r="F378" s="582">
        <f>E378/D378*100</f>
        <v>5.104166666666667</v>
      </c>
      <c r="G378" s="699">
        <v>72000</v>
      </c>
      <c r="H378" s="697">
        <v>3675</v>
      </c>
      <c r="I378" s="585">
        <f t="shared" si="43"/>
        <v>5.104166666666667</v>
      </c>
      <c r="J378" s="698"/>
      <c r="K378" s="697"/>
      <c r="L378" s="587"/>
      <c r="M378" s="697"/>
      <c r="N378" s="697"/>
      <c r="O378" s="587"/>
      <c r="P378" s="698"/>
      <c r="Q378" s="697"/>
      <c r="R378" s="715"/>
      <c r="S378" s="700"/>
      <c r="T378" s="700"/>
      <c r="U378" s="700"/>
      <c r="V378" s="700"/>
      <c r="W378" s="701"/>
      <c r="X378" s="701"/>
      <c r="Y378" s="701"/>
      <c r="Z378" s="701"/>
    </row>
    <row r="379" spans="1:26" s="702" customFormat="1" ht="12.75" hidden="1">
      <c r="A379" s="694"/>
      <c r="B379" s="695" t="s">
        <v>642</v>
      </c>
      <c r="C379" s="699"/>
      <c r="D379" s="697">
        <f>G379+J379+P379+M379</f>
        <v>0</v>
      </c>
      <c r="E379" s="697">
        <f>SUM(H379+K379+N379+Q379)</f>
        <v>0</v>
      </c>
      <c r="F379" s="582" t="e">
        <f>E379/D379*100</f>
        <v>#DIV/0!</v>
      </c>
      <c r="G379" s="699"/>
      <c r="H379" s="697"/>
      <c r="I379" s="585" t="e">
        <f t="shared" si="43"/>
        <v>#DIV/0!</v>
      </c>
      <c r="J379" s="698"/>
      <c r="K379" s="697"/>
      <c r="L379" s="587"/>
      <c r="M379" s="697"/>
      <c r="N379" s="697"/>
      <c r="O379" s="587"/>
      <c r="P379" s="698"/>
      <c r="Q379" s="697"/>
      <c r="R379" s="715"/>
      <c r="S379" s="700"/>
      <c r="T379" s="700"/>
      <c r="U379" s="700"/>
      <c r="V379" s="700"/>
      <c r="W379" s="701"/>
      <c r="X379" s="701"/>
      <c r="Y379" s="701"/>
      <c r="Z379" s="701"/>
    </row>
    <row r="380" spans="1:26" s="702" customFormat="1" ht="12.75">
      <c r="A380" s="704"/>
      <c r="B380" s="705" t="s">
        <v>653</v>
      </c>
      <c r="C380" s="709">
        <v>916320</v>
      </c>
      <c r="D380" s="707">
        <f>G380+J380+P380+M380</f>
        <v>916320</v>
      </c>
      <c r="E380" s="707">
        <f>SUM(H380+K380+N380+Q380)</f>
        <v>24348</v>
      </c>
      <c r="F380" s="643">
        <f>E380/D380*100</f>
        <v>2.6571503404924046</v>
      </c>
      <c r="G380" s="709">
        <v>916320</v>
      </c>
      <c r="H380" s="707">
        <v>24348</v>
      </c>
      <c r="I380" s="679">
        <f>H380/G380*100</f>
        <v>2.6571503404924046</v>
      </c>
      <c r="J380" s="708"/>
      <c r="K380" s="707"/>
      <c r="L380" s="677"/>
      <c r="M380" s="707"/>
      <c r="N380" s="707"/>
      <c r="O380" s="677"/>
      <c r="P380" s="708"/>
      <c r="Q380" s="707"/>
      <c r="R380" s="788"/>
      <c r="S380" s="700"/>
      <c r="T380" s="700"/>
      <c r="U380" s="700"/>
      <c r="V380" s="700"/>
      <c r="W380" s="701"/>
      <c r="X380" s="701"/>
      <c r="Y380" s="701"/>
      <c r="Z380" s="701"/>
    </row>
    <row r="381" spans="1:26" s="792" customFormat="1" ht="16.5" customHeight="1">
      <c r="A381" s="789">
        <v>75045</v>
      </c>
      <c r="B381" s="742" t="s">
        <v>341</v>
      </c>
      <c r="C381" s="608">
        <f>SUM(C382:C396)</f>
        <v>47500</v>
      </c>
      <c r="D381" s="595">
        <f aca="true" t="shared" si="44" ref="D381:E469">G381+J381+P381+M381</f>
        <v>47500</v>
      </c>
      <c r="E381" s="595">
        <f>H381+K381+Q381+N381</f>
        <v>5219</v>
      </c>
      <c r="F381" s="596">
        <f t="shared" si="42"/>
        <v>10.987368421052631</v>
      </c>
      <c r="G381" s="608"/>
      <c r="H381" s="595"/>
      <c r="I381" s="645"/>
      <c r="J381" s="600"/>
      <c r="K381" s="595"/>
      <c r="L381" s="601"/>
      <c r="M381" s="595">
        <f>SUM(M382:M396)</f>
        <v>3000</v>
      </c>
      <c r="N381" s="595">
        <f>SUM(N382:N396)</f>
        <v>0</v>
      </c>
      <c r="O381" s="737">
        <f>N381/M381*100</f>
        <v>0</v>
      </c>
      <c r="P381" s="600">
        <f>SUM(P382:P396)</f>
        <v>44500</v>
      </c>
      <c r="Q381" s="595">
        <f>SUM(Q382:Q396)</f>
        <v>5219</v>
      </c>
      <c r="R381" s="624">
        <f aca="true" t="shared" si="45" ref="R381:R392">Q381/P381*100</f>
        <v>11.72808988764045</v>
      </c>
      <c r="S381" s="790"/>
      <c r="T381" s="790"/>
      <c r="U381" s="790"/>
      <c r="V381" s="790"/>
      <c r="W381" s="791"/>
      <c r="X381" s="791"/>
      <c r="Y381" s="791"/>
      <c r="Z381" s="791"/>
    </row>
    <row r="382" spans="1:26" s="792" customFormat="1" ht="24" customHeight="1" hidden="1">
      <c r="A382" s="793">
        <v>3030</v>
      </c>
      <c r="B382" s="651" t="s">
        <v>179</v>
      </c>
      <c r="C382" s="603"/>
      <c r="D382" s="581">
        <f t="shared" si="44"/>
        <v>0</v>
      </c>
      <c r="E382" s="581">
        <f t="shared" si="41"/>
        <v>0</v>
      </c>
      <c r="F382" s="582"/>
      <c r="G382" s="659"/>
      <c r="H382" s="660"/>
      <c r="I382" s="649"/>
      <c r="J382" s="661"/>
      <c r="K382" s="660"/>
      <c r="L382" s="662"/>
      <c r="M382" s="660"/>
      <c r="N382" s="660"/>
      <c r="O382" s="649"/>
      <c r="P382" s="693"/>
      <c r="Q382" s="581"/>
      <c r="R382" s="627"/>
      <c r="S382" s="790"/>
      <c r="T382" s="790"/>
      <c r="U382" s="790"/>
      <c r="V382" s="790"/>
      <c r="W382" s="791"/>
      <c r="X382" s="791"/>
      <c r="Y382" s="791"/>
      <c r="Z382" s="791"/>
    </row>
    <row r="383" spans="1:26" s="792" customFormat="1" ht="23.25" customHeight="1">
      <c r="A383" s="793">
        <v>4010</v>
      </c>
      <c r="B383" s="651" t="s">
        <v>181</v>
      </c>
      <c r="C383" s="603">
        <v>11200</v>
      </c>
      <c r="D383" s="581">
        <f t="shared" si="44"/>
        <v>11200</v>
      </c>
      <c r="E383" s="581">
        <f t="shared" si="41"/>
        <v>3438</v>
      </c>
      <c r="F383" s="582">
        <f aca="true" t="shared" si="46" ref="F383:F446">E383/D383*100</f>
        <v>30.69642857142857</v>
      </c>
      <c r="G383" s="603"/>
      <c r="H383" s="581"/>
      <c r="I383" s="649"/>
      <c r="J383" s="586"/>
      <c r="K383" s="581"/>
      <c r="L383" s="587"/>
      <c r="M383" s="581"/>
      <c r="N383" s="581"/>
      <c r="O383" s="649"/>
      <c r="P383" s="693">
        <v>11200</v>
      </c>
      <c r="Q383" s="581">
        <v>3438</v>
      </c>
      <c r="R383" s="627">
        <f t="shared" si="45"/>
        <v>30.69642857142857</v>
      </c>
      <c r="S383" s="790"/>
      <c r="T383" s="790"/>
      <c r="U383" s="790"/>
      <c r="V383" s="790"/>
      <c r="W383" s="791"/>
      <c r="X383" s="791"/>
      <c r="Y383" s="791"/>
      <c r="Z383" s="791"/>
    </row>
    <row r="384" spans="1:26" s="792" customFormat="1" ht="24" customHeight="1">
      <c r="A384" s="793">
        <v>4110</v>
      </c>
      <c r="B384" s="651" t="s">
        <v>187</v>
      </c>
      <c r="C384" s="603">
        <v>1800</v>
      </c>
      <c r="D384" s="581">
        <f t="shared" si="44"/>
        <v>1800</v>
      </c>
      <c r="E384" s="581">
        <f t="shared" si="41"/>
        <v>0</v>
      </c>
      <c r="F384" s="582">
        <f t="shared" si="46"/>
        <v>0</v>
      </c>
      <c r="G384" s="603"/>
      <c r="H384" s="581"/>
      <c r="I384" s="649"/>
      <c r="J384" s="586"/>
      <c r="K384" s="581"/>
      <c r="L384" s="587"/>
      <c r="M384" s="581"/>
      <c r="N384" s="581"/>
      <c r="O384" s="649"/>
      <c r="P384" s="693">
        <v>1800</v>
      </c>
      <c r="Q384" s="581"/>
      <c r="R384" s="627">
        <f t="shared" si="45"/>
        <v>0</v>
      </c>
      <c r="S384" s="790"/>
      <c r="T384" s="790"/>
      <c r="U384" s="790"/>
      <c r="V384" s="790"/>
      <c r="W384" s="791"/>
      <c r="X384" s="791"/>
      <c r="Y384" s="791"/>
      <c r="Z384" s="791"/>
    </row>
    <row r="385" spans="1:26" s="792" customFormat="1" ht="12" customHeight="1">
      <c r="A385" s="793">
        <v>4120</v>
      </c>
      <c r="B385" s="651" t="s">
        <v>623</v>
      </c>
      <c r="C385" s="603">
        <v>400</v>
      </c>
      <c r="D385" s="581">
        <f t="shared" si="44"/>
        <v>400</v>
      </c>
      <c r="E385" s="581">
        <f t="shared" si="41"/>
        <v>0</v>
      </c>
      <c r="F385" s="582">
        <f t="shared" si="46"/>
        <v>0</v>
      </c>
      <c r="G385" s="603"/>
      <c r="H385" s="581"/>
      <c r="I385" s="649"/>
      <c r="J385" s="586"/>
      <c r="K385" s="581"/>
      <c r="L385" s="587"/>
      <c r="M385" s="581"/>
      <c r="N385" s="581"/>
      <c r="O385" s="649"/>
      <c r="P385" s="693">
        <v>400</v>
      </c>
      <c r="Q385" s="581"/>
      <c r="R385" s="627">
        <f t="shared" si="45"/>
        <v>0</v>
      </c>
      <c r="S385" s="790"/>
      <c r="T385" s="790"/>
      <c r="U385" s="790"/>
      <c r="V385" s="790"/>
      <c r="W385" s="791"/>
      <c r="X385" s="791"/>
      <c r="Y385" s="791"/>
      <c r="Z385" s="791"/>
    </row>
    <row r="386" spans="1:26" s="792" customFormat="1" ht="24">
      <c r="A386" s="793">
        <v>4170</v>
      </c>
      <c r="B386" s="651" t="s">
        <v>221</v>
      </c>
      <c r="C386" s="603">
        <v>15100</v>
      </c>
      <c r="D386" s="581">
        <f t="shared" si="44"/>
        <v>16600</v>
      </c>
      <c r="E386" s="581">
        <f t="shared" si="41"/>
        <v>0</v>
      </c>
      <c r="F386" s="582">
        <f t="shared" si="46"/>
        <v>0</v>
      </c>
      <c r="G386" s="603"/>
      <c r="H386" s="581"/>
      <c r="I386" s="649"/>
      <c r="J386" s="586"/>
      <c r="K386" s="581"/>
      <c r="L386" s="587"/>
      <c r="M386" s="581"/>
      <c r="N386" s="581"/>
      <c r="O386" s="628"/>
      <c r="P386" s="693">
        <f>15100+1500</f>
        <v>16600</v>
      </c>
      <c r="Q386" s="581"/>
      <c r="R386" s="627">
        <f t="shared" si="45"/>
        <v>0</v>
      </c>
      <c r="S386" s="790"/>
      <c r="T386" s="790"/>
      <c r="U386" s="790"/>
      <c r="V386" s="790"/>
      <c r="W386" s="791"/>
      <c r="X386" s="791"/>
      <c r="Y386" s="791"/>
      <c r="Z386" s="791"/>
    </row>
    <row r="387" spans="1:26" s="792" customFormat="1" ht="27" customHeight="1">
      <c r="A387" s="793">
        <v>4170</v>
      </c>
      <c r="B387" s="651" t="s">
        <v>463</v>
      </c>
      <c r="C387" s="603">
        <v>1000</v>
      </c>
      <c r="D387" s="581">
        <f>G387+J387+P387+M387</f>
        <v>1000</v>
      </c>
      <c r="E387" s="581">
        <f>SUM(H387+K387+N387+Q387)</f>
        <v>0</v>
      </c>
      <c r="F387" s="582">
        <f>E387/D387*100</f>
        <v>0</v>
      </c>
      <c r="G387" s="603"/>
      <c r="H387" s="581"/>
      <c r="I387" s="649"/>
      <c r="J387" s="586"/>
      <c r="K387" s="581"/>
      <c r="L387" s="587"/>
      <c r="M387" s="581"/>
      <c r="N387" s="581"/>
      <c r="O387" s="585"/>
      <c r="P387" s="693">
        <v>1000</v>
      </c>
      <c r="Q387" s="581"/>
      <c r="R387" s="627">
        <f t="shared" si="45"/>
        <v>0</v>
      </c>
      <c r="S387" s="790"/>
      <c r="T387" s="790"/>
      <c r="U387" s="790"/>
      <c r="V387" s="790"/>
      <c r="W387" s="791"/>
      <c r="X387" s="791"/>
      <c r="Y387" s="791"/>
      <c r="Z387" s="791"/>
    </row>
    <row r="388" spans="1:26" s="792" customFormat="1" ht="12.75">
      <c r="A388" s="794">
        <v>4190</v>
      </c>
      <c r="B388" s="651" t="s">
        <v>464</v>
      </c>
      <c r="C388" s="603">
        <v>1500</v>
      </c>
      <c r="D388" s="581">
        <f>G388+J388+P388+M388</f>
        <v>0</v>
      </c>
      <c r="E388" s="581">
        <f>SUM(H388+K388+N388+Q388)</f>
        <v>0</v>
      </c>
      <c r="F388" s="582"/>
      <c r="G388" s="603"/>
      <c r="H388" s="581"/>
      <c r="I388" s="649"/>
      <c r="J388" s="586"/>
      <c r="K388" s="581"/>
      <c r="L388" s="587"/>
      <c r="M388" s="581"/>
      <c r="N388" s="581"/>
      <c r="O388" s="585"/>
      <c r="P388" s="693">
        <f>1500-1500</f>
        <v>0</v>
      </c>
      <c r="Q388" s="581"/>
      <c r="R388" s="627"/>
      <c r="S388" s="790"/>
      <c r="T388" s="790"/>
      <c r="U388" s="790"/>
      <c r="V388" s="790"/>
      <c r="W388" s="791"/>
      <c r="X388" s="791"/>
      <c r="Y388" s="791"/>
      <c r="Z388" s="791"/>
    </row>
    <row r="389" spans="1:26" s="792" customFormat="1" ht="25.5" customHeight="1">
      <c r="A389" s="793">
        <v>4210</v>
      </c>
      <c r="B389" s="651" t="s">
        <v>191</v>
      </c>
      <c r="C389" s="603">
        <v>3000</v>
      </c>
      <c r="D389" s="581">
        <f t="shared" si="44"/>
        <v>3000</v>
      </c>
      <c r="E389" s="581">
        <f t="shared" si="41"/>
        <v>1688</v>
      </c>
      <c r="F389" s="582">
        <f t="shared" si="46"/>
        <v>56.266666666666666</v>
      </c>
      <c r="G389" s="603"/>
      <c r="H389" s="581"/>
      <c r="I389" s="649"/>
      <c r="J389" s="586"/>
      <c r="K389" s="581"/>
      <c r="L389" s="587"/>
      <c r="M389" s="581"/>
      <c r="N389" s="581"/>
      <c r="O389" s="585"/>
      <c r="P389" s="693">
        <v>3000</v>
      </c>
      <c r="Q389" s="581">
        <v>1688</v>
      </c>
      <c r="R389" s="627">
        <f t="shared" si="45"/>
        <v>56.266666666666666</v>
      </c>
      <c r="S389" s="790"/>
      <c r="T389" s="790"/>
      <c r="U389" s="790"/>
      <c r="V389" s="790"/>
      <c r="W389" s="791"/>
      <c r="X389" s="791"/>
      <c r="Y389" s="791"/>
      <c r="Z389" s="791"/>
    </row>
    <row r="390" spans="1:26" s="792" customFormat="1" ht="16.5" customHeight="1" hidden="1">
      <c r="A390" s="793">
        <v>4270</v>
      </c>
      <c r="B390" s="651" t="s">
        <v>197</v>
      </c>
      <c r="C390" s="603"/>
      <c r="D390" s="581">
        <f t="shared" si="44"/>
        <v>0</v>
      </c>
      <c r="E390" s="581">
        <f t="shared" si="41"/>
        <v>0</v>
      </c>
      <c r="F390" s="582" t="e">
        <f t="shared" si="46"/>
        <v>#DIV/0!</v>
      </c>
      <c r="G390" s="603"/>
      <c r="H390" s="581"/>
      <c r="I390" s="649"/>
      <c r="J390" s="586"/>
      <c r="K390" s="581"/>
      <c r="L390" s="587"/>
      <c r="M390" s="581"/>
      <c r="N390" s="581"/>
      <c r="O390" s="585" t="e">
        <f>N390/M390*100</f>
        <v>#DIV/0!</v>
      </c>
      <c r="P390" s="693"/>
      <c r="Q390" s="581"/>
      <c r="R390" s="627" t="e">
        <f t="shared" si="45"/>
        <v>#DIV/0!</v>
      </c>
      <c r="S390" s="790"/>
      <c r="T390" s="790"/>
      <c r="U390" s="790"/>
      <c r="V390" s="790"/>
      <c r="W390" s="791"/>
      <c r="X390" s="791"/>
      <c r="Y390" s="791"/>
      <c r="Z390" s="791"/>
    </row>
    <row r="391" spans="1:26" s="792" customFormat="1" ht="25.5" customHeight="1">
      <c r="A391" s="793">
        <v>4300</v>
      </c>
      <c r="B391" s="651" t="s">
        <v>465</v>
      </c>
      <c r="C391" s="603">
        <v>4500</v>
      </c>
      <c r="D391" s="581">
        <f t="shared" si="44"/>
        <v>4500</v>
      </c>
      <c r="E391" s="581">
        <f t="shared" si="41"/>
        <v>0</v>
      </c>
      <c r="F391" s="582">
        <f t="shared" si="46"/>
        <v>0</v>
      </c>
      <c r="G391" s="603"/>
      <c r="H391" s="581"/>
      <c r="I391" s="649"/>
      <c r="J391" s="586"/>
      <c r="K391" s="581"/>
      <c r="L391" s="587"/>
      <c r="M391" s="581"/>
      <c r="N391" s="581"/>
      <c r="O391" s="585"/>
      <c r="P391" s="693">
        <v>4500</v>
      </c>
      <c r="Q391" s="581"/>
      <c r="R391" s="627">
        <f t="shared" si="45"/>
        <v>0</v>
      </c>
      <c r="S391" s="790"/>
      <c r="T391" s="790"/>
      <c r="U391" s="790"/>
      <c r="V391" s="790"/>
      <c r="W391" s="791"/>
      <c r="X391" s="791"/>
      <c r="Y391" s="791"/>
      <c r="Z391" s="791"/>
    </row>
    <row r="392" spans="1:26" s="792" customFormat="1" ht="17.25" customHeight="1">
      <c r="A392" s="793">
        <v>4300</v>
      </c>
      <c r="B392" s="651" t="s">
        <v>216</v>
      </c>
      <c r="C392" s="603">
        <v>9000</v>
      </c>
      <c r="D392" s="581">
        <f t="shared" si="44"/>
        <v>9000</v>
      </c>
      <c r="E392" s="581">
        <f t="shared" si="41"/>
        <v>93</v>
      </c>
      <c r="F392" s="582">
        <f t="shared" si="46"/>
        <v>1.0333333333333332</v>
      </c>
      <c r="G392" s="603"/>
      <c r="H392" s="581"/>
      <c r="I392" s="649"/>
      <c r="J392" s="586"/>
      <c r="K392" s="586"/>
      <c r="L392" s="587"/>
      <c r="M392" s="581">
        <v>3000</v>
      </c>
      <c r="N392" s="581"/>
      <c r="O392" s="585">
        <f>N392/M392*100</f>
        <v>0</v>
      </c>
      <c r="P392" s="772">
        <v>6000</v>
      </c>
      <c r="Q392" s="581">
        <f>94-1</f>
        <v>93</v>
      </c>
      <c r="R392" s="627">
        <f t="shared" si="45"/>
        <v>1.55</v>
      </c>
      <c r="S392" s="790"/>
      <c r="T392" s="790"/>
      <c r="U392" s="790"/>
      <c r="V392" s="790"/>
      <c r="W392" s="791"/>
      <c r="X392" s="791"/>
      <c r="Y392" s="791"/>
      <c r="Z392" s="791"/>
    </row>
    <row r="393" spans="1:26" s="792" customFormat="1" ht="48" hidden="1">
      <c r="A393" s="793">
        <v>4370</v>
      </c>
      <c r="B393" s="712" t="s">
        <v>666</v>
      </c>
      <c r="C393" s="603"/>
      <c r="D393" s="581">
        <f>G393+J393+P393+M393</f>
        <v>0</v>
      </c>
      <c r="E393" s="581">
        <f>SUM(H393+K393+N393+Q393)</f>
        <v>0</v>
      </c>
      <c r="F393" s="582" t="e">
        <f>E393/D393*100</f>
        <v>#DIV/0!</v>
      </c>
      <c r="G393" s="603"/>
      <c r="H393" s="581"/>
      <c r="I393" s="649"/>
      <c r="J393" s="586"/>
      <c r="K393" s="586"/>
      <c r="L393" s="587"/>
      <c r="M393" s="581"/>
      <c r="N393" s="581"/>
      <c r="O393" s="585"/>
      <c r="P393" s="772"/>
      <c r="Q393" s="581"/>
      <c r="R393" s="585"/>
      <c r="S393" s="790"/>
      <c r="T393" s="790"/>
      <c r="U393" s="790"/>
      <c r="V393" s="790"/>
      <c r="W393" s="791"/>
      <c r="X393" s="791"/>
      <c r="Y393" s="791"/>
      <c r="Z393" s="791"/>
    </row>
    <row r="394" spans="1:26" s="792" customFormat="1" ht="60" hidden="1">
      <c r="A394" s="647">
        <v>4740</v>
      </c>
      <c r="B394" s="712" t="s">
        <v>215</v>
      </c>
      <c r="C394" s="603"/>
      <c r="D394" s="581">
        <f>G394+J394+P394+M394</f>
        <v>0</v>
      </c>
      <c r="E394" s="581">
        <f>SUM(H394+K394+N394+Q394)</f>
        <v>0</v>
      </c>
      <c r="F394" s="582" t="e">
        <f>E394/D394*100</f>
        <v>#DIV/0!</v>
      </c>
      <c r="G394" s="603"/>
      <c r="H394" s="581"/>
      <c r="I394" s="649"/>
      <c r="J394" s="586"/>
      <c r="K394" s="586"/>
      <c r="L394" s="587"/>
      <c r="M394" s="581"/>
      <c r="N394" s="581"/>
      <c r="O394" s="585"/>
      <c r="P394" s="772"/>
      <c r="Q394" s="581"/>
      <c r="R394" s="627"/>
      <c r="S394" s="790"/>
      <c r="T394" s="790"/>
      <c r="U394" s="790"/>
      <c r="V394" s="790"/>
      <c r="W394" s="791"/>
      <c r="X394" s="791"/>
      <c r="Y394" s="791"/>
      <c r="Z394" s="791"/>
    </row>
    <row r="395" spans="1:26" s="792" customFormat="1" ht="36" hidden="1">
      <c r="A395" s="647">
        <v>4750</v>
      </c>
      <c r="B395" s="712" t="s">
        <v>589</v>
      </c>
      <c r="C395" s="603"/>
      <c r="D395" s="581">
        <f>G395+J395+P395+M395</f>
        <v>0</v>
      </c>
      <c r="E395" s="581">
        <f>SUM(H395+K395+N395+Q395)</f>
        <v>0</v>
      </c>
      <c r="F395" s="582" t="e">
        <f>E395/D395*100</f>
        <v>#DIV/0!</v>
      </c>
      <c r="G395" s="603"/>
      <c r="H395" s="581"/>
      <c r="I395" s="649"/>
      <c r="J395" s="586"/>
      <c r="K395" s="586"/>
      <c r="L395" s="587"/>
      <c r="M395" s="581"/>
      <c r="N395" s="581"/>
      <c r="O395" s="585"/>
      <c r="P395" s="772"/>
      <c r="Q395" s="581"/>
      <c r="R395" s="627"/>
      <c r="S395" s="790"/>
      <c r="T395" s="790"/>
      <c r="U395" s="790"/>
      <c r="V395" s="790"/>
      <c r="W395" s="791"/>
      <c r="X395" s="791"/>
      <c r="Y395" s="791"/>
      <c r="Z395" s="791"/>
    </row>
    <row r="396" spans="1:26" s="792" customFormat="1" ht="14.25" customHeight="1" hidden="1">
      <c r="A396" s="795">
        <v>4410</v>
      </c>
      <c r="B396" s="687" t="s">
        <v>173</v>
      </c>
      <c r="C396" s="674"/>
      <c r="D396" s="581">
        <f>G396+J396+P396+M396</f>
        <v>0</v>
      </c>
      <c r="E396" s="581">
        <f>SUM(H396+K396+N396+Q396)</f>
        <v>0</v>
      </c>
      <c r="F396" s="582"/>
      <c r="G396" s="674"/>
      <c r="H396" s="675"/>
      <c r="I396" s="689"/>
      <c r="J396" s="676"/>
      <c r="K396" s="676"/>
      <c r="L396" s="677"/>
      <c r="M396" s="675"/>
      <c r="N396" s="675"/>
      <c r="O396" s="679"/>
      <c r="P396" s="796"/>
      <c r="Q396" s="675"/>
      <c r="R396" s="585"/>
      <c r="S396" s="790"/>
      <c r="T396" s="790"/>
      <c r="U396" s="790"/>
      <c r="V396" s="790"/>
      <c r="W396" s="791"/>
      <c r="X396" s="791"/>
      <c r="Y396" s="791"/>
      <c r="Z396" s="791"/>
    </row>
    <row r="397" spans="1:26" s="792" customFormat="1" ht="27.75" customHeight="1">
      <c r="A397" s="789">
        <v>75075</v>
      </c>
      <c r="B397" s="742" t="s">
        <v>667</v>
      </c>
      <c r="C397" s="608">
        <f>SUM(C398:C411)+C422+C437</f>
        <v>2547949</v>
      </c>
      <c r="D397" s="595">
        <f t="shared" si="44"/>
        <v>2612119</v>
      </c>
      <c r="E397" s="595">
        <f t="shared" si="44"/>
        <v>176606</v>
      </c>
      <c r="F397" s="596">
        <f t="shared" si="46"/>
        <v>6.761024287178341</v>
      </c>
      <c r="G397" s="608">
        <f>SUM(G398:G411)+G422+G437</f>
        <v>2612119</v>
      </c>
      <c r="H397" s="595">
        <f>SUM(H398:H411)+H422+H437</f>
        <v>176606</v>
      </c>
      <c r="I397" s="602">
        <f aca="true" t="shared" si="47" ref="I397:I460">H397/G397*100</f>
        <v>6.761024287178341</v>
      </c>
      <c r="J397" s="600"/>
      <c r="K397" s="600"/>
      <c r="L397" s="602"/>
      <c r="M397" s="595"/>
      <c r="N397" s="595"/>
      <c r="O397" s="684"/>
      <c r="P397" s="595"/>
      <c r="Q397" s="595"/>
      <c r="R397" s="682"/>
      <c r="S397" s="790"/>
      <c r="T397" s="790"/>
      <c r="U397" s="790"/>
      <c r="V397" s="790"/>
      <c r="W397" s="791"/>
      <c r="X397" s="791"/>
      <c r="Y397" s="791"/>
      <c r="Z397" s="791"/>
    </row>
    <row r="398" spans="1:26" s="529" customFormat="1" ht="84" hidden="1">
      <c r="A398" s="793">
        <v>2820</v>
      </c>
      <c r="B398" s="651" t="s">
        <v>668</v>
      </c>
      <c r="C398" s="606"/>
      <c r="D398" s="615">
        <f t="shared" si="44"/>
        <v>0</v>
      </c>
      <c r="E398" s="615">
        <f t="shared" si="44"/>
        <v>0</v>
      </c>
      <c r="F398" s="582" t="e">
        <f t="shared" si="46"/>
        <v>#DIV/0!</v>
      </c>
      <c r="G398" s="606"/>
      <c r="H398" s="615"/>
      <c r="I398" s="585" t="e">
        <f t="shared" si="47"/>
        <v>#DIV/0!</v>
      </c>
      <c r="J398" s="618"/>
      <c r="K398" s="618"/>
      <c r="L398" s="590"/>
      <c r="M398" s="615"/>
      <c r="N398" s="615"/>
      <c r="O398" s="686"/>
      <c r="P398" s="615"/>
      <c r="Q398" s="615"/>
      <c r="R398" s="590"/>
      <c r="S398" s="527"/>
      <c r="T398" s="527"/>
      <c r="U398" s="527"/>
      <c r="V398" s="527"/>
      <c r="W398" s="528"/>
      <c r="X398" s="528"/>
      <c r="Y398" s="528"/>
      <c r="Z398" s="528"/>
    </row>
    <row r="399" spans="1:26" s="529" customFormat="1" ht="24">
      <c r="A399" s="793">
        <v>4170</v>
      </c>
      <c r="B399" s="651" t="s">
        <v>669</v>
      </c>
      <c r="C399" s="603">
        <v>2000</v>
      </c>
      <c r="D399" s="581">
        <f>G399+J399+P399+M399</f>
        <v>2000</v>
      </c>
      <c r="E399" s="581">
        <f>H399+K399+Q399+N399</f>
        <v>0</v>
      </c>
      <c r="F399" s="582">
        <f>E399/D399*100</f>
        <v>0</v>
      </c>
      <c r="G399" s="603">
        <v>2000</v>
      </c>
      <c r="H399" s="581"/>
      <c r="I399" s="585">
        <f t="shared" si="47"/>
        <v>0</v>
      </c>
      <c r="J399" s="586"/>
      <c r="K399" s="586"/>
      <c r="L399" s="585"/>
      <c r="M399" s="581"/>
      <c r="N399" s="581"/>
      <c r="O399" s="649"/>
      <c r="P399" s="581"/>
      <c r="Q399" s="581"/>
      <c r="R399" s="585"/>
      <c r="S399" s="527"/>
      <c r="T399" s="527"/>
      <c r="U399" s="527"/>
      <c r="V399" s="527"/>
      <c r="W399" s="528"/>
      <c r="X399" s="528"/>
      <c r="Y399" s="528"/>
      <c r="Z399" s="528"/>
    </row>
    <row r="400" spans="1:26" s="529" customFormat="1" ht="24" customHeight="1">
      <c r="A400" s="793">
        <v>4210</v>
      </c>
      <c r="B400" s="651" t="s">
        <v>670</v>
      </c>
      <c r="C400" s="603">
        <v>50000</v>
      </c>
      <c r="D400" s="581">
        <f>G400+J400+P400+M400</f>
        <v>50000</v>
      </c>
      <c r="E400" s="581">
        <f>H400+K400+Q400+N400</f>
        <v>13000</v>
      </c>
      <c r="F400" s="582">
        <f>E400/D400*100</f>
        <v>26</v>
      </c>
      <c r="G400" s="603">
        <v>50000</v>
      </c>
      <c r="H400" s="581">
        <v>13000</v>
      </c>
      <c r="I400" s="585">
        <f t="shared" si="47"/>
        <v>26</v>
      </c>
      <c r="J400" s="586"/>
      <c r="K400" s="586"/>
      <c r="L400" s="585"/>
      <c r="M400" s="581"/>
      <c r="N400" s="581"/>
      <c r="O400" s="649"/>
      <c r="P400" s="581"/>
      <c r="Q400" s="581"/>
      <c r="R400" s="585"/>
      <c r="S400" s="527"/>
      <c r="T400" s="527"/>
      <c r="U400" s="527"/>
      <c r="V400" s="527"/>
      <c r="W400" s="528"/>
      <c r="X400" s="528"/>
      <c r="Y400" s="528"/>
      <c r="Z400" s="528"/>
    </row>
    <row r="401" spans="1:26" s="529" customFormat="1" ht="24" customHeight="1">
      <c r="A401" s="793">
        <v>4210</v>
      </c>
      <c r="B401" s="651" t="s">
        <v>671</v>
      </c>
      <c r="C401" s="603">
        <v>10000</v>
      </c>
      <c r="D401" s="581">
        <f>G401+J401+P401+M401</f>
        <v>10000</v>
      </c>
      <c r="E401" s="581">
        <f t="shared" si="44"/>
        <v>3075</v>
      </c>
      <c r="F401" s="582">
        <f>E401/D401*100</f>
        <v>30.75</v>
      </c>
      <c r="G401" s="603">
        <v>10000</v>
      </c>
      <c r="H401" s="581">
        <v>3075</v>
      </c>
      <c r="I401" s="585">
        <f t="shared" si="47"/>
        <v>30.75</v>
      </c>
      <c r="J401" s="586"/>
      <c r="K401" s="586"/>
      <c r="L401" s="585"/>
      <c r="M401" s="581"/>
      <c r="N401" s="581"/>
      <c r="O401" s="649"/>
      <c r="P401" s="581"/>
      <c r="Q401" s="581"/>
      <c r="R401" s="585"/>
      <c r="S401" s="527"/>
      <c r="T401" s="527"/>
      <c r="U401" s="527"/>
      <c r="V401" s="527"/>
      <c r="W401" s="528"/>
      <c r="X401" s="528"/>
      <c r="Y401" s="528"/>
      <c r="Z401" s="528"/>
    </row>
    <row r="402" spans="1:26" s="529" customFormat="1" ht="15.75" customHeight="1">
      <c r="A402" s="793">
        <v>4260</v>
      </c>
      <c r="B402" s="651" t="s">
        <v>276</v>
      </c>
      <c r="C402" s="603">
        <v>1800</v>
      </c>
      <c r="D402" s="581">
        <f>G402+J402+P402+M402</f>
        <v>1800</v>
      </c>
      <c r="E402" s="581">
        <f>H402+K402+Q402+N402</f>
        <v>366</v>
      </c>
      <c r="F402" s="582">
        <f>E402/D402*100</f>
        <v>20.333333333333332</v>
      </c>
      <c r="G402" s="603">
        <v>1800</v>
      </c>
      <c r="H402" s="581">
        <v>366</v>
      </c>
      <c r="I402" s="585">
        <f t="shared" si="47"/>
        <v>20.333333333333332</v>
      </c>
      <c r="J402" s="586"/>
      <c r="K402" s="586"/>
      <c r="L402" s="585"/>
      <c r="M402" s="581"/>
      <c r="N402" s="581"/>
      <c r="O402" s="649"/>
      <c r="P402" s="581"/>
      <c r="Q402" s="581"/>
      <c r="R402" s="585"/>
      <c r="S402" s="527"/>
      <c r="T402" s="527"/>
      <c r="U402" s="527"/>
      <c r="V402" s="527"/>
      <c r="W402" s="528"/>
      <c r="X402" s="528"/>
      <c r="Y402" s="528"/>
      <c r="Z402" s="528"/>
    </row>
    <row r="403" spans="1:26" s="529" customFormat="1" ht="24">
      <c r="A403" s="793">
        <v>4300</v>
      </c>
      <c r="B403" s="651" t="s">
        <v>673</v>
      </c>
      <c r="C403" s="603">
        <v>100000</v>
      </c>
      <c r="D403" s="581">
        <f t="shared" si="44"/>
        <v>100000</v>
      </c>
      <c r="E403" s="581">
        <f t="shared" si="44"/>
        <v>11682</v>
      </c>
      <c r="F403" s="582">
        <f t="shared" si="46"/>
        <v>11.681999999999999</v>
      </c>
      <c r="G403" s="603">
        <v>100000</v>
      </c>
      <c r="H403" s="581">
        <f>11681+1</f>
        <v>11682</v>
      </c>
      <c r="I403" s="585">
        <f t="shared" si="47"/>
        <v>11.681999999999999</v>
      </c>
      <c r="J403" s="586"/>
      <c r="K403" s="581"/>
      <c r="L403" s="585"/>
      <c r="M403" s="581"/>
      <c r="N403" s="581"/>
      <c r="O403" s="649"/>
      <c r="P403" s="581"/>
      <c r="Q403" s="581"/>
      <c r="R403" s="585"/>
      <c r="S403" s="527"/>
      <c r="T403" s="527"/>
      <c r="U403" s="527"/>
      <c r="V403" s="527"/>
      <c r="W403" s="528"/>
      <c r="X403" s="528"/>
      <c r="Y403" s="528"/>
      <c r="Z403" s="528"/>
    </row>
    <row r="404" spans="1:26" s="529" customFormat="1" ht="24">
      <c r="A404" s="793">
        <v>4300</v>
      </c>
      <c r="B404" s="651" t="s">
        <v>277</v>
      </c>
      <c r="C404" s="603">
        <v>40000</v>
      </c>
      <c r="D404" s="581">
        <f>G404+J404+P404+M404</f>
        <v>40000</v>
      </c>
      <c r="E404" s="581">
        <f>H404+K404+Q404+N404</f>
        <v>0</v>
      </c>
      <c r="F404" s="582">
        <f>E404/D404*100</f>
        <v>0</v>
      </c>
      <c r="G404" s="603">
        <v>40000</v>
      </c>
      <c r="H404" s="581"/>
      <c r="I404" s="585">
        <f t="shared" si="47"/>
        <v>0</v>
      </c>
      <c r="J404" s="586"/>
      <c r="K404" s="581"/>
      <c r="L404" s="585"/>
      <c r="M404" s="581"/>
      <c r="N404" s="581"/>
      <c r="O404" s="649"/>
      <c r="P404" s="581"/>
      <c r="Q404" s="581"/>
      <c r="R404" s="585"/>
      <c r="S404" s="527"/>
      <c r="T404" s="527"/>
      <c r="U404" s="527"/>
      <c r="V404" s="527"/>
      <c r="W404" s="528"/>
      <c r="X404" s="528"/>
      <c r="Y404" s="528"/>
      <c r="Z404" s="528"/>
    </row>
    <row r="405" spans="1:26" s="529" customFormat="1" ht="24">
      <c r="A405" s="793">
        <v>4300</v>
      </c>
      <c r="B405" s="651" t="s">
        <v>672</v>
      </c>
      <c r="C405" s="603">
        <v>900000</v>
      </c>
      <c r="D405" s="581">
        <f>G405+J405+P405+M405</f>
        <v>898900</v>
      </c>
      <c r="E405" s="581">
        <f t="shared" si="44"/>
        <v>141564</v>
      </c>
      <c r="F405" s="582">
        <f>E405/D405*100</f>
        <v>15.748581599733008</v>
      </c>
      <c r="G405" s="603">
        <f>900000-1100</f>
        <v>898900</v>
      </c>
      <c r="H405" s="581">
        <v>141564</v>
      </c>
      <c r="I405" s="585">
        <f t="shared" si="47"/>
        <v>15.748581599733008</v>
      </c>
      <c r="J405" s="586"/>
      <c r="K405" s="581"/>
      <c r="L405" s="585"/>
      <c r="M405" s="581"/>
      <c r="N405" s="581"/>
      <c r="O405" s="649"/>
      <c r="P405" s="581"/>
      <c r="Q405" s="581"/>
      <c r="R405" s="585"/>
      <c r="S405" s="527"/>
      <c r="T405" s="527"/>
      <c r="U405" s="527"/>
      <c r="V405" s="527"/>
      <c r="W405" s="528"/>
      <c r="X405" s="528"/>
      <c r="Y405" s="528"/>
      <c r="Z405" s="528"/>
    </row>
    <row r="406" spans="1:26" s="792" customFormat="1" ht="24">
      <c r="A406" s="793">
        <v>4300</v>
      </c>
      <c r="B406" s="651" t="s">
        <v>674</v>
      </c>
      <c r="C406" s="603">
        <v>1300000</v>
      </c>
      <c r="D406" s="581">
        <f t="shared" si="44"/>
        <v>1300000</v>
      </c>
      <c r="E406" s="581">
        <f t="shared" si="44"/>
        <v>0</v>
      </c>
      <c r="F406" s="582">
        <f t="shared" si="46"/>
        <v>0</v>
      </c>
      <c r="G406" s="603">
        <v>1300000</v>
      </c>
      <c r="H406" s="581"/>
      <c r="I406" s="627">
        <f t="shared" si="47"/>
        <v>0</v>
      </c>
      <c r="J406" s="586"/>
      <c r="K406" s="581"/>
      <c r="L406" s="585"/>
      <c r="M406" s="581"/>
      <c r="N406" s="581"/>
      <c r="O406" s="649"/>
      <c r="P406" s="581"/>
      <c r="Q406" s="581"/>
      <c r="R406" s="585"/>
      <c r="S406" s="790"/>
      <c r="T406" s="790"/>
      <c r="U406" s="790"/>
      <c r="V406" s="790"/>
      <c r="W406" s="791"/>
      <c r="X406" s="791"/>
      <c r="Y406" s="791"/>
      <c r="Z406" s="791"/>
    </row>
    <row r="407" spans="1:26" s="792" customFormat="1" ht="24">
      <c r="A407" s="793">
        <v>4430</v>
      </c>
      <c r="B407" s="651" t="s">
        <v>466</v>
      </c>
      <c r="C407" s="603"/>
      <c r="D407" s="581">
        <f>G407+J407+P407+M407</f>
        <v>1100</v>
      </c>
      <c r="E407" s="581">
        <f>H407+K407+Q407+N407</f>
        <v>1100</v>
      </c>
      <c r="F407" s="582">
        <f>E407/D407*100</f>
        <v>100</v>
      </c>
      <c r="G407" s="603">
        <v>1100</v>
      </c>
      <c r="H407" s="581">
        <v>1100</v>
      </c>
      <c r="I407" s="627">
        <f t="shared" si="47"/>
        <v>100</v>
      </c>
      <c r="J407" s="586"/>
      <c r="K407" s="581"/>
      <c r="L407" s="585"/>
      <c r="M407" s="581"/>
      <c r="N407" s="581"/>
      <c r="O407" s="649"/>
      <c r="P407" s="581"/>
      <c r="Q407" s="581"/>
      <c r="R407" s="585"/>
      <c r="S407" s="790"/>
      <c r="T407" s="790"/>
      <c r="U407" s="790"/>
      <c r="V407" s="790"/>
      <c r="W407" s="791"/>
      <c r="X407" s="791"/>
      <c r="Y407" s="791"/>
      <c r="Z407" s="791"/>
    </row>
    <row r="408" spans="1:26" s="792" customFormat="1" ht="39" customHeight="1">
      <c r="A408" s="647">
        <v>4400</v>
      </c>
      <c r="B408" s="651" t="s">
        <v>433</v>
      </c>
      <c r="C408" s="603">
        <v>7200</v>
      </c>
      <c r="D408" s="581">
        <f t="shared" si="44"/>
        <v>7200</v>
      </c>
      <c r="E408" s="581">
        <f t="shared" si="44"/>
        <v>1793</v>
      </c>
      <c r="F408" s="582">
        <f t="shared" si="46"/>
        <v>24.902777777777775</v>
      </c>
      <c r="G408" s="603">
        <v>7200</v>
      </c>
      <c r="H408" s="581">
        <v>1793</v>
      </c>
      <c r="I408" s="627">
        <f t="shared" si="47"/>
        <v>24.902777777777775</v>
      </c>
      <c r="J408" s="586"/>
      <c r="K408" s="581"/>
      <c r="L408" s="585"/>
      <c r="M408" s="581"/>
      <c r="N408" s="581"/>
      <c r="O408" s="649"/>
      <c r="P408" s="581"/>
      <c r="Q408" s="581"/>
      <c r="R408" s="585"/>
      <c r="S408" s="790"/>
      <c r="T408" s="790"/>
      <c r="U408" s="790"/>
      <c r="V408" s="790"/>
      <c r="W408" s="791"/>
      <c r="X408" s="791"/>
      <c r="Y408" s="791"/>
      <c r="Z408" s="791"/>
    </row>
    <row r="409" spans="1:26" s="529" customFormat="1" ht="24">
      <c r="A409" s="793">
        <v>4350</v>
      </c>
      <c r="B409" s="651" t="s">
        <v>675</v>
      </c>
      <c r="C409" s="603">
        <v>80000</v>
      </c>
      <c r="D409" s="581">
        <f t="shared" si="44"/>
        <v>80000</v>
      </c>
      <c r="E409" s="581">
        <f t="shared" si="44"/>
        <v>4026</v>
      </c>
      <c r="F409" s="582">
        <f t="shared" si="46"/>
        <v>5.0325</v>
      </c>
      <c r="G409" s="603">
        <v>80000</v>
      </c>
      <c r="H409" s="581">
        <v>4026</v>
      </c>
      <c r="I409" s="585">
        <f t="shared" si="47"/>
        <v>5.0325</v>
      </c>
      <c r="J409" s="586"/>
      <c r="K409" s="581"/>
      <c r="L409" s="585"/>
      <c r="M409" s="581"/>
      <c r="N409" s="581"/>
      <c r="O409" s="649"/>
      <c r="P409" s="581"/>
      <c r="Q409" s="581"/>
      <c r="R409" s="585"/>
      <c r="S409" s="527"/>
      <c r="T409" s="527"/>
      <c r="U409" s="527"/>
      <c r="V409" s="527"/>
      <c r="W409" s="528"/>
      <c r="X409" s="528"/>
      <c r="Y409" s="528"/>
      <c r="Z409" s="528"/>
    </row>
    <row r="410" spans="1:26" s="529" customFormat="1" ht="48" hidden="1">
      <c r="A410" s="793">
        <v>6060</v>
      </c>
      <c r="B410" s="651" t="s">
        <v>628</v>
      </c>
      <c r="C410" s="603"/>
      <c r="D410" s="581">
        <f>G410+J410+P410+M410</f>
        <v>0</v>
      </c>
      <c r="E410" s="581">
        <f>H410+K410+Q410+N410</f>
        <v>0</v>
      </c>
      <c r="F410" s="582" t="e">
        <f>E410/D410*100</f>
        <v>#DIV/0!</v>
      </c>
      <c r="G410" s="603"/>
      <c r="H410" s="581"/>
      <c r="I410" s="585" t="e">
        <f t="shared" si="47"/>
        <v>#DIV/0!</v>
      </c>
      <c r="J410" s="586"/>
      <c r="K410" s="581"/>
      <c r="L410" s="585"/>
      <c r="M410" s="581"/>
      <c r="N410" s="581"/>
      <c r="O410" s="649"/>
      <c r="P410" s="581"/>
      <c r="Q410" s="581"/>
      <c r="R410" s="585"/>
      <c r="S410" s="527"/>
      <c r="T410" s="527"/>
      <c r="U410" s="527"/>
      <c r="V410" s="527"/>
      <c r="W410" s="528"/>
      <c r="X410" s="528"/>
      <c r="Y410" s="528"/>
      <c r="Z410" s="528"/>
    </row>
    <row r="411" spans="1:26" s="792" customFormat="1" ht="60">
      <c r="A411" s="797"/>
      <c r="B411" s="798" t="s">
        <v>467</v>
      </c>
      <c r="C411" s="659">
        <f>SUM(C412:C421)</f>
        <v>56949</v>
      </c>
      <c r="D411" s="660">
        <f t="shared" si="44"/>
        <v>56949</v>
      </c>
      <c r="E411" s="660">
        <f t="shared" si="44"/>
        <v>0</v>
      </c>
      <c r="F411" s="582">
        <f t="shared" si="46"/>
        <v>0</v>
      </c>
      <c r="G411" s="659">
        <f>SUM(G412:G421)</f>
        <v>56949</v>
      </c>
      <c r="H411" s="799">
        <f>SUM(H412:H421)</f>
        <v>0</v>
      </c>
      <c r="I411" s="627">
        <f t="shared" si="47"/>
        <v>0</v>
      </c>
      <c r="J411" s="661"/>
      <c r="K411" s="660"/>
      <c r="L411" s="665"/>
      <c r="M411" s="660"/>
      <c r="N411" s="660"/>
      <c r="O411" s="800"/>
      <c r="P411" s="660"/>
      <c r="Q411" s="660"/>
      <c r="R411" s="801"/>
      <c r="S411" s="790"/>
      <c r="T411" s="790"/>
      <c r="U411" s="790"/>
      <c r="V411" s="790"/>
      <c r="W411" s="791"/>
      <c r="X411" s="791"/>
      <c r="Y411" s="791"/>
      <c r="Z411" s="791"/>
    </row>
    <row r="412" spans="1:26" s="792" customFormat="1" ht="26.25" customHeight="1">
      <c r="A412" s="793">
        <v>4110</v>
      </c>
      <c r="B412" s="651" t="s">
        <v>250</v>
      </c>
      <c r="C412" s="603">
        <v>1074</v>
      </c>
      <c r="D412" s="581">
        <f t="shared" si="44"/>
        <v>1074</v>
      </c>
      <c r="E412" s="581">
        <f t="shared" si="44"/>
        <v>0</v>
      </c>
      <c r="F412" s="582">
        <f t="shared" si="46"/>
        <v>0</v>
      </c>
      <c r="G412" s="603">
        <v>1074</v>
      </c>
      <c r="H412" s="581"/>
      <c r="I412" s="627">
        <f t="shared" si="47"/>
        <v>0</v>
      </c>
      <c r="J412" s="586"/>
      <c r="K412" s="581"/>
      <c r="L412" s="585"/>
      <c r="M412" s="581"/>
      <c r="N412" s="581"/>
      <c r="O412" s="649"/>
      <c r="P412" s="581"/>
      <c r="Q412" s="581"/>
      <c r="R412" s="585"/>
      <c r="S412" s="790"/>
      <c r="T412" s="790"/>
      <c r="U412" s="790"/>
      <c r="V412" s="790"/>
      <c r="W412" s="791"/>
      <c r="X412" s="791"/>
      <c r="Y412" s="791"/>
      <c r="Z412" s="791"/>
    </row>
    <row r="413" spans="1:26" s="792" customFormat="1" ht="12.75">
      <c r="A413" s="793">
        <v>4120</v>
      </c>
      <c r="B413" s="651" t="s">
        <v>619</v>
      </c>
      <c r="C413" s="603">
        <v>166</v>
      </c>
      <c r="D413" s="581">
        <f t="shared" si="44"/>
        <v>166</v>
      </c>
      <c r="E413" s="581">
        <f t="shared" si="44"/>
        <v>0</v>
      </c>
      <c r="F413" s="582">
        <f t="shared" si="46"/>
        <v>0</v>
      </c>
      <c r="G413" s="603">
        <v>166</v>
      </c>
      <c r="H413" s="581"/>
      <c r="I413" s="627">
        <f t="shared" si="47"/>
        <v>0</v>
      </c>
      <c r="J413" s="586"/>
      <c r="K413" s="581"/>
      <c r="L413" s="585"/>
      <c r="M413" s="581"/>
      <c r="N413" s="581"/>
      <c r="O413" s="649"/>
      <c r="P413" s="581"/>
      <c r="Q413" s="581"/>
      <c r="R413" s="585"/>
      <c r="S413" s="790"/>
      <c r="T413" s="790"/>
      <c r="U413" s="790"/>
      <c r="V413" s="790"/>
      <c r="W413" s="791"/>
      <c r="X413" s="791"/>
      <c r="Y413" s="791"/>
      <c r="Z413" s="791"/>
    </row>
    <row r="414" spans="1:26" s="792" customFormat="1" ht="24">
      <c r="A414" s="793">
        <v>4178</v>
      </c>
      <c r="B414" s="651" t="s">
        <v>676</v>
      </c>
      <c r="C414" s="603">
        <v>5738</v>
      </c>
      <c r="D414" s="581">
        <f t="shared" si="44"/>
        <v>5738</v>
      </c>
      <c r="E414" s="581">
        <f t="shared" si="44"/>
        <v>0</v>
      </c>
      <c r="F414" s="582">
        <f t="shared" si="46"/>
        <v>0</v>
      </c>
      <c r="G414" s="603">
        <v>5738</v>
      </c>
      <c r="H414" s="581"/>
      <c r="I414" s="627">
        <f t="shared" si="47"/>
        <v>0</v>
      </c>
      <c r="J414" s="586"/>
      <c r="K414" s="581"/>
      <c r="L414" s="585"/>
      <c r="M414" s="581"/>
      <c r="N414" s="581"/>
      <c r="O414" s="649"/>
      <c r="P414" s="581"/>
      <c r="Q414" s="581"/>
      <c r="R414" s="585"/>
      <c r="S414" s="790"/>
      <c r="T414" s="790"/>
      <c r="U414" s="790"/>
      <c r="V414" s="790"/>
      <c r="W414" s="791"/>
      <c r="X414" s="791"/>
      <c r="Y414" s="791"/>
      <c r="Z414" s="791"/>
    </row>
    <row r="415" spans="1:26" s="792" customFormat="1" ht="24">
      <c r="A415" s="793">
        <v>4179</v>
      </c>
      <c r="B415" s="651" t="s">
        <v>676</v>
      </c>
      <c r="C415" s="603">
        <v>1013</v>
      </c>
      <c r="D415" s="581">
        <f t="shared" si="44"/>
        <v>1013</v>
      </c>
      <c r="E415" s="581">
        <f t="shared" si="44"/>
        <v>0</v>
      </c>
      <c r="F415" s="582">
        <f t="shared" si="46"/>
        <v>0</v>
      </c>
      <c r="G415" s="603">
        <v>1013</v>
      </c>
      <c r="H415" s="581"/>
      <c r="I415" s="627">
        <f t="shared" si="47"/>
        <v>0</v>
      </c>
      <c r="J415" s="586"/>
      <c r="K415" s="581"/>
      <c r="L415" s="585"/>
      <c r="M415" s="581"/>
      <c r="N415" s="581"/>
      <c r="O415" s="649"/>
      <c r="P415" s="581"/>
      <c r="Q415" s="581"/>
      <c r="R415" s="585"/>
      <c r="S415" s="790"/>
      <c r="T415" s="790"/>
      <c r="U415" s="790"/>
      <c r="V415" s="790"/>
      <c r="W415" s="791"/>
      <c r="X415" s="791"/>
      <c r="Y415" s="791"/>
      <c r="Z415" s="791"/>
    </row>
    <row r="416" spans="1:26" s="792" customFormat="1" ht="24">
      <c r="A416" s="793">
        <v>4218</v>
      </c>
      <c r="B416" s="651" t="s">
        <v>191</v>
      </c>
      <c r="C416" s="603">
        <v>459</v>
      </c>
      <c r="D416" s="581">
        <f t="shared" si="44"/>
        <v>459</v>
      </c>
      <c r="E416" s="581">
        <f>H416+K416+Q416+N416</f>
        <v>0</v>
      </c>
      <c r="F416" s="582">
        <f>E416/D416*100</f>
        <v>0</v>
      </c>
      <c r="G416" s="603">
        <v>459</v>
      </c>
      <c r="H416" s="581"/>
      <c r="I416" s="627">
        <f t="shared" si="47"/>
        <v>0</v>
      </c>
      <c r="J416" s="586"/>
      <c r="K416" s="581"/>
      <c r="L416" s="585"/>
      <c r="M416" s="581"/>
      <c r="N416" s="581"/>
      <c r="O416" s="649"/>
      <c r="P416" s="581"/>
      <c r="Q416" s="581"/>
      <c r="R416" s="585"/>
      <c r="S416" s="790"/>
      <c r="T416" s="790"/>
      <c r="U416" s="790"/>
      <c r="V416" s="790"/>
      <c r="W416" s="791"/>
      <c r="X416" s="791"/>
      <c r="Y416" s="791"/>
      <c r="Z416" s="791"/>
    </row>
    <row r="417" spans="1:26" s="792" customFormat="1" ht="24">
      <c r="A417" s="793">
        <v>4219</v>
      </c>
      <c r="B417" s="651" t="s">
        <v>191</v>
      </c>
      <c r="C417" s="603">
        <v>81</v>
      </c>
      <c r="D417" s="581">
        <f t="shared" si="44"/>
        <v>81</v>
      </c>
      <c r="E417" s="581">
        <f>H417+K417+Q417+N417</f>
        <v>0</v>
      </c>
      <c r="F417" s="582">
        <f>E417/D417*100</f>
        <v>0</v>
      </c>
      <c r="G417" s="603">
        <v>81</v>
      </c>
      <c r="H417" s="581"/>
      <c r="I417" s="627">
        <f t="shared" si="47"/>
        <v>0</v>
      </c>
      <c r="J417" s="586"/>
      <c r="K417" s="581"/>
      <c r="L417" s="585"/>
      <c r="M417" s="581"/>
      <c r="N417" s="581"/>
      <c r="O417" s="649"/>
      <c r="P417" s="581"/>
      <c r="Q417" s="581"/>
      <c r="R417" s="585"/>
      <c r="S417" s="790"/>
      <c r="T417" s="790"/>
      <c r="U417" s="790"/>
      <c r="V417" s="790"/>
      <c r="W417" s="791"/>
      <c r="X417" s="791"/>
      <c r="Y417" s="791"/>
      <c r="Z417" s="791"/>
    </row>
    <row r="418" spans="1:26" s="792" customFormat="1" ht="15.75" customHeight="1">
      <c r="A418" s="793">
        <v>4308</v>
      </c>
      <c r="B418" s="651" t="s">
        <v>199</v>
      </c>
      <c r="C418" s="603">
        <v>39242</v>
      </c>
      <c r="D418" s="581">
        <f t="shared" si="44"/>
        <v>39242</v>
      </c>
      <c r="E418" s="581">
        <f t="shared" si="44"/>
        <v>0</v>
      </c>
      <c r="F418" s="582">
        <f t="shared" si="46"/>
        <v>0</v>
      </c>
      <c r="G418" s="603">
        <v>39242</v>
      </c>
      <c r="H418" s="581"/>
      <c r="I418" s="627">
        <f t="shared" si="47"/>
        <v>0</v>
      </c>
      <c r="J418" s="586"/>
      <c r="K418" s="581"/>
      <c r="L418" s="585"/>
      <c r="M418" s="581"/>
      <c r="N418" s="581"/>
      <c r="O418" s="649"/>
      <c r="P418" s="581"/>
      <c r="Q418" s="581"/>
      <c r="R418" s="585"/>
      <c r="S418" s="790"/>
      <c r="T418" s="790"/>
      <c r="U418" s="790"/>
      <c r="V418" s="790"/>
      <c r="W418" s="791"/>
      <c r="X418" s="791"/>
      <c r="Y418" s="791"/>
      <c r="Z418" s="791"/>
    </row>
    <row r="419" spans="1:26" s="792" customFormat="1" ht="14.25" customHeight="1">
      <c r="A419" s="793">
        <v>4309</v>
      </c>
      <c r="B419" s="651" t="s">
        <v>199</v>
      </c>
      <c r="C419" s="603">
        <v>6925</v>
      </c>
      <c r="D419" s="581">
        <f>G419+J419+P419+M419</f>
        <v>6925</v>
      </c>
      <c r="E419" s="581">
        <f>H419+K419+Q419+N419</f>
        <v>0</v>
      </c>
      <c r="F419" s="582">
        <f t="shared" si="46"/>
        <v>0</v>
      </c>
      <c r="G419" s="603">
        <v>6925</v>
      </c>
      <c r="H419" s="581"/>
      <c r="I419" s="627">
        <f t="shared" si="47"/>
        <v>0</v>
      </c>
      <c r="J419" s="586"/>
      <c r="K419" s="581"/>
      <c r="L419" s="585"/>
      <c r="M419" s="581"/>
      <c r="N419" s="581"/>
      <c r="O419" s="649"/>
      <c r="P419" s="581"/>
      <c r="Q419" s="581"/>
      <c r="R419" s="585"/>
      <c r="S419" s="790"/>
      <c r="T419" s="790"/>
      <c r="U419" s="790"/>
      <c r="V419" s="790"/>
      <c r="W419" s="791"/>
      <c r="X419" s="791"/>
      <c r="Y419" s="791"/>
      <c r="Z419" s="791"/>
    </row>
    <row r="420" spans="1:26" s="792" customFormat="1" ht="27.75" customHeight="1">
      <c r="A420" s="793">
        <v>4388</v>
      </c>
      <c r="B420" s="651" t="s">
        <v>598</v>
      </c>
      <c r="C420" s="603">
        <v>1913</v>
      </c>
      <c r="D420" s="581">
        <f>G420+J420+P420+M420</f>
        <v>1913</v>
      </c>
      <c r="E420" s="581">
        <f>H420+K420+Q420+N420</f>
        <v>0</v>
      </c>
      <c r="F420" s="582">
        <f t="shared" si="46"/>
        <v>0</v>
      </c>
      <c r="G420" s="603">
        <v>1913</v>
      </c>
      <c r="H420" s="581"/>
      <c r="I420" s="627">
        <f t="shared" si="47"/>
        <v>0</v>
      </c>
      <c r="J420" s="586"/>
      <c r="K420" s="581"/>
      <c r="L420" s="585"/>
      <c r="M420" s="581"/>
      <c r="N420" s="581"/>
      <c r="O420" s="649"/>
      <c r="P420" s="581"/>
      <c r="Q420" s="581"/>
      <c r="R420" s="585"/>
      <c r="S420" s="790"/>
      <c r="T420" s="790"/>
      <c r="U420" s="790"/>
      <c r="V420" s="790"/>
      <c r="W420" s="791"/>
      <c r="X420" s="791"/>
      <c r="Y420" s="791"/>
      <c r="Z420" s="791"/>
    </row>
    <row r="421" spans="1:26" s="792" customFormat="1" ht="27.75" customHeight="1">
      <c r="A421" s="793">
        <v>4389</v>
      </c>
      <c r="B421" s="651" t="s">
        <v>598</v>
      </c>
      <c r="C421" s="603">
        <v>338</v>
      </c>
      <c r="D421" s="581">
        <f t="shared" si="44"/>
        <v>338</v>
      </c>
      <c r="E421" s="581">
        <f t="shared" si="44"/>
        <v>0</v>
      </c>
      <c r="F421" s="582">
        <f t="shared" si="46"/>
        <v>0</v>
      </c>
      <c r="G421" s="603">
        <v>338</v>
      </c>
      <c r="H421" s="581"/>
      <c r="I421" s="627">
        <f t="shared" si="47"/>
        <v>0</v>
      </c>
      <c r="J421" s="586"/>
      <c r="K421" s="581"/>
      <c r="L421" s="585"/>
      <c r="M421" s="581"/>
      <c r="N421" s="581"/>
      <c r="O421" s="649"/>
      <c r="P421" s="581"/>
      <c r="Q421" s="581"/>
      <c r="R421" s="585"/>
      <c r="S421" s="790"/>
      <c r="T421" s="790"/>
      <c r="U421" s="790"/>
      <c r="V421" s="790"/>
      <c r="W421" s="791"/>
      <c r="X421" s="791"/>
      <c r="Y421" s="791"/>
      <c r="Z421" s="791"/>
    </row>
    <row r="422" spans="1:26" s="792" customFormat="1" ht="60" customHeight="1">
      <c r="A422" s="657"/>
      <c r="B422" s="798" t="s">
        <v>468</v>
      </c>
      <c r="C422" s="659">
        <f>SUM(C423:C436)</f>
        <v>0</v>
      </c>
      <c r="D422" s="660">
        <f t="shared" si="44"/>
        <v>64170</v>
      </c>
      <c r="E422" s="660">
        <f t="shared" si="44"/>
        <v>0</v>
      </c>
      <c r="F422" s="582">
        <f t="shared" si="46"/>
        <v>0</v>
      </c>
      <c r="G422" s="659">
        <f>SUM(G423:G436)</f>
        <v>64170</v>
      </c>
      <c r="H422" s="660">
        <f>SUM(H423:H436)</f>
        <v>0</v>
      </c>
      <c r="I422" s="585">
        <f t="shared" si="47"/>
        <v>0</v>
      </c>
      <c r="J422" s="661"/>
      <c r="K422" s="660"/>
      <c r="L422" s="665"/>
      <c r="M422" s="660"/>
      <c r="N422" s="660"/>
      <c r="O422" s="800"/>
      <c r="P422" s="660"/>
      <c r="Q422" s="660"/>
      <c r="R422" s="665"/>
      <c r="S422" s="790"/>
      <c r="T422" s="790"/>
      <c r="U422" s="790"/>
      <c r="V422" s="790"/>
      <c r="W422" s="791"/>
      <c r="X422" s="791"/>
      <c r="Y422" s="791"/>
      <c r="Z422" s="791"/>
    </row>
    <row r="423" spans="1:26" s="529" customFormat="1" ht="25.5" customHeight="1">
      <c r="A423" s="647">
        <v>4018</v>
      </c>
      <c r="B423" s="651" t="s">
        <v>181</v>
      </c>
      <c r="C423" s="603"/>
      <c r="D423" s="581">
        <f t="shared" si="44"/>
        <v>14900</v>
      </c>
      <c r="E423" s="581">
        <f t="shared" si="44"/>
        <v>0</v>
      </c>
      <c r="F423" s="582">
        <f t="shared" si="46"/>
        <v>0</v>
      </c>
      <c r="G423" s="603">
        <v>14900</v>
      </c>
      <c r="H423" s="581"/>
      <c r="I423" s="585">
        <f t="shared" si="47"/>
        <v>0</v>
      </c>
      <c r="J423" s="586"/>
      <c r="K423" s="581"/>
      <c r="L423" s="585"/>
      <c r="M423" s="581"/>
      <c r="N423" s="581"/>
      <c r="O423" s="649"/>
      <c r="P423" s="581"/>
      <c r="Q423" s="581"/>
      <c r="R423" s="585"/>
      <c r="S423" s="527"/>
      <c r="T423" s="527"/>
      <c r="U423" s="527"/>
      <c r="V423" s="527"/>
      <c r="W423" s="528"/>
      <c r="X423" s="528"/>
      <c r="Y423" s="528"/>
      <c r="Z423" s="528"/>
    </row>
    <row r="424" spans="1:26" s="529" customFormat="1" ht="25.5" customHeight="1">
      <c r="A424" s="647">
        <v>4019</v>
      </c>
      <c r="B424" s="651" t="s">
        <v>181</v>
      </c>
      <c r="C424" s="603"/>
      <c r="D424" s="581">
        <f t="shared" si="44"/>
        <v>2750</v>
      </c>
      <c r="E424" s="581">
        <f t="shared" si="44"/>
        <v>0</v>
      </c>
      <c r="F424" s="582">
        <f>E424/D424*100</f>
        <v>0</v>
      </c>
      <c r="G424" s="603">
        <v>2750</v>
      </c>
      <c r="H424" s="581"/>
      <c r="I424" s="585">
        <f t="shared" si="47"/>
        <v>0</v>
      </c>
      <c r="J424" s="586"/>
      <c r="K424" s="581"/>
      <c r="L424" s="585"/>
      <c r="M424" s="581"/>
      <c r="N424" s="581"/>
      <c r="O424" s="649"/>
      <c r="P424" s="581"/>
      <c r="Q424" s="581"/>
      <c r="R424" s="585"/>
      <c r="S424" s="527"/>
      <c r="T424" s="527"/>
      <c r="U424" s="527"/>
      <c r="V424" s="527"/>
      <c r="W424" s="528"/>
      <c r="X424" s="528"/>
      <c r="Y424" s="528"/>
      <c r="Z424" s="528"/>
    </row>
    <row r="425" spans="1:26" s="529" customFormat="1" ht="23.25" customHeight="1">
      <c r="A425" s="647">
        <v>4118</v>
      </c>
      <c r="B425" s="651" t="s">
        <v>187</v>
      </c>
      <c r="C425" s="603"/>
      <c r="D425" s="581">
        <f t="shared" si="44"/>
        <v>2260</v>
      </c>
      <c r="E425" s="581">
        <f t="shared" si="44"/>
        <v>0</v>
      </c>
      <c r="F425" s="582">
        <f>E425/D425*100</f>
        <v>0</v>
      </c>
      <c r="G425" s="603">
        <v>2260</v>
      </c>
      <c r="H425" s="581"/>
      <c r="I425" s="585">
        <f t="shared" si="47"/>
        <v>0</v>
      </c>
      <c r="J425" s="586"/>
      <c r="K425" s="581"/>
      <c r="L425" s="585"/>
      <c r="M425" s="581"/>
      <c r="N425" s="581"/>
      <c r="O425" s="649"/>
      <c r="P425" s="581"/>
      <c r="Q425" s="581"/>
      <c r="R425" s="585"/>
      <c r="S425" s="527"/>
      <c r="T425" s="527"/>
      <c r="U425" s="527"/>
      <c r="V425" s="527"/>
      <c r="W425" s="528"/>
      <c r="X425" s="528"/>
      <c r="Y425" s="528"/>
      <c r="Z425" s="528"/>
    </row>
    <row r="426" spans="1:26" s="529" customFormat="1" ht="26.25" customHeight="1">
      <c r="A426" s="647">
        <v>4119</v>
      </c>
      <c r="B426" s="651" t="s">
        <v>187</v>
      </c>
      <c r="C426" s="603"/>
      <c r="D426" s="581">
        <f t="shared" si="44"/>
        <v>420</v>
      </c>
      <c r="E426" s="581">
        <f t="shared" si="44"/>
        <v>0</v>
      </c>
      <c r="F426" s="582">
        <f>E426/D426*100</f>
        <v>0</v>
      </c>
      <c r="G426" s="603">
        <v>420</v>
      </c>
      <c r="H426" s="581"/>
      <c r="I426" s="585">
        <f t="shared" si="47"/>
        <v>0</v>
      </c>
      <c r="J426" s="586"/>
      <c r="K426" s="581"/>
      <c r="L426" s="585"/>
      <c r="M426" s="581"/>
      <c r="N426" s="581"/>
      <c r="O426" s="649"/>
      <c r="P426" s="581"/>
      <c r="Q426" s="581"/>
      <c r="R426" s="585"/>
      <c r="S426" s="527"/>
      <c r="T426" s="527"/>
      <c r="U426" s="527"/>
      <c r="V426" s="527"/>
      <c r="W426" s="528"/>
      <c r="X426" s="528"/>
      <c r="Y426" s="528"/>
      <c r="Z426" s="528"/>
    </row>
    <row r="427" spans="1:26" s="529" customFormat="1" ht="12.75">
      <c r="A427" s="647">
        <v>4128</v>
      </c>
      <c r="B427" s="651" t="s">
        <v>619</v>
      </c>
      <c r="C427" s="603"/>
      <c r="D427" s="581">
        <f t="shared" si="44"/>
        <v>380</v>
      </c>
      <c r="E427" s="581">
        <f t="shared" si="44"/>
        <v>0</v>
      </c>
      <c r="F427" s="582">
        <f>E427/D427*100</f>
        <v>0</v>
      </c>
      <c r="G427" s="603">
        <v>380</v>
      </c>
      <c r="H427" s="581"/>
      <c r="I427" s="585">
        <f t="shared" si="47"/>
        <v>0</v>
      </c>
      <c r="J427" s="586"/>
      <c r="K427" s="581"/>
      <c r="L427" s="585"/>
      <c r="M427" s="581"/>
      <c r="N427" s="581"/>
      <c r="O427" s="649"/>
      <c r="P427" s="581"/>
      <c r="Q427" s="581"/>
      <c r="R427" s="585"/>
      <c r="S427" s="527"/>
      <c r="T427" s="527"/>
      <c r="U427" s="527"/>
      <c r="V427" s="527"/>
      <c r="W427" s="528"/>
      <c r="X427" s="528"/>
      <c r="Y427" s="528"/>
      <c r="Z427" s="528"/>
    </row>
    <row r="428" spans="1:26" s="529" customFormat="1" ht="12.75">
      <c r="A428" s="647">
        <v>4129</v>
      </c>
      <c r="B428" s="651" t="s">
        <v>619</v>
      </c>
      <c r="C428" s="603"/>
      <c r="D428" s="581">
        <f t="shared" si="44"/>
        <v>70</v>
      </c>
      <c r="E428" s="581">
        <f t="shared" si="44"/>
        <v>0</v>
      </c>
      <c r="F428" s="582">
        <f t="shared" si="46"/>
        <v>0</v>
      </c>
      <c r="G428" s="603">
        <v>70</v>
      </c>
      <c r="H428" s="581"/>
      <c r="I428" s="585">
        <f t="shared" si="47"/>
        <v>0</v>
      </c>
      <c r="J428" s="586"/>
      <c r="K428" s="581"/>
      <c r="L428" s="585"/>
      <c r="M428" s="581"/>
      <c r="N428" s="581"/>
      <c r="O428" s="649"/>
      <c r="P428" s="581"/>
      <c r="Q428" s="581"/>
      <c r="R428" s="585"/>
      <c r="S428" s="527"/>
      <c r="T428" s="527"/>
      <c r="U428" s="527"/>
      <c r="V428" s="527"/>
      <c r="W428" s="528"/>
      <c r="X428" s="528"/>
      <c r="Y428" s="528"/>
      <c r="Z428" s="528"/>
    </row>
    <row r="429" spans="1:26" s="529" customFormat="1" ht="24">
      <c r="A429" s="647">
        <v>4218</v>
      </c>
      <c r="B429" s="651" t="s">
        <v>191</v>
      </c>
      <c r="C429" s="603"/>
      <c r="D429" s="581">
        <f>G429+J429+P429+M429</f>
        <v>1000</v>
      </c>
      <c r="E429" s="581">
        <f>H429+K429+Q429+N429</f>
        <v>0</v>
      </c>
      <c r="F429" s="582">
        <f>E429/D429*100</f>
        <v>0</v>
      </c>
      <c r="G429" s="603">
        <v>1000</v>
      </c>
      <c r="H429" s="581"/>
      <c r="I429" s="585">
        <f t="shared" si="47"/>
        <v>0</v>
      </c>
      <c r="J429" s="586"/>
      <c r="K429" s="581"/>
      <c r="L429" s="585"/>
      <c r="M429" s="581"/>
      <c r="N429" s="581"/>
      <c r="O429" s="649"/>
      <c r="P429" s="581"/>
      <c r="Q429" s="581"/>
      <c r="R429" s="585"/>
      <c r="S429" s="527"/>
      <c r="T429" s="527"/>
      <c r="U429" s="527"/>
      <c r="V429" s="527"/>
      <c r="W429" s="528"/>
      <c r="X429" s="528"/>
      <c r="Y429" s="528"/>
      <c r="Z429" s="528"/>
    </row>
    <row r="430" spans="1:26" s="529" customFormat="1" ht="24">
      <c r="A430" s="647">
        <v>4219</v>
      </c>
      <c r="B430" s="651" t="s">
        <v>191</v>
      </c>
      <c r="C430" s="603"/>
      <c r="D430" s="581">
        <f>G430+J430+P430+M430</f>
        <v>190</v>
      </c>
      <c r="E430" s="581">
        <f>H430+K430+Q430+N430</f>
        <v>0</v>
      </c>
      <c r="F430" s="582">
        <f>E430/D430*100</f>
        <v>0</v>
      </c>
      <c r="G430" s="603">
        <v>190</v>
      </c>
      <c r="H430" s="581"/>
      <c r="I430" s="585">
        <f t="shared" si="47"/>
        <v>0</v>
      </c>
      <c r="J430" s="586"/>
      <c r="K430" s="581"/>
      <c r="L430" s="585"/>
      <c r="M430" s="581"/>
      <c r="N430" s="581"/>
      <c r="O430" s="649"/>
      <c r="P430" s="581"/>
      <c r="Q430" s="581"/>
      <c r="R430" s="585"/>
      <c r="S430" s="527"/>
      <c r="T430" s="527"/>
      <c r="U430" s="527"/>
      <c r="V430" s="527"/>
      <c r="W430" s="528"/>
      <c r="X430" s="528"/>
      <c r="Y430" s="528"/>
      <c r="Z430" s="528"/>
    </row>
    <row r="431" spans="1:26" s="792" customFormat="1" ht="18.75" customHeight="1">
      <c r="A431" s="793">
        <v>4308</v>
      </c>
      <c r="B431" s="651" t="s">
        <v>199</v>
      </c>
      <c r="C431" s="603"/>
      <c r="D431" s="581">
        <f t="shared" si="44"/>
        <v>500</v>
      </c>
      <c r="E431" s="581">
        <f t="shared" si="44"/>
        <v>0</v>
      </c>
      <c r="F431" s="582">
        <f t="shared" si="46"/>
        <v>0</v>
      </c>
      <c r="G431" s="603">
        <v>500</v>
      </c>
      <c r="H431" s="581"/>
      <c r="I431" s="585">
        <f t="shared" si="47"/>
        <v>0</v>
      </c>
      <c r="J431" s="661"/>
      <c r="K431" s="660"/>
      <c r="L431" s="665"/>
      <c r="M431" s="660"/>
      <c r="N431" s="660"/>
      <c r="O431" s="800"/>
      <c r="P431" s="660"/>
      <c r="Q431" s="660"/>
      <c r="R431" s="665"/>
      <c r="S431" s="790"/>
      <c r="T431" s="790"/>
      <c r="U431" s="790"/>
      <c r="V431" s="790"/>
      <c r="W431" s="791"/>
      <c r="X431" s="791"/>
      <c r="Y431" s="791"/>
      <c r="Z431" s="791"/>
    </row>
    <row r="432" spans="1:26" s="792" customFormat="1" ht="16.5" customHeight="1">
      <c r="A432" s="793">
        <v>4309</v>
      </c>
      <c r="B432" s="651" t="s">
        <v>199</v>
      </c>
      <c r="C432" s="603"/>
      <c r="D432" s="581">
        <f t="shared" si="44"/>
        <v>100</v>
      </c>
      <c r="E432" s="581">
        <f>H432+K432+Q432+N432</f>
        <v>0</v>
      </c>
      <c r="F432" s="582">
        <f>E432/D432*100</f>
        <v>0</v>
      </c>
      <c r="G432" s="603">
        <v>100</v>
      </c>
      <c r="H432" s="581"/>
      <c r="I432" s="585">
        <f t="shared" si="47"/>
        <v>0</v>
      </c>
      <c r="J432" s="661"/>
      <c r="K432" s="660"/>
      <c r="L432" s="665"/>
      <c r="M432" s="660"/>
      <c r="N432" s="660"/>
      <c r="O432" s="800"/>
      <c r="P432" s="660"/>
      <c r="Q432" s="660"/>
      <c r="R432" s="665"/>
      <c r="S432" s="790"/>
      <c r="T432" s="790"/>
      <c r="U432" s="790"/>
      <c r="V432" s="790"/>
      <c r="W432" s="791"/>
      <c r="X432" s="791"/>
      <c r="Y432" s="791"/>
      <c r="Z432" s="791"/>
    </row>
    <row r="433" spans="1:26" s="792" customFormat="1" ht="20.25" customHeight="1">
      <c r="A433" s="793">
        <v>4418</v>
      </c>
      <c r="B433" s="651" t="s">
        <v>173</v>
      </c>
      <c r="C433" s="603"/>
      <c r="D433" s="581">
        <f t="shared" si="44"/>
        <v>3400</v>
      </c>
      <c r="E433" s="581">
        <f>H433+K433+Q433+N433</f>
        <v>0</v>
      </c>
      <c r="F433" s="582">
        <f>E433/D433*100</f>
        <v>0</v>
      </c>
      <c r="G433" s="603">
        <v>3400</v>
      </c>
      <c r="H433" s="581"/>
      <c r="I433" s="585">
        <f t="shared" si="47"/>
        <v>0</v>
      </c>
      <c r="J433" s="661"/>
      <c r="K433" s="660"/>
      <c r="L433" s="665"/>
      <c r="M433" s="660"/>
      <c r="N433" s="660"/>
      <c r="O433" s="800"/>
      <c r="P433" s="660"/>
      <c r="Q433" s="660"/>
      <c r="R433" s="665"/>
      <c r="S433" s="790"/>
      <c r="T433" s="790"/>
      <c r="U433" s="790"/>
      <c r="V433" s="790"/>
      <c r="W433" s="791"/>
      <c r="X433" s="791"/>
      <c r="Y433" s="791"/>
      <c r="Z433" s="791"/>
    </row>
    <row r="434" spans="1:26" s="792" customFormat="1" ht="21" customHeight="1">
      <c r="A434" s="793">
        <v>4419</v>
      </c>
      <c r="B434" s="651" t="s">
        <v>173</v>
      </c>
      <c r="C434" s="603"/>
      <c r="D434" s="581">
        <f t="shared" si="44"/>
        <v>600</v>
      </c>
      <c r="E434" s="581">
        <f>H434+K434+Q434+N434</f>
        <v>0</v>
      </c>
      <c r="F434" s="582">
        <f>E434/D434*100</f>
        <v>0</v>
      </c>
      <c r="G434" s="603">
        <v>600</v>
      </c>
      <c r="H434" s="581"/>
      <c r="I434" s="585">
        <f t="shared" si="47"/>
        <v>0</v>
      </c>
      <c r="J434" s="661"/>
      <c r="K434" s="660"/>
      <c r="L434" s="665"/>
      <c r="M434" s="660"/>
      <c r="N434" s="660"/>
      <c r="O434" s="800"/>
      <c r="P434" s="660"/>
      <c r="Q434" s="660"/>
      <c r="R434" s="665"/>
      <c r="S434" s="790"/>
      <c r="T434" s="790"/>
      <c r="U434" s="790"/>
      <c r="V434" s="790"/>
      <c r="W434" s="791"/>
      <c r="X434" s="791"/>
      <c r="Y434" s="791"/>
      <c r="Z434" s="791"/>
    </row>
    <row r="435" spans="1:26" s="792" customFormat="1" ht="24">
      <c r="A435" s="793">
        <v>4428</v>
      </c>
      <c r="B435" s="651" t="s">
        <v>596</v>
      </c>
      <c r="C435" s="603"/>
      <c r="D435" s="581">
        <f t="shared" si="44"/>
        <v>31700</v>
      </c>
      <c r="E435" s="581">
        <f>H435+K435+Q435+N435</f>
        <v>0</v>
      </c>
      <c r="F435" s="582">
        <f>E435/D435*100</f>
        <v>0</v>
      </c>
      <c r="G435" s="603">
        <v>31700</v>
      </c>
      <c r="H435" s="581"/>
      <c r="I435" s="585">
        <f t="shared" si="47"/>
        <v>0</v>
      </c>
      <c r="J435" s="661"/>
      <c r="K435" s="660"/>
      <c r="L435" s="665"/>
      <c r="M435" s="660"/>
      <c r="N435" s="660"/>
      <c r="O435" s="800"/>
      <c r="P435" s="660"/>
      <c r="Q435" s="660"/>
      <c r="R435" s="665"/>
      <c r="S435" s="790"/>
      <c r="T435" s="790"/>
      <c r="U435" s="790"/>
      <c r="V435" s="790"/>
      <c r="W435" s="791"/>
      <c r="X435" s="791"/>
      <c r="Y435" s="791"/>
      <c r="Z435" s="791"/>
    </row>
    <row r="436" spans="1:26" s="792" customFormat="1" ht="24">
      <c r="A436" s="793">
        <v>4429</v>
      </c>
      <c r="B436" s="651" t="s">
        <v>596</v>
      </c>
      <c r="C436" s="603"/>
      <c r="D436" s="581">
        <f t="shared" si="44"/>
        <v>5900</v>
      </c>
      <c r="E436" s="581">
        <f t="shared" si="44"/>
        <v>0</v>
      </c>
      <c r="F436" s="582">
        <f t="shared" si="46"/>
        <v>0</v>
      </c>
      <c r="G436" s="603">
        <v>5900</v>
      </c>
      <c r="H436" s="581"/>
      <c r="I436" s="585">
        <f t="shared" si="47"/>
        <v>0</v>
      </c>
      <c r="J436" s="661"/>
      <c r="K436" s="660"/>
      <c r="L436" s="665"/>
      <c r="M436" s="660"/>
      <c r="N436" s="660"/>
      <c r="O436" s="800"/>
      <c r="P436" s="660"/>
      <c r="Q436" s="660"/>
      <c r="R436" s="665"/>
      <c r="S436" s="790"/>
      <c r="T436" s="790"/>
      <c r="U436" s="790"/>
      <c r="V436" s="790"/>
      <c r="W436" s="791"/>
      <c r="X436" s="791"/>
      <c r="Y436" s="791"/>
      <c r="Z436" s="791"/>
    </row>
    <row r="437" spans="1:26" s="792" customFormat="1" ht="36" hidden="1">
      <c r="A437" s="657"/>
      <c r="B437" s="798" t="s">
        <v>677</v>
      </c>
      <c r="C437" s="659">
        <f>SUM(C438:C445)</f>
        <v>0</v>
      </c>
      <c r="D437" s="660">
        <f t="shared" si="44"/>
        <v>0</v>
      </c>
      <c r="E437" s="660">
        <f t="shared" si="44"/>
        <v>0</v>
      </c>
      <c r="F437" s="582" t="e">
        <f t="shared" si="46"/>
        <v>#DIV/0!</v>
      </c>
      <c r="G437" s="659">
        <f>SUM(G438:G445)</f>
        <v>0</v>
      </c>
      <c r="H437" s="660">
        <f>SUM(H438:H445)</f>
        <v>0</v>
      </c>
      <c r="I437" s="585" t="e">
        <f t="shared" si="47"/>
        <v>#DIV/0!</v>
      </c>
      <c r="J437" s="661"/>
      <c r="K437" s="660"/>
      <c r="L437" s="665"/>
      <c r="M437" s="660"/>
      <c r="N437" s="660"/>
      <c r="O437" s="800"/>
      <c r="P437" s="660"/>
      <c r="Q437" s="660"/>
      <c r="R437" s="665"/>
      <c r="S437" s="790"/>
      <c r="T437" s="790"/>
      <c r="U437" s="790"/>
      <c r="V437" s="790"/>
      <c r="W437" s="791"/>
      <c r="X437" s="791"/>
      <c r="Y437" s="791"/>
      <c r="Z437" s="791"/>
    </row>
    <row r="438" spans="1:26" s="529" customFormat="1" ht="36" hidden="1">
      <c r="A438" s="647">
        <v>4112</v>
      </c>
      <c r="B438" s="651" t="s">
        <v>187</v>
      </c>
      <c r="C438" s="603"/>
      <c r="D438" s="581">
        <f t="shared" si="44"/>
        <v>0</v>
      </c>
      <c r="E438" s="581">
        <f t="shared" si="44"/>
        <v>0</v>
      </c>
      <c r="F438" s="582" t="e">
        <f t="shared" si="46"/>
        <v>#DIV/0!</v>
      </c>
      <c r="G438" s="603"/>
      <c r="H438" s="581"/>
      <c r="I438" s="585" t="e">
        <f t="shared" si="47"/>
        <v>#DIV/0!</v>
      </c>
      <c r="J438" s="586"/>
      <c r="K438" s="581"/>
      <c r="L438" s="585"/>
      <c r="M438" s="581"/>
      <c r="N438" s="581"/>
      <c r="O438" s="649"/>
      <c r="P438" s="581"/>
      <c r="Q438" s="581"/>
      <c r="R438" s="585"/>
      <c r="S438" s="527"/>
      <c r="T438" s="527"/>
      <c r="U438" s="527"/>
      <c r="V438" s="527"/>
      <c r="W438" s="528"/>
      <c r="X438" s="528"/>
      <c r="Y438" s="528"/>
      <c r="Z438" s="528"/>
    </row>
    <row r="439" spans="1:26" s="529" customFormat="1" ht="12.75" hidden="1">
      <c r="A439" s="647">
        <v>4122</v>
      </c>
      <c r="B439" s="651" t="s">
        <v>678</v>
      </c>
      <c r="C439" s="603"/>
      <c r="D439" s="581">
        <f t="shared" si="44"/>
        <v>0</v>
      </c>
      <c r="E439" s="581">
        <f t="shared" si="44"/>
        <v>0</v>
      </c>
      <c r="F439" s="582" t="e">
        <f>E439/D439*100</f>
        <v>#DIV/0!</v>
      </c>
      <c r="G439" s="603"/>
      <c r="H439" s="581"/>
      <c r="I439" s="585" t="e">
        <f t="shared" si="47"/>
        <v>#DIV/0!</v>
      </c>
      <c r="J439" s="586"/>
      <c r="K439" s="581"/>
      <c r="L439" s="585"/>
      <c r="M439" s="581"/>
      <c r="N439" s="581"/>
      <c r="O439" s="649"/>
      <c r="P439" s="581"/>
      <c r="Q439" s="581"/>
      <c r="R439" s="585"/>
      <c r="S439" s="527"/>
      <c r="T439" s="527"/>
      <c r="U439" s="527"/>
      <c r="V439" s="527"/>
      <c r="W439" s="528"/>
      <c r="X439" s="528"/>
      <c r="Y439" s="528"/>
      <c r="Z439" s="528"/>
    </row>
    <row r="440" spans="1:26" s="529" customFormat="1" ht="24" hidden="1">
      <c r="A440" s="793">
        <v>4171</v>
      </c>
      <c r="B440" s="651" t="s">
        <v>221</v>
      </c>
      <c r="C440" s="603"/>
      <c r="D440" s="581">
        <f t="shared" si="44"/>
        <v>0</v>
      </c>
      <c r="E440" s="581">
        <f t="shared" si="44"/>
        <v>0</v>
      </c>
      <c r="F440" s="582" t="e">
        <f>E440/D440*100</f>
        <v>#DIV/0!</v>
      </c>
      <c r="G440" s="603"/>
      <c r="H440" s="581"/>
      <c r="I440" s="585" t="e">
        <f t="shared" si="47"/>
        <v>#DIV/0!</v>
      </c>
      <c r="J440" s="586"/>
      <c r="K440" s="581"/>
      <c r="L440" s="585"/>
      <c r="M440" s="581"/>
      <c r="N440" s="581"/>
      <c r="O440" s="649"/>
      <c r="P440" s="581"/>
      <c r="Q440" s="581"/>
      <c r="R440" s="585"/>
      <c r="S440" s="527"/>
      <c r="T440" s="527"/>
      <c r="U440" s="527"/>
      <c r="V440" s="527"/>
      <c r="W440" s="528"/>
      <c r="X440" s="528"/>
      <c r="Y440" s="528"/>
      <c r="Z440" s="528"/>
    </row>
    <row r="441" spans="1:26" s="529" customFormat="1" ht="24" hidden="1">
      <c r="A441" s="793">
        <v>4172</v>
      </c>
      <c r="B441" s="651" t="s">
        <v>221</v>
      </c>
      <c r="C441" s="603"/>
      <c r="D441" s="581">
        <f t="shared" si="44"/>
        <v>0</v>
      </c>
      <c r="E441" s="581">
        <f t="shared" si="44"/>
        <v>0</v>
      </c>
      <c r="F441" s="582" t="e">
        <f>E441/D441*100</f>
        <v>#DIV/0!</v>
      </c>
      <c r="G441" s="603"/>
      <c r="H441" s="581"/>
      <c r="I441" s="585" t="e">
        <f t="shared" si="47"/>
        <v>#DIV/0!</v>
      </c>
      <c r="J441" s="586"/>
      <c r="K441" s="581"/>
      <c r="L441" s="585"/>
      <c r="M441" s="581"/>
      <c r="N441" s="581"/>
      <c r="O441" s="649"/>
      <c r="P441" s="581"/>
      <c r="Q441" s="581"/>
      <c r="R441" s="585"/>
      <c r="S441" s="527"/>
      <c r="T441" s="527"/>
      <c r="U441" s="527"/>
      <c r="V441" s="527"/>
      <c r="W441" s="528"/>
      <c r="X441" s="528"/>
      <c r="Y441" s="528"/>
      <c r="Z441" s="528"/>
    </row>
    <row r="442" spans="1:26" s="529" customFormat="1" ht="24" hidden="1">
      <c r="A442" s="647">
        <v>4211</v>
      </c>
      <c r="B442" s="651" t="s">
        <v>191</v>
      </c>
      <c r="C442" s="603"/>
      <c r="D442" s="581">
        <f t="shared" si="44"/>
        <v>0</v>
      </c>
      <c r="E442" s="581">
        <f t="shared" si="44"/>
        <v>0</v>
      </c>
      <c r="F442" s="582" t="e">
        <f t="shared" si="46"/>
        <v>#DIV/0!</v>
      </c>
      <c r="G442" s="603"/>
      <c r="H442" s="581"/>
      <c r="I442" s="585" t="e">
        <f t="shared" si="47"/>
        <v>#DIV/0!</v>
      </c>
      <c r="J442" s="586"/>
      <c r="K442" s="581"/>
      <c r="L442" s="585"/>
      <c r="M442" s="581"/>
      <c r="N442" s="581"/>
      <c r="O442" s="649"/>
      <c r="P442" s="581"/>
      <c r="Q442" s="581"/>
      <c r="R442" s="585"/>
      <c r="S442" s="527"/>
      <c r="T442" s="527"/>
      <c r="U442" s="527"/>
      <c r="V442" s="527"/>
      <c r="W442" s="528"/>
      <c r="X442" s="528"/>
      <c r="Y442" s="528"/>
      <c r="Z442" s="528"/>
    </row>
    <row r="443" spans="1:26" s="792" customFormat="1" ht="24" hidden="1">
      <c r="A443" s="647">
        <v>4212</v>
      </c>
      <c r="B443" s="651" t="s">
        <v>191</v>
      </c>
      <c r="C443" s="603"/>
      <c r="D443" s="581">
        <f t="shared" si="44"/>
        <v>0</v>
      </c>
      <c r="E443" s="581">
        <f t="shared" si="44"/>
        <v>0</v>
      </c>
      <c r="F443" s="582" t="e">
        <f t="shared" si="46"/>
        <v>#DIV/0!</v>
      </c>
      <c r="G443" s="603"/>
      <c r="H443" s="581"/>
      <c r="I443" s="585" t="e">
        <f t="shared" si="47"/>
        <v>#DIV/0!</v>
      </c>
      <c r="J443" s="586"/>
      <c r="K443" s="581"/>
      <c r="L443" s="585"/>
      <c r="M443" s="581"/>
      <c r="N443" s="581"/>
      <c r="O443" s="649"/>
      <c r="P443" s="581"/>
      <c r="Q443" s="581"/>
      <c r="R443" s="585"/>
      <c r="S443" s="790"/>
      <c r="T443" s="790"/>
      <c r="U443" s="790"/>
      <c r="V443" s="790"/>
      <c r="W443" s="791"/>
      <c r="X443" s="791"/>
      <c r="Y443" s="791"/>
      <c r="Z443" s="791"/>
    </row>
    <row r="444" spans="1:26" s="792" customFormat="1" ht="24" hidden="1">
      <c r="A444" s="793">
        <v>4301</v>
      </c>
      <c r="B444" s="651" t="s">
        <v>199</v>
      </c>
      <c r="C444" s="603"/>
      <c r="D444" s="581">
        <f t="shared" si="44"/>
        <v>0</v>
      </c>
      <c r="E444" s="581">
        <f t="shared" si="44"/>
        <v>0</v>
      </c>
      <c r="F444" s="582" t="e">
        <f t="shared" si="46"/>
        <v>#DIV/0!</v>
      </c>
      <c r="G444" s="603"/>
      <c r="H444" s="581"/>
      <c r="I444" s="585" t="e">
        <f t="shared" si="47"/>
        <v>#DIV/0!</v>
      </c>
      <c r="J444" s="586"/>
      <c r="K444" s="581"/>
      <c r="L444" s="585"/>
      <c r="M444" s="581"/>
      <c r="N444" s="581"/>
      <c r="O444" s="649"/>
      <c r="P444" s="581"/>
      <c r="Q444" s="581"/>
      <c r="R444" s="585"/>
      <c r="S444" s="790"/>
      <c r="T444" s="790"/>
      <c r="U444" s="790"/>
      <c r="V444" s="790"/>
      <c r="W444" s="791"/>
      <c r="X444" s="791"/>
      <c r="Y444" s="791"/>
      <c r="Z444" s="791"/>
    </row>
    <row r="445" spans="1:26" s="792" customFormat="1" ht="24" hidden="1">
      <c r="A445" s="793">
        <v>4302</v>
      </c>
      <c r="B445" s="651" t="s">
        <v>199</v>
      </c>
      <c r="C445" s="674"/>
      <c r="D445" s="581">
        <f t="shared" si="44"/>
        <v>0</v>
      </c>
      <c r="E445" s="581">
        <f t="shared" si="44"/>
        <v>0</v>
      </c>
      <c r="F445" s="582" t="e">
        <f t="shared" si="46"/>
        <v>#DIV/0!</v>
      </c>
      <c r="G445" s="674"/>
      <c r="H445" s="675"/>
      <c r="I445" s="585" t="e">
        <f t="shared" si="47"/>
        <v>#DIV/0!</v>
      </c>
      <c r="J445" s="676"/>
      <c r="K445" s="675"/>
      <c r="L445" s="679"/>
      <c r="M445" s="675"/>
      <c r="N445" s="675"/>
      <c r="O445" s="689"/>
      <c r="P445" s="675"/>
      <c r="Q445" s="675"/>
      <c r="R445" s="679"/>
      <c r="S445" s="790"/>
      <c r="T445" s="790"/>
      <c r="U445" s="790"/>
      <c r="V445" s="790"/>
      <c r="W445" s="791"/>
      <c r="X445" s="791"/>
      <c r="Y445" s="791"/>
      <c r="Z445" s="791"/>
    </row>
    <row r="446" spans="1:18" ht="12.75">
      <c r="A446" s="640">
        <v>75095</v>
      </c>
      <c r="B446" s="742" t="s">
        <v>679</v>
      </c>
      <c r="C446" s="608">
        <f>SUM(C447:C458)</f>
        <v>215695</v>
      </c>
      <c r="D446" s="595">
        <f t="shared" si="44"/>
        <v>220695</v>
      </c>
      <c r="E446" s="595">
        <f>SUM(E447:E458)</f>
        <v>33970</v>
      </c>
      <c r="F446" s="596">
        <f t="shared" si="46"/>
        <v>15.392283468134757</v>
      </c>
      <c r="G446" s="608">
        <f>SUM(G447:G458)</f>
        <v>220695</v>
      </c>
      <c r="H446" s="595">
        <f>SUM(H447:H458)</f>
        <v>33970</v>
      </c>
      <c r="I446" s="602">
        <f t="shared" si="47"/>
        <v>15.392283468134757</v>
      </c>
      <c r="J446" s="600"/>
      <c r="K446" s="595"/>
      <c r="L446" s="601"/>
      <c r="M446" s="595"/>
      <c r="N446" s="595"/>
      <c r="O446" s="645"/>
      <c r="P446" s="595"/>
      <c r="Q446" s="595"/>
      <c r="R446" s="602"/>
    </row>
    <row r="447" spans="1:18" ht="48" hidden="1">
      <c r="A447" s="647">
        <v>3020</v>
      </c>
      <c r="B447" s="651" t="s">
        <v>680</v>
      </c>
      <c r="C447" s="603"/>
      <c r="D447" s="581">
        <f t="shared" si="44"/>
        <v>0</v>
      </c>
      <c r="E447" s="581">
        <f aca="true" t="shared" si="48" ref="E447:E454">SUM(H447+K447+N447+Q447)</f>
        <v>0</v>
      </c>
      <c r="F447" s="582" t="e">
        <f aca="true" t="shared" si="49" ref="F447:F454">E447/D447*100</f>
        <v>#DIV/0!</v>
      </c>
      <c r="G447" s="606"/>
      <c r="H447" s="615"/>
      <c r="I447" s="585" t="e">
        <f t="shared" si="47"/>
        <v>#DIV/0!</v>
      </c>
      <c r="J447" s="586"/>
      <c r="K447" s="581"/>
      <c r="L447" s="587"/>
      <c r="M447" s="581"/>
      <c r="N447" s="581"/>
      <c r="O447" s="649"/>
      <c r="P447" s="581"/>
      <c r="Q447" s="581"/>
      <c r="R447" s="653"/>
    </row>
    <row r="448" spans="1:18" ht="27.75" customHeight="1">
      <c r="A448" s="647">
        <v>4110</v>
      </c>
      <c r="B448" s="651" t="s">
        <v>187</v>
      </c>
      <c r="C448" s="603">
        <v>3010</v>
      </c>
      <c r="D448" s="581">
        <f t="shared" si="44"/>
        <v>3010</v>
      </c>
      <c r="E448" s="581">
        <f t="shared" si="48"/>
        <v>141</v>
      </c>
      <c r="F448" s="582">
        <f t="shared" si="49"/>
        <v>4.6843853820598005</v>
      </c>
      <c r="G448" s="603">
        <v>3010</v>
      </c>
      <c r="H448" s="581">
        <v>141</v>
      </c>
      <c r="I448" s="585">
        <f t="shared" si="47"/>
        <v>4.6843853820598005</v>
      </c>
      <c r="J448" s="586"/>
      <c r="K448" s="581"/>
      <c r="L448" s="587"/>
      <c r="M448" s="581"/>
      <c r="N448" s="581"/>
      <c r="O448" s="649"/>
      <c r="P448" s="581"/>
      <c r="Q448" s="581"/>
      <c r="R448" s="653"/>
    </row>
    <row r="449" spans="1:18" ht="12.75" hidden="1">
      <c r="A449" s="647">
        <v>4120</v>
      </c>
      <c r="B449" s="651" t="s">
        <v>619</v>
      </c>
      <c r="C449" s="603"/>
      <c r="D449" s="581">
        <f>G449+J449+P449+M449</f>
        <v>0</v>
      </c>
      <c r="E449" s="581">
        <f>SUM(H449+K449+N449+Q449)</f>
        <v>0</v>
      </c>
      <c r="F449" s="582" t="e">
        <f>E449/D449*100</f>
        <v>#DIV/0!</v>
      </c>
      <c r="G449" s="603"/>
      <c r="H449" s="581"/>
      <c r="I449" s="585" t="e">
        <f t="shared" si="47"/>
        <v>#DIV/0!</v>
      </c>
      <c r="J449" s="586"/>
      <c r="K449" s="581"/>
      <c r="L449" s="587"/>
      <c r="M449" s="581"/>
      <c r="N449" s="581"/>
      <c r="O449" s="649"/>
      <c r="P449" s="581"/>
      <c r="Q449" s="581"/>
      <c r="R449" s="653"/>
    </row>
    <row r="450" spans="1:18" ht="24">
      <c r="A450" s="647">
        <v>4170</v>
      </c>
      <c r="B450" s="651" t="s">
        <v>221</v>
      </c>
      <c r="C450" s="603">
        <v>40840</v>
      </c>
      <c r="D450" s="581">
        <f t="shared" si="44"/>
        <v>40840</v>
      </c>
      <c r="E450" s="581">
        <f t="shared" si="48"/>
        <v>3722</v>
      </c>
      <c r="F450" s="582">
        <f t="shared" si="49"/>
        <v>9.113614103819785</v>
      </c>
      <c r="G450" s="603">
        <v>40840</v>
      </c>
      <c r="H450" s="581">
        <v>3722</v>
      </c>
      <c r="I450" s="585">
        <f t="shared" si="47"/>
        <v>9.113614103819785</v>
      </c>
      <c r="J450" s="586"/>
      <c r="K450" s="581"/>
      <c r="L450" s="587"/>
      <c r="M450" s="581"/>
      <c r="N450" s="581"/>
      <c r="O450" s="649"/>
      <c r="P450" s="581"/>
      <c r="Q450" s="581"/>
      <c r="R450" s="653"/>
    </row>
    <row r="451" spans="1:18" ht="24">
      <c r="A451" s="647">
        <v>4210</v>
      </c>
      <c r="B451" s="651" t="s">
        <v>191</v>
      </c>
      <c r="C451" s="603">
        <v>34565</v>
      </c>
      <c r="D451" s="581">
        <f t="shared" si="44"/>
        <v>39485</v>
      </c>
      <c r="E451" s="581">
        <f t="shared" si="48"/>
        <v>3629</v>
      </c>
      <c r="F451" s="582">
        <f t="shared" si="49"/>
        <v>9.190831961504369</v>
      </c>
      <c r="G451" s="603">
        <f>34565+5000-80</f>
        <v>39485</v>
      </c>
      <c r="H451" s="581">
        <v>3629</v>
      </c>
      <c r="I451" s="585">
        <f t="shared" si="47"/>
        <v>9.190831961504369</v>
      </c>
      <c r="J451" s="586"/>
      <c r="K451" s="581"/>
      <c r="L451" s="587"/>
      <c r="M451" s="581"/>
      <c r="N451" s="581"/>
      <c r="O451" s="649"/>
      <c r="P451" s="581"/>
      <c r="Q451" s="581"/>
      <c r="R451" s="653"/>
    </row>
    <row r="452" spans="1:18" ht="12.75">
      <c r="A452" s="647">
        <v>4260</v>
      </c>
      <c r="B452" s="651" t="s">
        <v>195</v>
      </c>
      <c r="C452" s="603">
        <v>30700</v>
      </c>
      <c r="D452" s="581">
        <f t="shared" si="44"/>
        <v>30700</v>
      </c>
      <c r="E452" s="581">
        <f t="shared" si="48"/>
        <v>5808</v>
      </c>
      <c r="F452" s="582">
        <f t="shared" si="49"/>
        <v>18.9185667752443</v>
      </c>
      <c r="G452" s="603">
        <v>30700</v>
      </c>
      <c r="H452" s="581">
        <v>5808</v>
      </c>
      <c r="I452" s="585">
        <f t="shared" si="47"/>
        <v>18.9185667752443</v>
      </c>
      <c r="J452" s="586"/>
      <c r="K452" s="581"/>
      <c r="L452" s="587"/>
      <c r="M452" s="581"/>
      <c r="N452" s="581"/>
      <c r="O452" s="649"/>
      <c r="P452" s="581"/>
      <c r="Q452" s="581"/>
      <c r="R452" s="653"/>
    </row>
    <row r="453" spans="1:18" ht="24" hidden="1">
      <c r="A453" s="647">
        <v>4270</v>
      </c>
      <c r="B453" s="651" t="s">
        <v>197</v>
      </c>
      <c r="C453" s="603"/>
      <c r="D453" s="581">
        <f t="shared" si="44"/>
        <v>0</v>
      </c>
      <c r="E453" s="581">
        <f t="shared" si="48"/>
        <v>0</v>
      </c>
      <c r="F453" s="582" t="e">
        <f t="shared" si="49"/>
        <v>#DIV/0!</v>
      </c>
      <c r="G453" s="603"/>
      <c r="H453" s="581"/>
      <c r="I453" s="585" t="e">
        <f t="shared" si="47"/>
        <v>#DIV/0!</v>
      </c>
      <c r="J453" s="586"/>
      <c r="K453" s="581"/>
      <c r="L453" s="587"/>
      <c r="M453" s="581"/>
      <c r="N453" s="581"/>
      <c r="O453" s="649"/>
      <c r="P453" s="581"/>
      <c r="Q453" s="581"/>
      <c r="R453" s="653"/>
    </row>
    <row r="454" spans="1:18" ht="16.5" customHeight="1">
      <c r="A454" s="647">
        <v>4300</v>
      </c>
      <c r="B454" s="651" t="s">
        <v>681</v>
      </c>
      <c r="C454" s="603">
        <v>27900</v>
      </c>
      <c r="D454" s="581">
        <f t="shared" si="44"/>
        <v>28970</v>
      </c>
      <c r="E454" s="581">
        <f t="shared" si="48"/>
        <v>3187</v>
      </c>
      <c r="F454" s="582">
        <f t="shared" si="49"/>
        <v>11.001035554021401</v>
      </c>
      <c r="G454" s="603">
        <f>27900+1070</f>
        <v>28970</v>
      </c>
      <c r="H454" s="581">
        <v>3187</v>
      </c>
      <c r="I454" s="585">
        <f t="shared" si="47"/>
        <v>11.001035554021401</v>
      </c>
      <c r="J454" s="586"/>
      <c r="K454" s="581"/>
      <c r="L454" s="587"/>
      <c r="M454" s="581"/>
      <c r="N454" s="581"/>
      <c r="O454" s="649"/>
      <c r="P454" s="581"/>
      <c r="Q454" s="581"/>
      <c r="R454" s="653"/>
    </row>
    <row r="455" spans="1:18" ht="60.75" customHeight="1">
      <c r="A455" s="647">
        <v>4370</v>
      </c>
      <c r="B455" s="712" t="s">
        <v>432</v>
      </c>
      <c r="C455" s="603">
        <v>9290</v>
      </c>
      <c r="D455" s="581">
        <f t="shared" si="44"/>
        <v>8220</v>
      </c>
      <c r="E455" s="581">
        <f>SUM(H455+K455+N455+Q455)</f>
        <v>1594</v>
      </c>
      <c r="F455" s="582">
        <f>E455/D455*100</f>
        <v>19.391727493917273</v>
      </c>
      <c r="G455" s="603">
        <f>9290-1070</f>
        <v>8220</v>
      </c>
      <c r="H455" s="581">
        <v>1594</v>
      </c>
      <c r="I455" s="585">
        <f t="shared" si="47"/>
        <v>19.391727493917273</v>
      </c>
      <c r="J455" s="586"/>
      <c r="K455" s="581"/>
      <c r="L455" s="587"/>
      <c r="M455" s="581"/>
      <c r="N455" s="581"/>
      <c r="O455" s="649"/>
      <c r="P455" s="581"/>
      <c r="Q455" s="581"/>
      <c r="R455" s="653"/>
    </row>
    <row r="456" spans="1:18" ht="41.25" customHeight="1">
      <c r="A456" s="647">
        <v>4400</v>
      </c>
      <c r="B456" s="651" t="s">
        <v>433</v>
      </c>
      <c r="C456" s="603">
        <v>62830</v>
      </c>
      <c r="D456" s="581">
        <f t="shared" si="44"/>
        <v>62830</v>
      </c>
      <c r="E456" s="581">
        <f>SUM(H456+K456+N456+Q456)</f>
        <v>15528</v>
      </c>
      <c r="F456" s="582">
        <f>E456/D456*100</f>
        <v>24.71430845137673</v>
      </c>
      <c r="G456" s="603">
        <v>62830</v>
      </c>
      <c r="H456" s="581">
        <v>15528</v>
      </c>
      <c r="I456" s="585">
        <f t="shared" si="47"/>
        <v>24.71430845137673</v>
      </c>
      <c r="J456" s="586"/>
      <c r="K456" s="581"/>
      <c r="L456" s="587"/>
      <c r="M456" s="581"/>
      <c r="N456" s="581"/>
      <c r="O456" s="649"/>
      <c r="P456" s="581"/>
      <c r="Q456" s="581"/>
      <c r="R456" s="653"/>
    </row>
    <row r="457" spans="1:18" ht="49.5" customHeight="1">
      <c r="A457" s="647">
        <v>4740</v>
      </c>
      <c r="B457" s="712" t="s">
        <v>215</v>
      </c>
      <c r="C457" s="603">
        <v>2910</v>
      </c>
      <c r="D457" s="581">
        <f>G457+J457+P457+M457</f>
        <v>2910</v>
      </c>
      <c r="E457" s="581">
        <f>SUM(H457+K457+N457+Q457)</f>
        <v>30</v>
      </c>
      <c r="F457" s="582">
        <f>E457/D457*100</f>
        <v>1.0309278350515463</v>
      </c>
      <c r="G457" s="603">
        <v>2910</v>
      </c>
      <c r="H457" s="581">
        <v>30</v>
      </c>
      <c r="I457" s="585">
        <f t="shared" si="47"/>
        <v>1.0309278350515463</v>
      </c>
      <c r="J457" s="586"/>
      <c r="K457" s="581"/>
      <c r="L457" s="587"/>
      <c r="M457" s="581"/>
      <c r="N457" s="581"/>
      <c r="O457" s="649"/>
      <c r="P457" s="581"/>
      <c r="Q457" s="581"/>
      <c r="R457" s="653"/>
    </row>
    <row r="458" spans="1:18" ht="40.5" customHeight="1">
      <c r="A458" s="647">
        <v>4750</v>
      </c>
      <c r="B458" s="651" t="s">
        <v>682</v>
      </c>
      <c r="C458" s="674">
        <v>3650</v>
      </c>
      <c r="D458" s="675">
        <f t="shared" si="44"/>
        <v>3730</v>
      </c>
      <c r="E458" s="675">
        <f>SUM(H458+K458+N458+Q458)</f>
        <v>331</v>
      </c>
      <c r="F458" s="643">
        <f aca="true" t="shared" si="50" ref="F458:F469">E458/D458*100</f>
        <v>8.873994638069705</v>
      </c>
      <c r="G458" s="674">
        <f>3650+80</f>
        <v>3730</v>
      </c>
      <c r="H458" s="675">
        <v>331</v>
      </c>
      <c r="I458" s="679">
        <f t="shared" si="47"/>
        <v>8.873994638069705</v>
      </c>
      <c r="J458" s="676"/>
      <c r="K458" s="675"/>
      <c r="L458" s="677"/>
      <c r="M458" s="675"/>
      <c r="N458" s="675"/>
      <c r="O458" s="689"/>
      <c r="P458" s="675"/>
      <c r="Q458" s="675"/>
      <c r="R458" s="680"/>
    </row>
    <row r="459" spans="1:18" ht="12.75" customHeight="1">
      <c r="A459" s="640">
        <v>75095</v>
      </c>
      <c r="B459" s="742" t="s">
        <v>213</v>
      </c>
      <c r="C459" s="608">
        <f>SUM(C460:C471)</f>
        <v>1683500</v>
      </c>
      <c r="D459" s="595">
        <f t="shared" si="44"/>
        <v>1683500</v>
      </c>
      <c r="E459" s="595">
        <f>H459+K459+Q459+N459</f>
        <v>545851</v>
      </c>
      <c r="F459" s="596">
        <f t="shared" si="50"/>
        <v>32.42358182358183</v>
      </c>
      <c r="G459" s="608">
        <f>SUM(G461:G474)</f>
        <v>1683500</v>
      </c>
      <c r="H459" s="595">
        <f>SUM(H461:H474)</f>
        <v>545851</v>
      </c>
      <c r="I459" s="602">
        <f t="shared" si="47"/>
        <v>32.42358182358183</v>
      </c>
      <c r="J459" s="600"/>
      <c r="K459" s="595"/>
      <c r="L459" s="601"/>
      <c r="M459" s="595"/>
      <c r="N459" s="595"/>
      <c r="O459" s="645"/>
      <c r="P459" s="595"/>
      <c r="Q459" s="595"/>
      <c r="R459" s="731"/>
    </row>
    <row r="460" spans="1:18" ht="48" hidden="1">
      <c r="A460" s="647">
        <v>3040</v>
      </c>
      <c r="B460" s="651" t="s">
        <v>469</v>
      </c>
      <c r="C460" s="603"/>
      <c r="D460" s="581">
        <f t="shared" si="44"/>
        <v>0</v>
      </c>
      <c r="E460" s="581">
        <f aca="true" t="shared" si="51" ref="E460:E482">SUM(H460+K460+N460+Q460)</f>
        <v>0</v>
      </c>
      <c r="F460" s="582" t="e">
        <f t="shared" si="50"/>
        <v>#DIV/0!</v>
      </c>
      <c r="G460" s="603"/>
      <c r="H460" s="581"/>
      <c r="I460" s="585" t="e">
        <f t="shared" si="47"/>
        <v>#DIV/0!</v>
      </c>
      <c r="J460" s="586"/>
      <c r="K460" s="581"/>
      <c r="L460" s="587"/>
      <c r="M460" s="581"/>
      <c r="N460" s="581"/>
      <c r="O460" s="649"/>
      <c r="P460" s="581"/>
      <c r="Q460" s="581"/>
      <c r="R460" s="653"/>
    </row>
    <row r="461" spans="1:18" ht="36" hidden="1">
      <c r="A461" s="647">
        <v>4110</v>
      </c>
      <c r="B461" s="651" t="s">
        <v>470</v>
      </c>
      <c r="C461" s="603"/>
      <c r="D461" s="581">
        <f t="shared" si="44"/>
        <v>0</v>
      </c>
      <c r="E461" s="581">
        <f t="shared" si="51"/>
        <v>0</v>
      </c>
      <c r="F461" s="582" t="e">
        <f t="shared" si="50"/>
        <v>#DIV/0!</v>
      </c>
      <c r="G461" s="603"/>
      <c r="H461" s="581"/>
      <c r="I461" s="585" t="e">
        <f aca="true" t="shared" si="52" ref="I461:I468">H461/G461*100</f>
        <v>#DIV/0!</v>
      </c>
      <c r="J461" s="586"/>
      <c r="K461" s="581"/>
      <c r="L461" s="587"/>
      <c r="M461" s="581"/>
      <c r="N461" s="581"/>
      <c r="O461" s="649"/>
      <c r="P461" s="581"/>
      <c r="Q461" s="581"/>
      <c r="R461" s="653"/>
    </row>
    <row r="462" spans="1:18" ht="12.75" hidden="1">
      <c r="A462" s="647">
        <v>4120</v>
      </c>
      <c r="B462" s="651" t="s">
        <v>471</v>
      </c>
      <c r="C462" s="603"/>
      <c r="D462" s="581">
        <f t="shared" si="44"/>
        <v>0</v>
      </c>
      <c r="E462" s="581">
        <f t="shared" si="51"/>
        <v>0</v>
      </c>
      <c r="F462" s="582" t="e">
        <f t="shared" si="50"/>
        <v>#DIV/0!</v>
      </c>
      <c r="G462" s="603"/>
      <c r="H462" s="581"/>
      <c r="I462" s="585" t="e">
        <f t="shared" si="52"/>
        <v>#DIV/0!</v>
      </c>
      <c r="J462" s="586"/>
      <c r="K462" s="581"/>
      <c r="L462" s="587"/>
      <c r="M462" s="581"/>
      <c r="N462" s="581"/>
      <c r="O462" s="649"/>
      <c r="P462" s="581"/>
      <c r="Q462" s="581"/>
      <c r="R462" s="653"/>
    </row>
    <row r="463" spans="1:18" ht="24" hidden="1">
      <c r="A463" s="647">
        <v>4170</v>
      </c>
      <c r="B463" s="651" t="s">
        <v>472</v>
      </c>
      <c r="C463" s="603"/>
      <c r="D463" s="581">
        <f t="shared" si="44"/>
        <v>0</v>
      </c>
      <c r="E463" s="581">
        <f t="shared" si="51"/>
        <v>0</v>
      </c>
      <c r="F463" s="582" t="e">
        <f t="shared" si="50"/>
        <v>#DIV/0!</v>
      </c>
      <c r="G463" s="603"/>
      <c r="H463" s="581"/>
      <c r="I463" s="585" t="e">
        <f t="shared" si="52"/>
        <v>#DIV/0!</v>
      </c>
      <c r="J463" s="586"/>
      <c r="K463" s="581"/>
      <c r="L463" s="587"/>
      <c r="M463" s="581"/>
      <c r="N463" s="581"/>
      <c r="O463" s="649"/>
      <c r="P463" s="581"/>
      <c r="Q463" s="581"/>
      <c r="R463" s="653"/>
    </row>
    <row r="464" spans="1:18" ht="24">
      <c r="A464" s="647">
        <v>4210</v>
      </c>
      <c r="B464" s="651" t="s">
        <v>473</v>
      </c>
      <c r="C464" s="603">
        <v>6000</v>
      </c>
      <c r="D464" s="581">
        <f t="shared" si="44"/>
        <v>6000</v>
      </c>
      <c r="E464" s="581">
        <f t="shared" si="51"/>
        <v>0</v>
      </c>
      <c r="F464" s="582">
        <f t="shared" si="50"/>
        <v>0</v>
      </c>
      <c r="G464" s="603">
        <v>6000</v>
      </c>
      <c r="H464" s="581"/>
      <c r="I464" s="585">
        <f t="shared" si="52"/>
        <v>0</v>
      </c>
      <c r="J464" s="586"/>
      <c r="K464" s="581"/>
      <c r="L464" s="587"/>
      <c r="M464" s="581"/>
      <c r="N464" s="581"/>
      <c r="O464" s="649"/>
      <c r="P464" s="581"/>
      <c r="Q464" s="581"/>
      <c r="R464" s="653"/>
    </row>
    <row r="465" spans="1:18" ht="24">
      <c r="A465" s="647">
        <v>4300</v>
      </c>
      <c r="B465" s="651" t="s">
        <v>474</v>
      </c>
      <c r="C465" s="603">
        <v>250000</v>
      </c>
      <c r="D465" s="581">
        <f t="shared" si="44"/>
        <v>250000</v>
      </c>
      <c r="E465" s="581">
        <f>SUM(H465+K465+N465+Q465)</f>
        <v>16594</v>
      </c>
      <c r="F465" s="582">
        <f t="shared" si="50"/>
        <v>6.637600000000001</v>
      </c>
      <c r="G465" s="603">
        <v>250000</v>
      </c>
      <c r="H465" s="581">
        <v>16594</v>
      </c>
      <c r="I465" s="585">
        <f t="shared" si="52"/>
        <v>6.637600000000001</v>
      </c>
      <c r="J465" s="586"/>
      <c r="K465" s="581"/>
      <c r="L465" s="587"/>
      <c r="M465" s="581"/>
      <c r="N465" s="581"/>
      <c r="O465" s="649"/>
      <c r="P465" s="581"/>
      <c r="Q465" s="581"/>
      <c r="R465" s="653"/>
    </row>
    <row r="466" spans="1:18" ht="24">
      <c r="A466" s="793">
        <v>4350</v>
      </c>
      <c r="B466" s="651" t="s">
        <v>683</v>
      </c>
      <c r="C466" s="603">
        <v>3500</v>
      </c>
      <c r="D466" s="581">
        <f t="shared" si="44"/>
        <v>3500</v>
      </c>
      <c r="E466" s="581">
        <f>SUM(H466+K466+N466+Q466)</f>
        <v>146</v>
      </c>
      <c r="F466" s="582">
        <f t="shared" si="50"/>
        <v>4.171428571428572</v>
      </c>
      <c r="G466" s="603">
        <v>3500</v>
      </c>
      <c r="H466" s="581">
        <v>146</v>
      </c>
      <c r="I466" s="585">
        <f t="shared" si="52"/>
        <v>4.171428571428572</v>
      </c>
      <c r="J466" s="586"/>
      <c r="K466" s="581"/>
      <c r="L466" s="587"/>
      <c r="M466" s="581"/>
      <c r="N466" s="581"/>
      <c r="O466" s="649"/>
      <c r="P466" s="581"/>
      <c r="Q466" s="581"/>
      <c r="R466" s="653"/>
    </row>
    <row r="467" spans="1:18" ht="27" customHeight="1">
      <c r="A467" s="647">
        <v>4380</v>
      </c>
      <c r="B467" s="651" t="s">
        <v>684</v>
      </c>
      <c r="C467" s="603">
        <v>40000</v>
      </c>
      <c r="D467" s="581">
        <f t="shared" si="44"/>
        <v>40000</v>
      </c>
      <c r="E467" s="581">
        <f>SUM(H467+K467+N467+Q467)</f>
        <v>2599</v>
      </c>
      <c r="F467" s="582">
        <f t="shared" si="50"/>
        <v>6.4975000000000005</v>
      </c>
      <c r="G467" s="603">
        <v>40000</v>
      </c>
      <c r="H467" s="581">
        <v>2599</v>
      </c>
      <c r="I467" s="585">
        <f t="shared" si="52"/>
        <v>6.4975000000000005</v>
      </c>
      <c r="J467" s="586"/>
      <c r="K467" s="581"/>
      <c r="L467" s="587"/>
      <c r="M467" s="581"/>
      <c r="N467" s="581"/>
      <c r="O467" s="649"/>
      <c r="P467" s="581"/>
      <c r="Q467" s="581"/>
      <c r="R467" s="653"/>
    </row>
    <row r="468" spans="1:18" ht="38.25" customHeight="1">
      <c r="A468" s="647">
        <v>4390</v>
      </c>
      <c r="B468" s="651" t="s">
        <v>685</v>
      </c>
      <c r="C468" s="603">
        <v>250000</v>
      </c>
      <c r="D468" s="581">
        <f t="shared" si="44"/>
        <v>250000</v>
      </c>
      <c r="E468" s="581">
        <f>SUM(H468+K468+N468+Q468)</f>
        <v>18431</v>
      </c>
      <c r="F468" s="582">
        <f t="shared" si="50"/>
        <v>7.3724</v>
      </c>
      <c r="G468" s="603">
        <v>250000</v>
      </c>
      <c r="H468" s="581">
        <v>18431</v>
      </c>
      <c r="I468" s="585">
        <f t="shared" si="52"/>
        <v>7.3724</v>
      </c>
      <c r="J468" s="586"/>
      <c r="K468" s="581"/>
      <c r="L468" s="587"/>
      <c r="M468" s="581"/>
      <c r="N468" s="581"/>
      <c r="O468" s="649"/>
      <c r="P468" s="581"/>
      <c r="Q468" s="581"/>
      <c r="R468" s="653"/>
    </row>
    <row r="469" spans="1:18" ht="24">
      <c r="A469" s="647">
        <v>4430</v>
      </c>
      <c r="B469" s="651" t="s">
        <v>475</v>
      </c>
      <c r="C469" s="603">
        <v>466000</v>
      </c>
      <c r="D469" s="581">
        <f t="shared" si="44"/>
        <v>466000</v>
      </c>
      <c r="E469" s="581">
        <f t="shared" si="51"/>
        <v>318081</v>
      </c>
      <c r="F469" s="582">
        <f t="shared" si="50"/>
        <v>68.2577253218884</v>
      </c>
      <c r="G469" s="603">
        <v>466000</v>
      </c>
      <c r="H469" s="581">
        <v>318081</v>
      </c>
      <c r="I469" s="585">
        <f>H469/G469*100</f>
        <v>68.2577253218884</v>
      </c>
      <c r="J469" s="586"/>
      <c r="K469" s="581"/>
      <c r="L469" s="587"/>
      <c r="M469" s="581"/>
      <c r="N469" s="581"/>
      <c r="O469" s="649"/>
      <c r="P469" s="581"/>
      <c r="Q469" s="581"/>
      <c r="R469" s="653"/>
    </row>
    <row r="470" spans="1:18" ht="72" hidden="1">
      <c r="A470" s="647">
        <v>2810</v>
      </c>
      <c r="B470" s="651" t="s">
        <v>594</v>
      </c>
      <c r="C470" s="693"/>
      <c r="D470" s="581">
        <f>G470+J470+P470+M470</f>
        <v>0</v>
      </c>
      <c r="E470" s="581">
        <f>SUM(H470+K470+N470+Q470)</f>
        <v>0</v>
      </c>
      <c r="F470" s="582" t="e">
        <f>E470/D470*100</f>
        <v>#DIV/0!</v>
      </c>
      <c r="G470" s="693"/>
      <c r="H470" s="581"/>
      <c r="I470" s="585" t="e">
        <f>H470/G470*100</f>
        <v>#DIV/0!</v>
      </c>
      <c r="J470" s="586"/>
      <c r="K470" s="581"/>
      <c r="L470" s="587"/>
      <c r="M470" s="586"/>
      <c r="N470" s="586"/>
      <c r="O470" s="649"/>
      <c r="P470" s="581"/>
      <c r="Q470" s="581"/>
      <c r="R470" s="653"/>
    </row>
    <row r="471" spans="1:18" ht="62.25" customHeight="1" thickBot="1">
      <c r="A471" s="647">
        <v>2820</v>
      </c>
      <c r="B471" s="651" t="s">
        <v>476</v>
      </c>
      <c r="C471" s="693">
        <v>668000</v>
      </c>
      <c r="D471" s="581">
        <f aca="true" t="shared" si="53" ref="D471:D539">G471+J471+P471+M471</f>
        <v>668000</v>
      </c>
      <c r="E471" s="581">
        <f t="shared" si="51"/>
        <v>190000</v>
      </c>
      <c r="F471" s="582">
        <f>E471/D471*100</f>
        <v>28.443113772455092</v>
      </c>
      <c r="G471" s="693">
        <v>668000</v>
      </c>
      <c r="H471" s="581">
        <v>190000</v>
      </c>
      <c r="I471" s="585">
        <f>H471/G471*100</f>
        <v>28.443113772455092</v>
      </c>
      <c r="J471" s="586"/>
      <c r="K471" s="581"/>
      <c r="L471" s="587"/>
      <c r="M471" s="603"/>
      <c r="N471" s="586"/>
      <c r="O471" s="649"/>
      <c r="P471" s="581"/>
      <c r="Q471" s="581"/>
      <c r="R471" s="653"/>
    </row>
    <row r="472" spans="1:26" s="702" customFormat="1" ht="12.75" customHeight="1" hidden="1">
      <c r="A472" s="694"/>
      <c r="B472" s="695" t="s">
        <v>686</v>
      </c>
      <c r="C472" s="745"/>
      <c r="D472" s="581">
        <f t="shared" si="53"/>
        <v>0</v>
      </c>
      <c r="E472" s="581">
        <f t="shared" si="51"/>
        <v>0</v>
      </c>
      <c r="F472" s="582" t="e">
        <f aca="true" t="shared" si="54" ref="F472:F535">E472/D472*100</f>
        <v>#DIV/0!</v>
      </c>
      <c r="G472" s="745"/>
      <c r="H472" s="746"/>
      <c r="I472" s="627" t="e">
        <f aca="true" t="shared" si="55" ref="I472:I477">H472/G472*100</f>
        <v>#DIV/0!</v>
      </c>
      <c r="J472" s="748"/>
      <c r="K472" s="746"/>
      <c r="L472" s="587"/>
      <c r="M472" s="745"/>
      <c r="N472" s="748"/>
      <c r="O472" s="587"/>
      <c r="P472" s="746"/>
      <c r="Q472" s="746"/>
      <c r="R472" s="715"/>
      <c r="S472" s="700"/>
      <c r="T472" s="700"/>
      <c r="U472" s="700"/>
      <c r="V472" s="700"/>
      <c r="W472" s="701"/>
      <c r="X472" s="701"/>
      <c r="Y472" s="701"/>
      <c r="Z472" s="701"/>
    </row>
    <row r="473" spans="1:26" s="702" customFormat="1" ht="15" customHeight="1" hidden="1">
      <c r="A473" s="694"/>
      <c r="B473" s="695" t="s">
        <v>687</v>
      </c>
      <c r="C473" s="745"/>
      <c r="D473" s="581">
        <f t="shared" si="53"/>
        <v>0</v>
      </c>
      <c r="E473" s="581">
        <f t="shared" si="51"/>
        <v>0</v>
      </c>
      <c r="F473" s="582" t="e">
        <f t="shared" si="54"/>
        <v>#DIV/0!</v>
      </c>
      <c r="G473" s="745"/>
      <c r="H473" s="746"/>
      <c r="I473" s="627" t="e">
        <f t="shared" si="55"/>
        <v>#DIV/0!</v>
      </c>
      <c r="J473" s="748"/>
      <c r="K473" s="746"/>
      <c r="L473" s="587"/>
      <c r="M473" s="745"/>
      <c r="N473" s="748"/>
      <c r="O473" s="587"/>
      <c r="P473" s="746"/>
      <c r="Q473" s="746"/>
      <c r="R473" s="715"/>
      <c r="S473" s="700"/>
      <c r="T473" s="700"/>
      <c r="U473" s="700"/>
      <c r="V473" s="700"/>
      <c r="W473" s="701"/>
      <c r="X473" s="701"/>
      <c r="Y473" s="701"/>
      <c r="Z473" s="701"/>
    </row>
    <row r="474" spans="1:26" s="760" customFormat="1" ht="18" customHeight="1" hidden="1" thickBot="1">
      <c r="A474" s="752"/>
      <c r="B474" s="753" t="s">
        <v>278</v>
      </c>
      <c r="C474" s="802"/>
      <c r="D474" s="755">
        <f t="shared" si="53"/>
        <v>0</v>
      </c>
      <c r="E474" s="755">
        <f t="shared" si="51"/>
        <v>0</v>
      </c>
      <c r="F474" s="582" t="e">
        <f t="shared" si="54"/>
        <v>#DIV/0!</v>
      </c>
      <c r="G474" s="754">
        <f>SUM(G475:G482)</f>
        <v>0</v>
      </c>
      <c r="H474" s="755">
        <f>SUM(H475:H482)</f>
        <v>0</v>
      </c>
      <c r="I474" s="627" t="e">
        <f t="shared" si="55"/>
        <v>#DIV/0!</v>
      </c>
      <c r="J474" s="803"/>
      <c r="K474" s="803"/>
      <c r="L474" s="662"/>
      <c r="M474" s="802"/>
      <c r="N474" s="803"/>
      <c r="O474" s="662"/>
      <c r="P474" s="804"/>
      <c r="Q474" s="804"/>
      <c r="R474" s="757"/>
      <c r="S474" s="758"/>
      <c r="T474" s="758"/>
      <c r="U474" s="758"/>
      <c r="V474" s="758"/>
      <c r="W474" s="759"/>
      <c r="X474" s="759"/>
      <c r="Y474" s="759"/>
      <c r="Z474" s="759"/>
    </row>
    <row r="475" spans="1:18" ht="25.5" customHeight="1" hidden="1" thickBot="1">
      <c r="A475" s="647">
        <v>4110</v>
      </c>
      <c r="B475" s="651" t="s">
        <v>477</v>
      </c>
      <c r="C475" s="786"/>
      <c r="D475" s="581">
        <f t="shared" si="53"/>
        <v>0</v>
      </c>
      <c r="E475" s="581">
        <f t="shared" si="51"/>
        <v>0</v>
      </c>
      <c r="F475" s="582" t="e">
        <f t="shared" si="54"/>
        <v>#DIV/0!</v>
      </c>
      <c r="G475" s="786"/>
      <c r="H475" s="785"/>
      <c r="I475" s="627" t="e">
        <f t="shared" si="55"/>
        <v>#DIV/0!</v>
      </c>
      <c r="J475" s="787"/>
      <c r="K475" s="787"/>
      <c r="L475" s="649"/>
      <c r="M475" s="786"/>
      <c r="N475" s="787"/>
      <c r="O475" s="649"/>
      <c r="P475" s="785"/>
      <c r="Q475" s="785"/>
      <c r="R475" s="653"/>
    </row>
    <row r="476" spans="1:18" ht="18" customHeight="1" hidden="1" thickBot="1">
      <c r="A476" s="647">
        <v>4120</v>
      </c>
      <c r="B476" s="651" t="s">
        <v>478</v>
      </c>
      <c r="C476" s="786"/>
      <c r="D476" s="581">
        <f t="shared" si="53"/>
        <v>0</v>
      </c>
      <c r="E476" s="581">
        <f t="shared" si="51"/>
        <v>0</v>
      </c>
      <c r="F476" s="582" t="e">
        <f t="shared" si="54"/>
        <v>#DIV/0!</v>
      </c>
      <c r="G476" s="786"/>
      <c r="H476" s="785"/>
      <c r="I476" s="627" t="e">
        <f t="shared" si="55"/>
        <v>#DIV/0!</v>
      </c>
      <c r="J476" s="787"/>
      <c r="K476" s="787"/>
      <c r="L476" s="649"/>
      <c r="M476" s="786"/>
      <c r="N476" s="787"/>
      <c r="O476" s="649"/>
      <c r="P476" s="785"/>
      <c r="Q476" s="785"/>
      <c r="R476" s="653"/>
    </row>
    <row r="477" spans="1:18" ht="25.5" customHeight="1" hidden="1" thickBot="1">
      <c r="A477" s="647">
        <v>4170</v>
      </c>
      <c r="B477" s="651" t="s">
        <v>479</v>
      </c>
      <c r="C477" s="786"/>
      <c r="D477" s="581">
        <f t="shared" si="53"/>
        <v>0</v>
      </c>
      <c r="E477" s="581">
        <f t="shared" si="51"/>
        <v>0</v>
      </c>
      <c r="F477" s="582" t="e">
        <f t="shared" si="54"/>
        <v>#DIV/0!</v>
      </c>
      <c r="G477" s="786"/>
      <c r="H477" s="785"/>
      <c r="I477" s="627" t="e">
        <f t="shared" si="55"/>
        <v>#DIV/0!</v>
      </c>
      <c r="J477" s="787"/>
      <c r="K477" s="787"/>
      <c r="L477" s="649"/>
      <c r="M477" s="786"/>
      <c r="N477" s="787"/>
      <c r="O477" s="649"/>
      <c r="P477" s="785"/>
      <c r="Q477" s="785"/>
      <c r="R477" s="653"/>
    </row>
    <row r="478" spans="1:18" ht="25.5" customHeight="1" hidden="1" thickBot="1">
      <c r="A478" s="647">
        <v>4210</v>
      </c>
      <c r="B478" s="651" t="s">
        <v>480</v>
      </c>
      <c r="C478" s="786"/>
      <c r="D478" s="581">
        <f t="shared" si="53"/>
        <v>0</v>
      </c>
      <c r="E478" s="581">
        <f t="shared" si="51"/>
        <v>0</v>
      </c>
      <c r="F478" s="582" t="e">
        <f t="shared" si="54"/>
        <v>#DIV/0!</v>
      </c>
      <c r="G478" s="786"/>
      <c r="H478" s="785"/>
      <c r="I478" s="627" t="e">
        <f>H478/G478*100</f>
        <v>#DIV/0!</v>
      </c>
      <c r="J478" s="787"/>
      <c r="K478" s="787"/>
      <c r="L478" s="649"/>
      <c r="M478" s="786"/>
      <c r="N478" s="787"/>
      <c r="O478" s="649"/>
      <c r="P478" s="785"/>
      <c r="Q478" s="785"/>
      <c r="R478" s="653"/>
    </row>
    <row r="479" spans="1:18" ht="25.5" customHeight="1" hidden="1" thickBot="1">
      <c r="A479" s="647">
        <v>4300</v>
      </c>
      <c r="B479" s="651" t="s">
        <v>481</v>
      </c>
      <c r="C479" s="786"/>
      <c r="D479" s="581">
        <f t="shared" si="53"/>
        <v>0</v>
      </c>
      <c r="E479" s="581">
        <f t="shared" si="51"/>
        <v>0</v>
      </c>
      <c r="F479" s="582" t="e">
        <f t="shared" si="54"/>
        <v>#DIV/0!</v>
      </c>
      <c r="G479" s="786"/>
      <c r="H479" s="785"/>
      <c r="I479" s="627" t="e">
        <f>H479/G479*100</f>
        <v>#DIV/0!</v>
      </c>
      <c r="J479" s="787"/>
      <c r="K479" s="787"/>
      <c r="L479" s="649"/>
      <c r="M479" s="786"/>
      <c r="N479" s="787"/>
      <c r="O479" s="649"/>
      <c r="P479" s="785"/>
      <c r="Q479" s="785"/>
      <c r="R479" s="653"/>
    </row>
    <row r="480" spans="1:18" ht="52.5" customHeight="1" hidden="1" thickBot="1">
      <c r="A480" s="647">
        <v>4370</v>
      </c>
      <c r="B480" s="712" t="s">
        <v>279</v>
      </c>
      <c r="C480" s="786"/>
      <c r="D480" s="581">
        <f t="shared" si="53"/>
        <v>0</v>
      </c>
      <c r="E480" s="581">
        <f t="shared" si="51"/>
        <v>0</v>
      </c>
      <c r="F480" s="582" t="e">
        <f t="shared" si="54"/>
        <v>#DIV/0!</v>
      </c>
      <c r="G480" s="786"/>
      <c r="H480" s="785"/>
      <c r="I480" s="627" t="e">
        <f>H480/G480*100</f>
        <v>#DIV/0!</v>
      </c>
      <c r="J480" s="787"/>
      <c r="K480" s="787"/>
      <c r="L480" s="649"/>
      <c r="M480" s="786"/>
      <c r="N480" s="787"/>
      <c r="O480" s="649"/>
      <c r="P480" s="785"/>
      <c r="Q480" s="785"/>
      <c r="R480" s="653"/>
    </row>
    <row r="481" spans="1:18" ht="49.5" customHeight="1" hidden="1" thickBot="1">
      <c r="A481" s="647">
        <v>4740</v>
      </c>
      <c r="B481" s="712" t="s">
        <v>280</v>
      </c>
      <c r="C481" s="786"/>
      <c r="D481" s="581">
        <f t="shared" si="53"/>
        <v>0</v>
      </c>
      <c r="E481" s="581">
        <f t="shared" si="51"/>
        <v>0</v>
      </c>
      <c r="F481" s="582" t="e">
        <f t="shared" si="54"/>
        <v>#DIV/0!</v>
      </c>
      <c r="G481" s="786"/>
      <c r="H481" s="785"/>
      <c r="I481" s="627" t="e">
        <f>H481/G481*100</f>
        <v>#DIV/0!</v>
      </c>
      <c r="J481" s="787"/>
      <c r="K481" s="787"/>
      <c r="L481" s="649"/>
      <c r="M481" s="786"/>
      <c r="N481" s="787"/>
      <c r="O481" s="649"/>
      <c r="P481" s="785"/>
      <c r="Q481" s="785"/>
      <c r="R481" s="653"/>
    </row>
    <row r="482" spans="1:18" ht="37.5" customHeight="1" hidden="1" thickBot="1">
      <c r="A482" s="647">
        <v>4750</v>
      </c>
      <c r="B482" s="712" t="s">
        <v>281</v>
      </c>
      <c r="C482" s="786"/>
      <c r="D482" s="631">
        <f t="shared" si="53"/>
        <v>0</v>
      </c>
      <c r="E482" s="631">
        <f t="shared" si="51"/>
        <v>0</v>
      </c>
      <c r="F482" s="582" t="e">
        <f t="shared" si="54"/>
        <v>#DIV/0!</v>
      </c>
      <c r="G482" s="786"/>
      <c r="H482" s="785"/>
      <c r="I482" s="627" t="e">
        <f>H482/G482*100</f>
        <v>#DIV/0!</v>
      </c>
      <c r="J482" s="787"/>
      <c r="K482" s="787"/>
      <c r="L482" s="649"/>
      <c r="M482" s="786"/>
      <c r="N482" s="787"/>
      <c r="O482" s="649"/>
      <c r="P482" s="785"/>
      <c r="Q482" s="785"/>
      <c r="R482" s="653"/>
    </row>
    <row r="483" spans="1:26" s="639" customFormat="1" ht="73.5" thickBot="1" thickTop="1">
      <c r="A483" s="632">
        <v>751</v>
      </c>
      <c r="B483" s="633" t="s">
        <v>688</v>
      </c>
      <c r="C483" s="634">
        <f>C484</f>
        <v>17977</v>
      </c>
      <c r="D483" s="556">
        <f t="shared" si="53"/>
        <v>17977</v>
      </c>
      <c r="E483" s="556">
        <f>H483+K483+Q483+N483</f>
        <v>725</v>
      </c>
      <c r="F483" s="557">
        <f t="shared" si="54"/>
        <v>4.032930967347166</v>
      </c>
      <c r="G483" s="634"/>
      <c r="H483" s="556"/>
      <c r="I483" s="637"/>
      <c r="J483" s="556">
        <f>J484+J498+J491</f>
        <v>17977</v>
      </c>
      <c r="K483" s="560">
        <f>K484+K498+K491</f>
        <v>725</v>
      </c>
      <c r="L483" s="559">
        <f aca="true" t="shared" si="56" ref="L483:L509">K483/J483*100</f>
        <v>4.032930967347166</v>
      </c>
      <c r="M483" s="634"/>
      <c r="N483" s="560"/>
      <c r="O483" s="637"/>
      <c r="P483" s="556"/>
      <c r="Q483" s="556"/>
      <c r="R483" s="741"/>
      <c r="S483" s="564"/>
      <c r="T483" s="564"/>
      <c r="U483" s="564"/>
      <c r="V483" s="564"/>
      <c r="W483" s="565"/>
      <c r="X483" s="565"/>
      <c r="Y483" s="565"/>
      <c r="Z483" s="565"/>
    </row>
    <row r="484" spans="1:26" s="639" customFormat="1" ht="48.75" thickTop="1">
      <c r="A484" s="719">
        <v>75101</v>
      </c>
      <c r="B484" s="720" t="s">
        <v>689</v>
      </c>
      <c r="C484" s="767">
        <f>SUM(C485:C490)</f>
        <v>17977</v>
      </c>
      <c r="D484" s="642">
        <f t="shared" si="53"/>
        <v>17977</v>
      </c>
      <c r="E484" s="642">
        <f>SUM(E485:E490)</f>
        <v>725</v>
      </c>
      <c r="F484" s="643">
        <f t="shared" si="54"/>
        <v>4.032930967347166</v>
      </c>
      <c r="G484" s="721"/>
      <c r="H484" s="642"/>
      <c r="I484" s="689"/>
      <c r="J484" s="642">
        <f>SUM(J485:J490)</f>
        <v>17977</v>
      </c>
      <c r="K484" s="642">
        <f>SUM(K485:K490)</f>
        <v>725</v>
      </c>
      <c r="L484" s="644">
        <f t="shared" si="56"/>
        <v>4.032930967347166</v>
      </c>
      <c r="M484" s="721"/>
      <c r="N484" s="723"/>
      <c r="O484" s="689"/>
      <c r="P484" s="642"/>
      <c r="Q484" s="642"/>
      <c r="R484" s="680"/>
      <c r="S484" s="564"/>
      <c r="T484" s="564"/>
      <c r="U484" s="564"/>
      <c r="V484" s="564"/>
      <c r="W484" s="565"/>
      <c r="X484" s="565"/>
      <c r="Y484" s="565"/>
      <c r="Z484" s="565"/>
    </row>
    <row r="485" spans="1:18" ht="27.75" customHeight="1">
      <c r="A485" s="667">
        <v>4110</v>
      </c>
      <c r="B485" s="668" t="s">
        <v>187</v>
      </c>
      <c r="C485" s="606">
        <v>2321</v>
      </c>
      <c r="D485" s="615">
        <f t="shared" si="53"/>
        <v>2321</v>
      </c>
      <c r="E485" s="615">
        <f aca="true" t="shared" si="57" ref="E485:E515">SUM(H485+K485+N485+Q485)</f>
        <v>0</v>
      </c>
      <c r="F485" s="604">
        <f t="shared" si="54"/>
        <v>0</v>
      </c>
      <c r="G485" s="606"/>
      <c r="H485" s="615"/>
      <c r="I485" s="686"/>
      <c r="J485" s="778">
        <v>2321</v>
      </c>
      <c r="K485" s="615"/>
      <c r="L485" s="669">
        <f t="shared" si="56"/>
        <v>0</v>
      </c>
      <c r="M485" s="606"/>
      <c r="N485" s="618"/>
      <c r="O485" s="686"/>
      <c r="P485" s="615"/>
      <c r="Q485" s="615"/>
      <c r="R485" s="671"/>
    </row>
    <row r="486" spans="1:18" ht="12.75">
      <c r="A486" s="647">
        <v>4120</v>
      </c>
      <c r="B486" s="651" t="s">
        <v>690</v>
      </c>
      <c r="C486" s="603">
        <v>331</v>
      </c>
      <c r="D486" s="581">
        <f t="shared" si="53"/>
        <v>331</v>
      </c>
      <c r="E486" s="581">
        <f t="shared" si="57"/>
        <v>0</v>
      </c>
      <c r="F486" s="582">
        <f t="shared" si="54"/>
        <v>0</v>
      </c>
      <c r="G486" s="603"/>
      <c r="H486" s="581"/>
      <c r="I486" s="649"/>
      <c r="J486" s="772">
        <v>331</v>
      </c>
      <c r="K486" s="581"/>
      <c r="L486" s="627">
        <f t="shared" si="56"/>
        <v>0</v>
      </c>
      <c r="M486" s="603"/>
      <c r="N486" s="586"/>
      <c r="O486" s="649"/>
      <c r="P486" s="581"/>
      <c r="Q486" s="581"/>
      <c r="R486" s="653"/>
    </row>
    <row r="487" spans="1:18" ht="24">
      <c r="A487" s="647">
        <v>4170</v>
      </c>
      <c r="B487" s="651" t="s">
        <v>221</v>
      </c>
      <c r="C487" s="603">
        <v>13500</v>
      </c>
      <c r="D487" s="581">
        <f t="shared" si="53"/>
        <v>13500</v>
      </c>
      <c r="E487" s="581">
        <f t="shared" si="57"/>
        <v>0</v>
      </c>
      <c r="F487" s="582">
        <f t="shared" si="54"/>
        <v>0</v>
      </c>
      <c r="G487" s="603"/>
      <c r="H487" s="581"/>
      <c r="I487" s="649"/>
      <c r="J487" s="772">
        <v>13500</v>
      </c>
      <c r="K487" s="581"/>
      <c r="L487" s="627">
        <f t="shared" si="56"/>
        <v>0</v>
      </c>
      <c r="M487" s="603"/>
      <c r="N487" s="586"/>
      <c r="O487" s="649"/>
      <c r="P487" s="581"/>
      <c r="Q487" s="581"/>
      <c r="R487" s="653"/>
    </row>
    <row r="488" spans="1:18" ht="24">
      <c r="A488" s="647">
        <v>4210</v>
      </c>
      <c r="B488" s="651" t="s">
        <v>691</v>
      </c>
      <c r="C488" s="603">
        <v>725</v>
      </c>
      <c r="D488" s="581">
        <f t="shared" si="53"/>
        <v>725</v>
      </c>
      <c r="E488" s="581">
        <f t="shared" si="57"/>
        <v>725</v>
      </c>
      <c r="F488" s="582">
        <f t="shared" si="54"/>
        <v>100</v>
      </c>
      <c r="G488" s="603"/>
      <c r="H488" s="581"/>
      <c r="I488" s="649"/>
      <c r="J488" s="772">
        <v>725</v>
      </c>
      <c r="K488" s="581">
        <v>725</v>
      </c>
      <c r="L488" s="627">
        <f t="shared" si="56"/>
        <v>100</v>
      </c>
      <c r="M488" s="603"/>
      <c r="N488" s="586"/>
      <c r="O488" s="649"/>
      <c r="P488" s="581"/>
      <c r="Q488" s="581"/>
      <c r="R488" s="653"/>
    </row>
    <row r="489" spans="1:18" ht="49.5" customHeight="1">
      <c r="A489" s="647">
        <v>4740</v>
      </c>
      <c r="B489" s="651" t="s">
        <v>215</v>
      </c>
      <c r="C489" s="603">
        <v>500</v>
      </c>
      <c r="D489" s="581">
        <f>G489+J489+P489+M489</f>
        <v>500</v>
      </c>
      <c r="E489" s="581">
        <f>SUM(H489+K489+N489+Q489)</f>
        <v>0</v>
      </c>
      <c r="F489" s="582">
        <f>E489/D489*100</f>
        <v>0</v>
      </c>
      <c r="G489" s="603"/>
      <c r="H489" s="581"/>
      <c r="I489" s="649"/>
      <c r="J489" s="772">
        <v>500</v>
      </c>
      <c r="K489" s="581"/>
      <c r="L489" s="627">
        <f t="shared" si="56"/>
        <v>0</v>
      </c>
      <c r="M489" s="603"/>
      <c r="N489" s="586"/>
      <c r="O489" s="649"/>
      <c r="P489" s="581"/>
      <c r="Q489" s="581"/>
      <c r="R489" s="653"/>
    </row>
    <row r="490" spans="1:26" s="639" customFormat="1" ht="36.75" thickBot="1">
      <c r="A490" s="647">
        <v>4750</v>
      </c>
      <c r="B490" s="712" t="s">
        <v>589</v>
      </c>
      <c r="C490" s="693">
        <v>600</v>
      </c>
      <c r="D490" s="581">
        <f t="shared" si="53"/>
        <v>600</v>
      </c>
      <c r="E490" s="581">
        <f t="shared" si="57"/>
        <v>0</v>
      </c>
      <c r="F490" s="582">
        <f t="shared" si="54"/>
        <v>0</v>
      </c>
      <c r="G490" s="603"/>
      <c r="H490" s="581"/>
      <c r="I490" s="649"/>
      <c r="J490" s="693">
        <v>600</v>
      </c>
      <c r="K490" s="581"/>
      <c r="L490" s="627">
        <f t="shared" si="56"/>
        <v>0</v>
      </c>
      <c r="M490" s="603"/>
      <c r="N490" s="586"/>
      <c r="O490" s="649"/>
      <c r="P490" s="581"/>
      <c r="Q490" s="581"/>
      <c r="R490" s="653"/>
      <c r="S490" s="564"/>
      <c r="T490" s="564"/>
      <c r="U490" s="564"/>
      <c r="V490" s="564"/>
      <c r="W490" s="565"/>
      <c r="X490" s="565"/>
      <c r="Y490" s="565"/>
      <c r="Z490" s="565"/>
    </row>
    <row r="491" spans="1:26" s="639" customFormat="1" ht="24.75" hidden="1" thickBot="1">
      <c r="A491" s="640">
        <v>75107</v>
      </c>
      <c r="B491" s="742" t="s">
        <v>692</v>
      </c>
      <c r="C491" s="608"/>
      <c r="D491" s="595">
        <f t="shared" si="53"/>
        <v>0</v>
      </c>
      <c r="E491" s="595">
        <f t="shared" si="57"/>
        <v>0</v>
      </c>
      <c r="F491" s="624" t="e">
        <f t="shared" si="54"/>
        <v>#DIV/0!</v>
      </c>
      <c r="G491" s="608"/>
      <c r="H491" s="595"/>
      <c r="I491" s="645"/>
      <c r="J491" s="773">
        <f>SUM(J492:J497)</f>
        <v>0</v>
      </c>
      <c r="K491" s="595">
        <f>SUM(K492:K497)</f>
        <v>0</v>
      </c>
      <c r="L491" s="624" t="e">
        <f t="shared" si="56"/>
        <v>#DIV/0!</v>
      </c>
      <c r="M491" s="608"/>
      <c r="N491" s="600"/>
      <c r="O491" s="684"/>
      <c r="P491" s="600"/>
      <c r="Q491" s="595"/>
      <c r="R491" s="685"/>
      <c r="S491" s="564"/>
      <c r="T491" s="564"/>
      <c r="U491" s="564"/>
      <c r="V491" s="564"/>
      <c r="W491" s="565"/>
      <c r="X491" s="565"/>
      <c r="Y491" s="565"/>
      <c r="Z491" s="565"/>
    </row>
    <row r="492" spans="1:26" s="639" customFormat="1" ht="24.75" hidden="1" thickBot="1">
      <c r="A492" s="647">
        <v>3030</v>
      </c>
      <c r="B492" s="651" t="s">
        <v>179</v>
      </c>
      <c r="C492" s="603"/>
      <c r="D492" s="581">
        <f t="shared" si="53"/>
        <v>0</v>
      </c>
      <c r="E492" s="581">
        <f t="shared" si="57"/>
        <v>0</v>
      </c>
      <c r="F492" s="582" t="e">
        <f t="shared" si="54"/>
        <v>#DIV/0!</v>
      </c>
      <c r="G492" s="603"/>
      <c r="H492" s="581"/>
      <c r="I492" s="649"/>
      <c r="J492" s="772"/>
      <c r="K492" s="581"/>
      <c r="L492" s="627" t="e">
        <f t="shared" si="56"/>
        <v>#DIV/0!</v>
      </c>
      <c r="M492" s="603"/>
      <c r="N492" s="586"/>
      <c r="O492" s="649"/>
      <c r="P492" s="586"/>
      <c r="Q492" s="581"/>
      <c r="R492" s="653"/>
      <c r="S492" s="564"/>
      <c r="T492" s="564"/>
      <c r="U492" s="564"/>
      <c r="V492" s="564"/>
      <c r="W492" s="565"/>
      <c r="X492" s="565"/>
      <c r="Y492" s="565"/>
      <c r="Z492" s="565"/>
    </row>
    <row r="493" spans="1:26" s="639" customFormat="1" ht="36.75" hidden="1" thickBot="1">
      <c r="A493" s="647">
        <v>4110</v>
      </c>
      <c r="B493" s="651" t="s">
        <v>187</v>
      </c>
      <c r="C493" s="603"/>
      <c r="D493" s="581">
        <f t="shared" si="53"/>
        <v>0</v>
      </c>
      <c r="E493" s="581">
        <f t="shared" si="57"/>
        <v>0</v>
      </c>
      <c r="F493" s="582" t="e">
        <f t="shared" si="54"/>
        <v>#DIV/0!</v>
      </c>
      <c r="G493" s="603"/>
      <c r="H493" s="581"/>
      <c r="I493" s="649"/>
      <c r="J493" s="772"/>
      <c r="K493" s="581"/>
      <c r="L493" s="627" t="e">
        <f t="shared" si="56"/>
        <v>#DIV/0!</v>
      </c>
      <c r="M493" s="603"/>
      <c r="N493" s="586"/>
      <c r="O493" s="649"/>
      <c r="P493" s="586"/>
      <c r="Q493" s="581"/>
      <c r="R493" s="653"/>
      <c r="S493" s="564"/>
      <c r="T493" s="564"/>
      <c r="U493" s="564"/>
      <c r="V493" s="564"/>
      <c r="W493" s="565"/>
      <c r="X493" s="565"/>
      <c r="Y493" s="565"/>
      <c r="Z493" s="565"/>
    </row>
    <row r="494" spans="1:26" s="639" customFormat="1" ht="13.5" hidden="1" thickBot="1">
      <c r="A494" s="647">
        <v>4120</v>
      </c>
      <c r="B494" s="651" t="s">
        <v>619</v>
      </c>
      <c r="C494" s="603"/>
      <c r="D494" s="581">
        <f t="shared" si="53"/>
        <v>0</v>
      </c>
      <c r="E494" s="581">
        <f t="shared" si="57"/>
        <v>0</v>
      </c>
      <c r="F494" s="582" t="e">
        <f t="shared" si="54"/>
        <v>#DIV/0!</v>
      </c>
      <c r="G494" s="603"/>
      <c r="H494" s="581"/>
      <c r="I494" s="649"/>
      <c r="J494" s="772"/>
      <c r="K494" s="581"/>
      <c r="L494" s="627" t="e">
        <f t="shared" si="56"/>
        <v>#DIV/0!</v>
      </c>
      <c r="M494" s="603"/>
      <c r="N494" s="586"/>
      <c r="O494" s="649"/>
      <c r="P494" s="586"/>
      <c r="Q494" s="581"/>
      <c r="R494" s="653"/>
      <c r="S494" s="564"/>
      <c r="T494" s="564"/>
      <c r="U494" s="564"/>
      <c r="V494" s="564"/>
      <c r="W494" s="565"/>
      <c r="X494" s="565"/>
      <c r="Y494" s="565"/>
      <c r="Z494" s="565"/>
    </row>
    <row r="495" spans="1:26" s="639" customFormat="1" ht="24.75" hidden="1" thickBot="1">
      <c r="A495" s="647">
        <v>4170</v>
      </c>
      <c r="B495" s="651" t="s">
        <v>221</v>
      </c>
      <c r="C495" s="603"/>
      <c r="D495" s="581">
        <f t="shared" si="53"/>
        <v>0</v>
      </c>
      <c r="E495" s="581">
        <f t="shared" si="57"/>
        <v>0</v>
      </c>
      <c r="F495" s="582" t="e">
        <f t="shared" si="54"/>
        <v>#DIV/0!</v>
      </c>
      <c r="G495" s="603"/>
      <c r="H495" s="581"/>
      <c r="I495" s="649"/>
      <c r="J495" s="772"/>
      <c r="K495" s="581"/>
      <c r="L495" s="627" t="e">
        <f t="shared" si="56"/>
        <v>#DIV/0!</v>
      </c>
      <c r="M495" s="603"/>
      <c r="N495" s="586"/>
      <c r="O495" s="649"/>
      <c r="P495" s="586"/>
      <c r="Q495" s="581"/>
      <c r="R495" s="653"/>
      <c r="S495" s="564"/>
      <c r="T495" s="564"/>
      <c r="U495" s="564"/>
      <c r="V495" s="564"/>
      <c r="W495" s="565"/>
      <c r="X495" s="565"/>
      <c r="Y495" s="565"/>
      <c r="Z495" s="565"/>
    </row>
    <row r="496" spans="1:26" s="639" customFormat="1" ht="24.75" hidden="1" thickBot="1">
      <c r="A496" s="647">
        <v>4210</v>
      </c>
      <c r="B496" s="651" t="s">
        <v>191</v>
      </c>
      <c r="C496" s="603"/>
      <c r="D496" s="581">
        <f t="shared" si="53"/>
        <v>0</v>
      </c>
      <c r="E496" s="581">
        <f t="shared" si="57"/>
        <v>0</v>
      </c>
      <c r="F496" s="582" t="e">
        <f t="shared" si="54"/>
        <v>#DIV/0!</v>
      </c>
      <c r="G496" s="603"/>
      <c r="H496" s="581"/>
      <c r="I496" s="649"/>
      <c r="J496" s="772"/>
      <c r="K496" s="581"/>
      <c r="L496" s="627" t="e">
        <f t="shared" si="56"/>
        <v>#DIV/0!</v>
      </c>
      <c r="M496" s="603"/>
      <c r="N496" s="586"/>
      <c r="O496" s="649"/>
      <c r="P496" s="586"/>
      <c r="Q496" s="581"/>
      <c r="R496" s="653"/>
      <c r="S496" s="564"/>
      <c r="T496" s="564"/>
      <c r="U496" s="564"/>
      <c r="V496" s="564"/>
      <c r="W496" s="565"/>
      <c r="X496" s="565"/>
      <c r="Y496" s="565"/>
      <c r="Z496" s="565"/>
    </row>
    <row r="497" spans="1:26" s="639" customFormat="1" ht="24.75" hidden="1" thickBot="1">
      <c r="A497" s="647">
        <v>4300</v>
      </c>
      <c r="B497" s="651" t="s">
        <v>199</v>
      </c>
      <c r="C497" s="603"/>
      <c r="D497" s="581">
        <f t="shared" si="53"/>
        <v>0</v>
      </c>
      <c r="E497" s="581">
        <f t="shared" si="57"/>
        <v>0</v>
      </c>
      <c r="F497" s="582" t="e">
        <f t="shared" si="54"/>
        <v>#DIV/0!</v>
      </c>
      <c r="G497" s="603"/>
      <c r="H497" s="581"/>
      <c r="I497" s="649"/>
      <c r="J497" s="772"/>
      <c r="K497" s="581"/>
      <c r="L497" s="627" t="e">
        <f t="shared" si="56"/>
        <v>#DIV/0!</v>
      </c>
      <c r="M497" s="603"/>
      <c r="N497" s="586"/>
      <c r="O497" s="649"/>
      <c r="P497" s="586"/>
      <c r="Q497" s="581"/>
      <c r="R497" s="653"/>
      <c r="S497" s="564"/>
      <c r="T497" s="564"/>
      <c r="U497" s="564"/>
      <c r="V497" s="564"/>
      <c r="W497" s="565"/>
      <c r="X497" s="565"/>
      <c r="Y497" s="565"/>
      <c r="Z497" s="565"/>
    </row>
    <row r="498" spans="1:26" s="639" customFormat="1" ht="24.75" hidden="1" thickBot="1">
      <c r="A498" s="640">
        <v>75113</v>
      </c>
      <c r="B498" s="742" t="s">
        <v>482</v>
      </c>
      <c r="C498" s="608"/>
      <c r="D498" s="595">
        <f t="shared" si="53"/>
        <v>0</v>
      </c>
      <c r="E498" s="595">
        <f t="shared" si="57"/>
        <v>0</v>
      </c>
      <c r="F498" s="609" t="e">
        <f t="shared" si="54"/>
        <v>#DIV/0!</v>
      </c>
      <c r="G498" s="608"/>
      <c r="H498" s="595"/>
      <c r="I498" s="645"/>
      <c r="J498" s="683">
        <f>SUM(J499:J509)</f>
        <v>0</v>
      </c>
      <c r="K498" s="595">
        <f>SUM(K499:K509)</f>
        <v>0</v>
      </c>
      <c r="L498" s="624" t="e">
        <f t="shared" si="56"/>
        <v>#DIV/0!</v>
      </c>
      <c r="M498" s="608"/>
      <c r="N498" s="600"/>
      <c r="O498" s="684"/>
      <c r="P498" s="600"/>
      <c r="Q498" s="595"/>
      <c r="R498" s="685"/>
      <c r="S498" s="564"/>
      <c r="T498" s="564"/>
      <c r="U498" s="564"/>
      <c r="V498" s="564"/>
      <c r="W498" s="565"/>
      <c r="X498" s="565"/>
      <c r="Y498" s="565"/>
      <c r="Z498" s="565"/>
    </row>
    <row r="499" spans="1:18" ht="35.25" customHeight="1" hidden="1" thickBot="1">
      <c r="A499" s="647">
        <v>3020</v>
      </c>
      <c r="B499" s="651" t="s">
        <v>693</v>
      </c>
      <c r="C499" s="603"/>
      <c r="D499" s="581">
        <f t="shared" si="53"/>
        <v>0</v>
      </c>
      <c r="E499" s="581">
        <f t="shared" si="57"/>
        <v>0</v>
      </c>
      <c r="F499" s="582" t="e">
        <f t="shared" si="54"/>
        <v>#DIV/0!</v>
      </c>
      <c r="G499" s="603"/>
      <c r="H499" s="581"/>
      <c r="I499" s="649"/>
      <c r="J499" s="581"/>
      <c r="K499" s="586">
        <v>0</v>
      </c>
      <c r="L499" s="627" t="e">
        <f t="shared" si="56"/>
        <v>#DIV/0!</v>
      </c>
      <c r="M499" s="603"/>
      <c r="N499" s="586"/>
      <c r="O499" s="649"/>
      <c r="P499" s="586"/>
      <c r="Q499" s="581"/>
      <c r="R499" s="653"/>
    </row>
    <row r="500" spans="1:18" ht="24.75" customHeight="1" hidden="1" thickBot="1" thickTop="1">
      <c r="A500" s="647">
        <v>3030</v>
      </c>
      <c r="B500" s="651" t="s">
        <v>179</v>
      </c>
      <c r="C500" s="603"/>
      <c r="D500" s="581">
        <f t="shared" si="53"/>
        <v>0</v>
      </c>
      <c r="E500" s="581">
        <f t="shared" si="57"/>
        <v>0</v>
      </c>
      <c r="F500" s="582" t="e">
        <f t="shared" si="54"/>
        <v>#DIV/0!</v>
      </c>
      <c r="G500" s="603"/>
      <c r="H500" s="581"/>
      <c r="I500" s="649"/>
      <c r="J500" s="581"/>
      <c r="K500" s="586"/>
      <c r="L500" s="627" t="e">
        <f t="shared" si="56"/>
        <v>#DIV/0!</v>
      </c>
      <c r="M500" s="603"/>
      <c r="N500" s="586"/>
      <c r="O500" s="649"/>
      <c r="P500" s="586"/>
      <c r="Q500" s="581"/>
      <c r="R500" s="653"/>
    </row>
    <row r="501" spans="1:18" ht="24.75" customHeight="1" hidden="1">
      <c r="A501" s="647">
        <v>4110</v>
      </c>
      <c r="B501" s="651" t="s">
        <v>187</v>
      </c>
      <c r="C501" s="603"/>
      <c r="D501" s="581">
        <f t="shared" si="53"/>
        <v>0</v>
      </c>
      <c r="E501" s="581">
        <f t="shared" si="57"/>
        <v>0</v>
      </c>
      <c r="F501" s="582" t="e">
        <f t="shared" si="54"/>
        <v>#DIV/0!</v>
      </c>
      <c r="G501" s="603"/>
      <c r="H501" s="581"/>
      <c r="I501" s="649"/>
      <c r="J501" s="581"/>
      <c r="K501" s="586"/>
      <c r="L501" s="627" t="e">
        <f t="shared" si="56"/>
        <v>#DIV/0!</v>
      </c>
      <c r="M501" s="603"/>
      <c r="N501" s="586"/>
      <c r="O501" s="649"/>
      <c r="P501" s="586"/>
      <c r="Q501" s="581"/>
      <c r="R501" s="653"/>
    </row>
    <row r="502" spans="1:18" ht="15" customHeight="1" hidden="1" thickTop="1">
      <c r="A502" s="647">
        <v>4120</v>
      </c>
      <c r="B502" s="651" t="s">
        <v>619</v>
      </c>
      <c r="C502" s="603"/>
      <c r="D502" s="581">
        <f t="shared" si="53"/>
        <v>0</v>
      </c>
      <c r="E502" s="581">
        <f t="shared" si="57"/>
        <v>0</v>
      </c>
      <c r="F502" s="582" t="e">
        <f t="shared" si="54"/>
        <v>#DIV/0!</v>
      </c>
      <c r="G502" s="603"/>
      <c r="H502" s="581"/>
      <c r="I502" s="649"/>
      <c r="J502" s="581"/>
      <c r="K502" s="586"/>
      <c r="L502" s="627" t="e">
        <f t="shared" si="56"/>
        <v>#DIV/0!</v>
      </c>
      <c r="M502" s="603"/>
      <c r="N502" s="586"/>
      <c r="O502" s="649"/>
      <c r="P502" s="586"/>
      <c r="Q502" s="581"/>
      <c r="R502" s="653"/>
    </row>
    <row r="503" spans="1:26" s="639" customFormat="1" ht="26.25" customHeight="1" hidden="1" thickTop="1">
      <c r="A503" s="647">
        <v>4170</v>
      </c>
      <c r="B503" s="651" t="s">
        <v>221</v>
      </c>
      <c r="C503" s="603"/>
      <c r="D503" s="581">
        <f t="shared" si="53"/>
        <v>0</v>
      </c>
      <c r="E503" s="581">
        <f t="shared" si="57"/>
        <v>0</v>
      </c>
      <c r="F503" s="582" t="e">
        <f t="shared" si="54"/>
        <v>#DIV/0!</v>
      </c>
      <c r="G503" s="603"/>
      <c r="H503" s="581"/>
      <c r="I503" s="649"/>
      <c r="J503" s="581"/>
      <c r="K503" s="586"/>
      <c r="L503" s="627" t="e">
        <f t="shared" si="56"/>
        <v>#DIV/0!</v>
      </c>
      <c r="M503" s="603"/>
      <c r="N503" s="586"/>
      <c r="O503" s="649"/>
      <c r="P503" s="586"/>
      <c r="Q503" s="581"/>
      <c r="R503" s="653"/>
      <c r="S503" s="564"/>
      <c r="T503" s="564"/>
      <c r="U503" s="564"/>
      <c r="V503" s="564"/>
      <c r="W503" s="565"/>
      <c r="X503" s="565"/>
      <c r="Y503" s="565"/>
      <c r="Z503" s="565"/>
    </row>
    <row r="504" spans="1:26" s="639" customFormat="1" ht="24.75" customHeight="1" hidden="1" thickTop="1">
      <c r="A504" s="647">
        <v>4210</v>
      </c>
      <c r="B504" s="651" t="s">
        <v>191</v>
      </c>
      <c r="C504" s="603"/>
      <c r="D504" s="581">
        <f t="shared" si="53"/>
        <v>0</v>
      </c>
      <c r="E504" s="581">
        <f t="shared" si="57"/>
        <v>0</v>
      </c>
      <c r="F504" s="582" t="e">
        <f t="shared" si="54"/>
        <v>#DIV/0!</v>
      </c>
      <c r="G504" s="603"/>
      <c r="H504" s="581"/>
      <c r="I504" s="649"/>
      <c r="J504" s="581"/>
      <c r="K504" s="586"/>
      <c r="L504" s="627" t="e">
        <f t="shared" si="56"/>
        <v>#DIV/0!</v>
      </c>
      <c r="M504" s="603"/>
      <c r="N504" s="586"/>
      <c r="O504" s="649"/>
      <c r="P504" s="586"/>
      <c r="Q504" s="581"/>
      <c r="R504" s="653"/>
      <c r="S504" s="564"/>
      <c r="T504" s="564"/>
      <c r="U504" s="564"/>
      <c r="V504" s="564"/>
      <c r="W504" s="565"/>
      <c r="X504" s="565"/>
      <c r="Y504" s="565"/>
      <c r="Z504" s="565"/>
    </row>
    <row r="505" spans="1:26" s="639" customFormat="1" ht="13.5" hidden="1" thickBot="1">
      <c r="A505" s="647">
        <v>4260</v>
      </c>
      <c r="B505" s="651" t="s">
        <v>195</v>
      </c>
      <c r="C505" s="603"/>
      <c r="D505" s="581">
        <f t="shared" si="53"/>
        <v>0</v>
      </c>
      <c r="E505" s="581">
        <f>SUM(H505+K505+N505+Q505)</f>
        <v>0</v>
      </c>
      <c r="F505" s="582" t="e">
        <f>E505/D505*100</f>
        <v>#DIV/0!</v>
      </c>
      <c r="G505" s="603"/>
      <c r="H505" s="581"/>
      <c r="I505" s="649"/>
      <c r="J505" s="581"/>
      <c r="K505" s="586"/>
      <c r="L505" s="627" t="e">
        <f t="shared" si="56"/>
        <v>#DIV/0!</v>
      </c>
      <c r="M505" s="603"/>
      <c r="N505" s="586"/>
      <c r="O505" s="649"/>
      <c r="P505" s="586"/>
      <c r="Q505" s="581"/>
      <c r="R505" s="653"/>
      <c r="S505" s="564"/>
      <c r="T505" s="564"/>
      <c r="U505" s="564"/>
      <c r="V505" s="564"/>
      <c r="W505" s="565"/>
      <c r="X505" s="565"/>
      <c r="Y505" s="565"/>
      <c r="Z505" s="565"/>
    </row>
    <row r="506" spans="1:26" s="639" customFormat="1" ht="24.75" hidden="1" thickBot="1">
      <c r="A506" s="647">
        <v>4300</v>
      </c>
      <c r="B506" s="651" t="s">
        <v>583</v>
      </c>
      <c r="C506" s="603"/>
      <c r="D506" s="581">
        <f t="shared" si="53"/>
        <v>0</v>
      </c>
      <c r="E506" s="581">
        <f>SUM(H506+K506+N506+Q506)</f>
        <v>0</v>
      </c>
      <c r="F506" s="582" t="e">
        <f>E506/D506*100</f>
        <v>#DIV/0!</v>
      </c>
      <c r="G506" s="603"/>
      <c r="H506" s="581"/>
      <c r="I506" s="649"/>
      <c r="J506" s="581"/>
      <c r="K506" s="586"/>
      <c r="L506" s="627" t="e">
        <f t="shared" si="56"/>
        <v>#DIV/0!</v>
      </c>
      <c r="M506" s="603"/>
      <c r="N506" s="586"/>
      <c r="O506" s="649"/>
      <c r="P506" s="586"/>
      <c r="Q506" s="581"/>
      <c r="R506" s="653"/>
      <c r="S506" s="564"/>
      <c r="T506" s="564"/>
      <c r="U506" s="564"/>
      <c r="V506" s="564"/>
      <c r="W506" s="565"/>
      <c r="X506" s="565"/>
      <c r="Y506" s="565"/>
      <c r="Z506" s="565"/>
    </row>
    <row r="507" spans="1:26" s="639" customFormat="1" ht="48.75" hidden="1" thickBot="1">
      <c r="A507" s="793">
        <v>4370</v>
      </c>
      <c r="B507" s="712" t="s">
        <v>666</v>
      </c>
      <c r="C507" s="603"/>
      <c r="D507" s="581">
        <f t="shared" si="53"/>
        <v>0</v>
      </c>
      <c r="E507" s="581">
        <f>SUM(H507+K507+N507+Q507)</f>
        <v>0</v>
      </c>
      <c r="F507" s="582" t="e">
        <f>E507/D507*100</f>
        <v>#DIV/0!</v>
      </c>
      <c r="G507" s="603"/>
      <c r="H507" s="581"/>
      <c r="I507" s="649"/>
      <c r="J507" s="581"/>
      <c r="K507" s="586"/>
      <c r="L507" s="627" t="e">
        <f t="shared" si="56"/>
        <v>#DIV/0!</v>
      </c>
      <c r="M507" s="603"/>
      <c r="N507" s="586"/>
      <c r="O507" s="649"/>
      <c r="P507" s="586"/>
      <c r="Q507" s="581"/>
      <c r="R507" s="653"/>
      <c r="S507" s="564"/>
      <c r="T507" s="564"/>
      <c r="U507" s="564"/>
      <c r="V507" s="564"/>
      <c r="W507" s="565"/>
      <c r="X507" s="565"/>
      <c r="Y507" s="565"/>
      <c r="Z507" s="565"/>
    </row>
    <row r="508" spans="1:26" s="639" customFormat="1" ht="60.75" hidden="1" thickBot="1">
      <c r="A508" s="647">
        <v>4740</v>
      </c>
      <c r="B508" s="712" t="s">
        <v>215</v>
      </c>
      <c r="C508" s="603"/>
      <c r="D508" s="581">
        <f t="shared" si="53"/>
        <v>0</v>
      </c>
      <c r="E508" s="581">
        <f>SUM(H508+K508+N508+Q508)</f>
        <v>0</v>
      </c>
      <c r="F508" s="582" t="e">
        <f>E508/D508*100</f>
        <v>#DIV/0!</v>
      </c>
      <c r="G508" s="603"/>
      <c r="H508" s="581"/>
      <c r="I508" s="649"/>
      <c r="J508" s="581"/>
      <c r="K508" s="586"/>
      <c r="L508" s="627" t="e">
        <f t="shared" si="56"/>
        <v>#DIV/0!</v>
      </c>
      <c r="M508" s="603"/>
      <c r="N508" s="586"/>
      <c r="O508" s="649"/>
      <c r="P508" s="586"/>
      <c r="Q508" s="581"/>
      <c r="R508" s="653"/>
      <c r="S508" s="564"/>
      <c r="T508" s="564"/>
      <c r="U508" s="564"/>
      <c r="V508" s="564"/>
      <c r="W508" s="565"/>
      <c r="X508" s="565"/>
      <c r="Y508" s="565"/>
      <c r="Z508" s="565"/>
    </row>
    <row r="509" spans="1:26" s="639" customFormat="1" ht="36.75" hidden="1" thickBot="1">
      <c r="A509" s="647">
        <v>4750</v>
      </c>
      <c r="B509" s="712" t="s">
        <v>589</v>
      </c>
      <c r="C509" s="603"/>
      <c r="D509" s="675">
        <f t="shared" si="53"/>
        <v>0</v>
      </c>
      <c r="E509" s="675">
        <f t="shared" si="57"/>
        <v>0</v>
      </c>
      <c r="F509" s="582" t="e">
        <f t="shared" si="54"/>
        <v>#DIV/0!</v>
      </c>
      <c r="G509" s="674"/>
      <c r="H509" s="675"/>
      <c r="I509" s="689"/>
      <c r="J509" s="675"/>
      <c r="K509" s="676"/>
      <c r="L509" s="627" t="e">
        <f t="shared" si="56"/>
        <v>#DIV/0!</v>
      </c>
      <c r="M509" s="674"/>
      <c r="N509" s="676"/>
      <c r="O509" s="689"/>
      <c r="P509" s="676"/>
      <c r="Q509" s="675"/>
      <c r="R509" s="680"/>
      <c r="S509" s="564"/>
      <c r="T509" s="564"/>
      <c r="U509" s="564"/>
      <c r="V509" s="564"/>
      <c r="W509" s="565"/>
      <c r="X509" s="565"/>
      <c r="Y509" s="565"/>
      <c r="Z509" s="565"/>
    </row>
    <row r="510" spans="1:26" s="639" customFormat="1" ht="17.25" customHeight="1" hidden="1">
      <c r="A510" s="632">
        <v>752</v>
      </c>
      <c r="B510" s="633" t="s">
        <v>694</v>
      </c>
      <c r="C510" s="634">
        <f>C511</f>
        <v>0</v>
      </c>
      <c r="D510" s="556">
        <f t="shared" si="53"/>
        <v>0</v>
      </c>
      <c r="E510" s="556">
        <f t="shared" si="57"/>
        <v>0</v>
      </c>
      <c r="F510" s="654" t="e">
        <f t="shared" si="54"/>
        <v>#DIV/0!</v>
      </c>
      <c r="G510" s="634"/>
      <c r="H510" s="556"/>
      <c r="I510" s="637"/>
      <c r="J510" s="556"/>
      <c r="K510" s="560"/>
      <c r="L510" s="655"/>
      <c r="M510" s="775"/>
      <c r="N510" s="556"/>
      <c r="O510" s="805"/>
      <c r="P510" s="560">
        <f>P511</f>
        <v>0</v>
      </c>
      <c r="Q510" s="556">
        <f>Q511</f>
        <v>0</v>
      </c>
      <c r="R510" s="656" t="e">
        <f aca="true" t="shared" si="58" ref="R510:R516">Q510/P510*100</f>
        <v>#DIV/0!</v>
      </c>
      <c r="S510" s="564"/>
      <c r="T510" s="564"/>
      <c r="U510" s="564"/>
      <c r="V510" s="564"/>
      <c r="W510" s="565"/>
      <c r="X510" s="565"/>
      <c r="Y510" s="565"/>
      <c r="Z510" s="565"/>
    </row>
    <row r="511" spans="1:26" s="639" customFormat="1" ht="25.5" hidden="1" thickBot="1" thickTop="1">
      <c r="A511" s="765">
        <v>75212</v>
      </c>
      <c r="B511" s="766" t="s">
        <v>695</v>
      </c>
      <c r="C511" s="767">
        <f>SUM(C512:C515)</f>
        <v>0</v>
      </c>
      <c r="D511" s="569">
        <f t="shared" si="53"/>
        <v>0</v>
      </c>
      <c r="E511" s="569">
        <f t="shared" si="57"/>
        <v>0</v>
      </c>
      <c r="F511" s="806" t="e">
        <f t="shared" si="54"/>
        <v>#DIV/0!</v>
      </c>
      <c r="G511" s="767"/>
      <c r="H511" s="569"/>
      <c r="I511" s="807"/>
      <c r="J511" s="569"/>
      <c r="K511" s="574"/>
      <c r="L511" s="769"/>
      <c r="M511" s="768"/>
      <c r="N511" s="569"/>
      <c r="O511" s="808"/>
      <c r="P511" s="574">
        <f>SUM(P512:P515)</f>
        <v>0</v>
      </c>
      <c r="Q511" s="569">
        <f>SUM(Q512:Q515)</f>
        <v>0</v>
      </c>
      <c r="R511" s="809" t="e">
        <f t="shared" si="58"/>
        <v>#DIV/0!</v>
      </c>
      <c r="S511" s="564"/>
      <c r="T511" s="564"/>
      <c r="U511" s="564"/>
      <c r="V511" s="564"/>
      <c r="W511" s="565"/>
      <c r="X511" s="565"/>
      <c r="Y511" s="565"/>
      <c r="Z511" s="565"/>
    </row>
    <row r="512" spans="1:18" ht="24.75" hidden="1" thickBot="1">
      <c r="A512" s="647">
        <v>4170</v>
      </c>
      <c r="B512" s="651" t="s">
        <v>221</v>
      </c>
      <c r="C512" s="603"/>
      <c r="D512" s="581">
        <f t="shared" si="53"/>
        <v>0</v>
      </c>
      <c r="E512" s="581">
        <f t="shared" si="57"/>
        <v>0</v>
      </c>
      <c r="F512" s="582" t="e">
        <f t="shared" si="54"/>
        <v>#DIV/0!</v>
      </c>
      <c r="G512" s="603"/>
      <c r="H512" s="581"/>
      <c r="I512" s="649"/>
      <c r="J512" s="581"/>
      <c r="K512" s="586"/>
      <c r="L512" s="585"/>
      <c r="M512" s="693"/>
      <c r="N512" s="581"/>
      <c r="O512" s="649"/>
      <c r="P512" s="586">
        <f>300-300</f>
        <v>0</v>
      </c>
      <c r="Q512" s="581"/>
      <c r="R512" s="653" t="e">
        <f t="shared" si="58"/>
        <v>#DIV/0!</v>
      </c>
    </row>
    <row r="513" spans="1:18" ht="24.75" hidden="1" thickBot="1">
      <c r="A513" s="647">
        <v>4210</v>
      </c>
      <c r="B513" s="651" t="s">
        <v>191</v>
      </c>
      <c r="C513" s="603"/>
      <c r="D513" s="581">
        <f t="shared" si="53"/>
        <v>0</v>
      </c>
      <c r="E513" s="581">
        <f t="shared" si="57"/>
        <v>0</v>
      </c>
      <c r="F513" s="582" t="e">
        <f t="shared" si="54"/>
        <v>#DIV/0!</v>
      </c>
      <c r="G513" s="603"/>
      <c r="H513" s="581"/>
      <c r="I513" s="649"/>
      <c r="J513" s="581"/>
      <c r="K513" s="586"/>
      <c r="L513" s="585"/>
      <c r="M513" s="693"/>
      <c r="N513" s="581"/>
      <c r="O513" s="649"/>
      <c r="P513" s="586"/>
      <c r="Q513" s="581"/>
      <c r="R513" s="653" t="e">
        <f t="shared" si="58"/>
        <v>#DIV/0!</v>
      </c>
    </row>
    <row r="514" spans="1:18" ht="36.75" hidden="1" thickBot="1">
      <c r="A514" s="647">
        <v>4240</v>
      </c>
      <c r="B514" s="651" t="s">
        <v>696</v>
      </c>
      <c r="C514" s="603"/>
      <c r="D514" s="581">
        <f t="shared" si="53"/>
        <v>0</v>
      </c>
      <c r="E514" s="581">
        <f t="shared" si="57"/>
        <v>0</v>
      </c>
      <c r="F514" s="582" t="e">
        <f t="shared" si="54"/>
        <v>#DIV/0!</v>
      </c>
      <c r="G514" s="603"/>
      <c r="H514" s="581"/>
      <c r="I514" s="649"/>
      <c r="J514" s="581"/>
      <c r="K514" s="586"/>
      <c r="L514" s="585"/>
      <c r="M514" s="693"/>
      <c r="N514" s="581"/>
      <c r="O514" s="649"/>
      <c r="P514" s="586">
        <f>200-200</f>
        <v>0</v>
      </c>
      <c r="Q514" s="581"/>
      <c r="R514" s="653" t="e">
        <f t="shared" si="58"/>
        <v>#DIV/0!</v>
      </c>
    </row>
    <row r="515" spans="1:26" s="639" customFormat="1" ht="24.75" hidden="1" thickBot="1">
      <c r="A515" s="647">
        <v>4300</v>
      </c>
      <c r="B515" s="651" t="s">
        <v>199</v>
      </c>
      <c r="C515" s="603"/>
      <c r="D515" s="581">
        <f t="shared" si="53"/>
        <v>0</v>
      </c>
      <c r="E515" s="581">
        <f t="shared" si="57"/>
        <v>0</v>
      </c>
      <c r="F515" s="582" t="e">
        <f t="shared" si="54"/>
        <v>#DIV/0!</v>
      </c>
      <c r="G515" s="603"/>
      <c r="H515" s="581"/>
      <c r="I515" s="649"/>
      <c r="J515" s="581"/>
      <c r="K515" s="586"/>
      <c r="L515" s="585"/>
      <c r="M515" s="693"/>
      <c r="N515" s="581"/>
      <c r="O515" s="649"/>
      <c r="P515" s="586">
        <f>200-200</f>
        <v>0</v>
      </c>
      <c r="Q515" s="581"/>
      <c r="R515" s="653"/>
      <c r="S515" s="564"/>
      <c r="T515" s="564"/>
      <c r="U515" s="564"/>
      <c r="V515" s="564"/>
      <c r="W515" s="565"/>
      <c r="X515" s="565"/>
      <c r="Y515" s="565"/>
      <c r="Z515" s="565"/>
    </row>
    <row r="516" spans="1:26" s="639" customFormat="1" ht="37.5" thickBot="1" thickTop="1">
      <c r="A516" s="632">
        <v>754</v>
      </c>
      <c r="B516" s="633" t="s">
        <v>697</v>
      </c>
      <c r="C516" s="634">
        <f>C558+C521+C556+C517+C567+C565</f>
        <v>8986000</v>
      </c>
      <c r="D516" s="556">
        <f>G516+J516+P516+M516</f>
        <v>9086000</v>
      </c>
      <c r="E516" s="556">
        <f>H516+K516+Q516+N516</f>
        <v>2099078</v>
      </c>
      <c r="F516" s="557">
        <f t="shared" si="54"/>
        <v>23.10233325996038</v>
      </c>
      <c r="G516" s="634">
        <f>G558+G521+G556+G517+G567+G565</f>
        <v>55000</v>
      </c>
      <c r="H516" s="556">
        <f>SUM(H517+H521+H556+H558)+H567+H565</f>
        <v>14121</v>
      </c>
      <c r="I516" s="559">
        <f>H516/G516*100</f>
        <v>25.674545454545456</v>
      </c>
      <c r="J516" s="556">
        <f>J558</f>
        <v>10000</v>
      </c>
      <c r="K516" s="556">
        <f>K558</f>
        <v>0</v>
      </c>
      <c r="L516" s="655">
        <f>K516/J516*100</f>
        <v>0</v>
      </c>
      <c r="M516" s="775">
        <f>M517+M521</f>
        <v>1100000</v>
      </c>
      <c r="N516" s="556">
        <f>N517+N521</f>
        <v>0</v>
      </c>
      <c r="O516" s="635">
        <f aca="true" t="shared" si="59" ref="O516:O521">N516/M516*100</f>
        <v>0</v>
      </c>
      <c r="P516" s="634">
        <f>P558+P521+P556+P517+P567</f>
        <v>7921000</v>
      </c>
      <c r="Q516" s="556">
        <f>Q558+Q521+Q556+Q517+Q567</f>
        <v>2084957</v>
      </c>
      <c r="R516" s="559">
        <f t="shared" si="58"/>
        <v>26.321891175356647</v>
      </c>
      <c r="S516" s="564"/>
      <c r="T516" s="564"/>
      <c r="U516" s="564"/>
      <c r="V516" s="564"/>
      <c r="W516" s="565"/>
      <c r="X516" s="565"/>
      <c r="Y516" s="565"/>
      <c r="Z516" s="565"/>
    </row>
    <row r="517" spans="1:26" s="639" customFormat="1" ht="26.25" customHeight="1" thickTop="1">
      <c r="A517" s="765">
        <v>75405</v>
      </c>
      <c r="B517" s="766" t="s">
        <v>698</v>
      </c>
      <c r="C517" s="767"/>
      <c r="D517" s="569">
        <f t="shared" si="53"/>
        <v>100000</v>
      </c>
      <c r="E517" s="569">
        <f>H517+K517+Q517+N517</f>
        <v>0</v>
      </c>
      <c r="F517" s="570">
        <f t="shared" si="54"/>
        <v>0</v>
      </c>
      <c r="G517" s="767"/>
      <c r="H517" s="642"/>
      <c r="I517" s="689"/>
      <c r="J517" s="723"/>
      <c r="K517" s="642"/>
      <c r="L517" s="763"/>
      <c r="M517" s="642">
        <f>SUM(M518:M520)</f>
        <v>100000</v>
      </c>
      <c r="N517" s="642">
        <f>SUM(N518:N520)</f>
        <v>0</v>
      </c>
      <c r="O517" s="644">
        <f t="shared" si="59"/>
        <v>0</v>
      </c>
      <c r="P517" s="642"/>
      <c r="Q517" s="642"/>
      <c r="R517" s="679"/>
      <c r="S517" s="564"/>
      <c r="T517" s="564"/>
      <c r="U517" s="564"/>
      <c r="V517" s="564"/>
      <c r="W517" s="565"/>
      <c r="X517" s="565"/>
      <c r="Y517" s="565"/>
      <c r="Z517" s="565"/>
    </row>
    <row r="518" spans="1:26" s="639" customFormat="1" ht="24">
      <c r="A518" s="647">
        <v>3000</v>
      </c>
      <c r="B518" s="651" t="s">
        <v>699</v>
      </c>
      <c r="C518" s="603"/>
      <c r="D518" s="615">
        <f t="shared" si="53"/>
        <v>100000</v>
      </c>
      <c r="E518" s="615">
        <f>H518+K518+N518+Q518</f>
        <v>0</v>
      </c>
      <c r="F518" s="604">
        <f t="shared" si="54"/>
        <v>0</v>
      </c>
      <c r="G518" s="659"/>
      <c r="H518" s="660"/>
      <c r="I518" s="649"/>
      <c r="J518" s="661"/>
      <c r="K518" s="660"/>
      <c r="L518" s="662"/>
      <c r="M518" s="606">
        <v>100000</v>
      </c>
      <c r="N518" s="615"/>
      <c r="O518" s="669">
        <f t="shared" si="59"/>
        <v>0</v>
      </c>
      <c r="P518" s="606"/>
      <c r="Q518" s="581"/>
      <c r="R518" s="585"/>
      <c r="S518" s="564"/>
      <c r="T518" s="564"/>
      <c r="U518" s="564"/>
      <c r="V518" s="564"/>
      <c r="W518" s="565"/>
      <c r="X518" s="565"/>
      <c r="Y518" s="565"/>
      <c r="Z518" s="565"/>
    </row>
    <row r="519" spans="1:26" s="639" customFormat="1" ht="24" hidden="1">
      <c r="A519" s="647">
        <v>4300</v>
      </c>
      <c r="B519" s="651" t="s">
        <v>199</v>
      </c>
      <c r="C519" s="603"/>
      <c r="D519" s="581">
        <f t="shared" si="53"/>
        <v>0</v>
      </c>
      <c r="E519" s="615">
        <f>H519+K519+N519+Q519</f>
        <v>0</v>
      </c>
      <c r="F519" s="582" t="e">
        <f t="shared" si="54"/>
        <v>#DIV/0!</v>
      </c>
      <c r="G519" s="659"/>
      <c r="H519" s="661"/>
      <c r="I519" s="649"/>
      <c r="J519" s="661"/>
      <c r="K519" s="660"/>
      <c r="L519" s="662"/>
      <c r="M519" s="603"/>
      <c r="N519" s="581"/>
      <c r="O519" s="627"/>
      <c r="P519" s="603"/>
      <c r="Q519" s="581"/>
      <c r="R519" s="585"/>
      <c r="S519" s="564"/>
      <c r="T519" s="564"/>
      <c r="U519" s="564"/>
      <c r="V519" s="564"/>
      <c r="W519" s="565"/>
      <c r="X519" s="565"/>
      <c r="Y519" s="565"/>
      <c r="Z519" s="565"/>
    </row>
    <row r="520" spans="1:26" s="639" customFormat="1" ht="60" hidden="1">
      <c r="A520" s="672">
        <v>6170</v>
      </c>
      <c r="B520" s="687" t="s">
        <v>700</v>
      </c>
      <c r="C520" s="674"/>
      <c r="D520" s="675">
        <f t="shared" si="53"/>
        <v>0</v>
      </c>
      <c r="E520" s="675">
        <f>H520+K520+N520+Q520</f>
        <v>0</v>
      </c>
      <c r="F520" s="643" t="e">
        <f t="shared" si="54"/>
        <v>#DIV/0!</v>
      </c>
      <c r="G520" s="721"/>
      <c r="H520" s="723"/>
      <c r="I520" s="689"/>
      <c r="J520" s="723"/>
      <c r="K520" s="642"/>
      <c r="L520" s="763"/>
      <c r="M520" s="674"/>
      <c r="N520" s="581"/>
      <c r="O520" s="627" t="e">
        <f t="shared" si="59"/>
        <v>#DIV/0!</v>
      </c>
      <c r="P520" s="674"/>
      <c r="Q520" s="675"/>
      <c r="R520" s="679"/>
      <c r="S520" s="564"/>
      <c r="T520" s="564"/>
      <c r="U520" s="564"/>
      <c r="V520" s="564"/>
      <c r="W520" s="565"/>
      <c r="X520" s="565"/>
      <c r="Y520" s="565"/>
      <c r="Z520" s="565"/>
    </row>
    <row r="521" spans="1:26" s="639" customFormat="1" ht="36.75" customHeight="1">
      <c r="A521" s="640">
        <v>75411</v>
      </c>
      <c r="B521" s="742" t="s">
        <v>701</v>
      </c>
      <c r="C521" s="608">
        <f>SUM(C522:C555)</f>
        <v>8921000</v>
      </c>
      <c r="D521" s="595">
        <f t="shared" si="53"/>
        <v>8921000</v>
      </c>
      <c r="E521" s="595">
        <f aca="true" t="shared" si="60" ref="E521:E555">SUM(H521+K521+N521+Q521)</f>
        <v>2084957</v>
      </c>
      <c r="F521" s="596">
        <f t="shared" si="54"/>
        <v>23.37133729402533</v>
      </c>
      <c r="G521" s="608"/>
      <c r="H521" s="600"/>
      <c r="I521" s="645"/>
      <c r="J521" s="600"/>
      <c r="K521" s="595"/>
      <c r="L521" s="601"/>
      <c r="M521" s="595">
        <f>SUM(M522:M555)</f>
        <v>1000000</v>
      </c>
      <c r="N521" s="595">
        <f>SUM(N522:N555)</f>
        <v>0</v>
      </c>
      <c r="O521" s="624">
        <f t="shared" si="59"/>
        <v>0</v>
      </c>
      <c r="P521" s="608">
        <f>SUM(P522:P555)</f>
        <v>7921000</v>
      </c>
      <c r="Q521" s="595">
        <f>SUM(Q522:Q555)</f>
        <v>2084957</v>
      </c>
      <c r="R521" s="624">
        <f aca="true" t="shared" si="61" ref="R521:R555">Q521/P521*100</f>
        <v>26.321891175356647</v>
      </c>
      <c r="S521" s="564"/>
      <c r="T521" s="564"/>
      <c r="U521" s="564"/>
      <c r="V521" s="564"/>
      <c r="W521" s="565"/>
      <c r="X521" s="565"/>
      <c r="Y521" s="565"/>
      <c r="Z521" s="565"/>
    </row>
    <row r="522" spans="1:26" s="639" customFormat="1" ht="51" customHeight="1">
      <c r="A522" s="647">
        <v>3070</v>
      </c>
      <c r="B522" s="651" t="s">
        <v>702</v>
      </c>
      <c r="C522" s="603">
        <v>399000</v>
      </c>
      <c r="D522" s="581">
        <f t="shared" si="53"/>
        <v>399000</v>
      </c>
      <c r="E522" s="581">
        <f t="shared" si="60"/>
        <v>88513</v>
      </c>
      <c r="F522" s="582">
        <f t="shared" si="54"/>
        <v>22.18370927318296</v>
      </c>
      <c r="G522" s="659"/>
      <c r="H522" s="660"/>
      <c r="I522" s="649"/>
      <c r="J522" s="477"/>
      <c r="K522" s="660"/>
      <c r="L522" s="662"/>
      <c r="M522" s="660"/>
      <c r="N522" s="661"/>
      <c r="O522" s="649"/>
      <c r="P522" s="603">
        <v>399000</v>
      </c>
      <c r="Q522" s="581">
        <v>88513</v>
      </c>
      <c r="R522" s="627">
        <f t="shared" si="61"/>
        <v>22.18370927318296</v>
      </c>
      <c r="S522" s="564"/>
      <c r="T522" s="564"/>
      <c r="U522" s="564"/>
      <c r="V522" s="564"/>
      <c r="W522" s="565"/>
      <c r="X522" s="565"/>
      <c r="Y522" s="565"/>
      <c r="Z522" s="565"/>
    </row>
    <row r="523" spans="1:26" s="639" customFormat="1" ht="27.75" customHeight="1">
      <c r="A523" s="647">
        <v>4010</v>
      </c>
      <c r="B523" s="651" t="s">
        <v>703</v>
      </c>
      <c r="C523" s="603">
        <v>136539</v>
      </c>
      <c r="D523" s="581">
        <f t="shared" si="53"/>
        <v>136539</v>
      </c>
      <c r="E523" s="581">
        <f t="shared" si="60"/>
        <v>38686</v>
      </c>
      <c r="F523" s="582">
        <f t="shared" si="54"/>
        <v>28.333296713759438</v>
      </c>
      <c r="G523" s="659"/>
      <c r="H523" s="660"/>
      <c r="I523" s="649"/>
      <c r="J523" s="477"/>
      <c r="K523" s="660"/>
      <c r="L523" s="662"/>
      <c r="M523" s="660"/>
      <c r="N523" s="661"/>
      <c r="O523" s="649"/>
      <c r="P523" s="603">
        <v>136539</v>
      </c>
      <c r="Q523" s="581">
        <v>38686</v>
      </c>
      <c r="R523" s="627">
        <f t="shared" si="61"/>
        <v>28.333296713759438</v>
      </c>
      <c r="S523" s="564"/>
      <c r="T523" s="564"/>
      <c r="U523" s="564"/>
      <c r="V523" s="564"/>
      <c r="W523" s="565"/>
      <c r="X523" s="565"/>
      <c r="Y523" s="565"/>
      <c r="Z523" s="565"/>
    </row>
    <row r="524" spans="1:26" s="639" customFormat="1" ht="37.5" customHeight="1">
      <c r="A524" s="647">
        <v>4020</v>
      </c>
      <c r="B524" s="651" t="s">
        <v>183</v>
      </c>
      <c r="C524" s="603">
        <v>78058</v>
      </c>
      <c r="D524" s="581">
        <f t="shared" si="53"/>
        <v>78058</v>
      </c>
      <c r="E524" s="581">
        <f t="shared" si="60"/>
        <v>15899</v>
      </c>
      <c r="F524" s="582">
        <f t="shared" si="54"/>
        <v>20.368187757821108</v>
      </c>
      <c r="G524" s="659"/>
      <c r="H524" s="660"/>
      <c r="I524" s="649"/>
      <c r="J524" s="487"/>
      <c r="K524" s="660"/>
      <c r="L524" s="662"/>
      <c r="M524" s="660"/>
      <c r="N524" s="661"/>
      <c r="O524" s="649"/>
      <c r="P524" s="603">
        <v>78058</v>
      </c>
      <c r="Q524" s="581">
        <v>15899</v>
      </c>
      <c r="R524" s="627">
        <f t="shared" si="61"/>
        <v>20.368187757821108</v>
      </c>
      <c r="S524" s="564"/>
      <c r="T524" s="564"/>
      <c r="U524" s="564"/>
      <c r="V524" s="564"/>
      <c r="W524" s="565"/>
      <c r="X524" s="565"/>
      <c r="Y524" s="565"/>
      <c r="Z524" s="565"/>
    </row>
    <row r="525" spans="1:26" s="639" customFormat="1" ht="24">
      <c r="A525" s="647">
        <v>4040</v>
      </c>
      <c r="B525" s="651" t="s">
        <v>185</v>
      </c>
      <c r="C525" s="603">
        <v>17340</v>
      </c>
      <c r="D525" s="581">
        <f t="shared" si="53"/>
        <v>17340</v>
      </c>
      <c r="E525" s="581">
        <f t="shared" si="60"/>
        <v>14007</v>
      </c>
      <c r="F525" s="582">
        <f t="shared" si="54"/>
        <v>80.77854671280276</v>
      </c>
      <c r="G525" s="659"/>
      <c r="H525" s="660"/>
      <c r="I525" s="649"/>
      <c r="J525" s="487"/>
      <c r="K525" s="660"/>
      <c r="L525" s="662"/>
      <c r="M525" s="660"/>
      <c r="N525" s="661"/>
      <c r="O525" s="649"/>
      <c r="P525" s="603">
        <v>17340</v>
      </c>
      <c r="Q525" s="581">
        <v>14007</v>
      </c>
      <c r="R525" s="627">
        <f t="shared" si="61"/>
        <v>80.77854671280276</v>
      </c>
      <c r="S525" s="564"/>
      <c r="T525" s="564"/>
      <c r="U525" s="564"/>
      <c r="V525" s="564"/>
      <c r="W525" s="565"/>
      <c r="X525" s="565"/>
      <c r="Y525" s="565"/>
      <c r="Z525" s="565"/>
    </row>
    <row r="526" spans="1:26" s="639" customFormat="1" ht="48">
      <c r="A526" s="647">
        <v>4050</v>
      </c>
      <c r="B526" s="651" t="s">
        <v>704</v>
      </c>
      <c r="C526" s="603">
        <v>5400884</v>
      </c>
      <c r="D526" s="581">
        <f t="shared" si="53"/>
        <v>5400884</v>
      </c>
      <c r="E526" s="581">
        <f t="shared" si="60"/>
        <v>1261523</v>
      </c>
      <c r="F526" s="582">
        <f t="shared" si="54"/>
        <v>23.357713292860947</v>
      </c>
      <c r="G526" s="659"/>
      <c r="H526" s="660"/>
      <c r="I526" s="649"/>
      <c r="J526" s="487"/>
      <c r="K526" s="660"/>
      <c r="L526" s="662"/>
      <c r="M526" s="660"/>
      <c r="N526" s="661"/>
      <c r="O526" s="649"/>
      <c r="P526" s="603">
        <v>5400884</v>
      </c>
      <c r="Q526" s="581">
        <f>1261522+1</f>
        <v>1261523</v>
      </c>
      <c r="R526" s="627">
        <f t="shared" si="61"/>
        <v>23.357713292860947</v>
      </c>
      <c r="S526" s="564"/>
      <c r="T526" s="564"/>
      <c r="U526" s="564"/>
      <c r="V526" s="564"/>
      <c r="W526" s="565"/>
      <c r="X526" s="565"/>
      <c r="Y526" s="565"/>
      <c r="Z526" s="565"/>
    </row>
    <row r="527" spans="1:26" s="639" customFormat="1" ht="48">
      <c r="A527" s="647">
        <v>4060</v>
      </c>
      <c r="B527" s="651" t="s">
        <v>705</v>
      </c>
      <c r="C527" s="603">
        <v>329730</v>
      </c>
      <c r="D527" s="581">
        <f t="shared" si="53"/>
        <v>329730</v>
      </c>
      <c r="E527" s="581">
        <f t="shared" si="60"/>
        <v>23500</v>
      </c>
      <c r="F527" s="582">
        <f t="shared" si="54"/>
        <v>7.127043338489067</v>
      </c>
      <c r="G527" s="659"/>
      <c r="H527" s="660"/>
      <c r="I527" s="649"/>
      <c r="J527" s="487"/>
      <c r="K527" s="660"/>
      <c r="L527" s="662"/>
      <c r="M527" s="660"/>
      <c r="N527" s="661"/>
      <c r="O527" s="649"/>
      <c r="P527" s="603">
        <v>329730</v>
      </c>
      <c r="Q527" s="581">
        <v>23500</v>
      </c>
      <c r="R527" s="627">
        <f t="shared" si="61"/>
        <v>7.127043338489067</v>
      </c>
      <c r="S527" s="564"/>
      <c r="T527" s="564"/>
      <c r="U527" s="564"/>
      <c r="V527" s="564"/>
      <c r="W527" s="565"/>
      <c r="X527" s="565"/>
      <c r="Y527" s="565"/>
      <c r="Z527" s="565"/>
    </row>
    <row r="528" spans="1:26" s="639" customFormat="1" ht="51" customHeight="1">
      <c r="A528" s="647">
        <v>4070</v>
      </c>
      <c r="B528" s="651" t="s">
        <v>706</v>
      </c>
      <c r="C528" s="603">
        <v>449890</v>
      </c>
      <c r="D528" s="581">
        <f t="shared" si="53"/>
        <v>449890</v>
      </c>
      <c r="E528" s="581">
        <f t="shared" si="60"/>
        <v>406306</v>
      </c>
      <c r="F528" s="582">
        <f t="shared" si="54"/>
        <v>90.31229856187068</v>
      </c>
      <c r="G528" s="659"/>
      <c r="H528" s="660"/>
      <c r="I528" s="649"/>
      <c r="J528" s="487"/>
      <c r="K528" s="660"/>
      <c r="L528" s="662"/>
      <c r="M528" s="660"/>
      <c r="N528" s="661"/>
      <c r="O528" s="649"/>
      <c r="P528" s="603">
        <v>449890</v>
      </c>
      <c r="Q528" s="581">
        <v>406306</v>
      </c>
      <c r="R528" s="627">
        <f t="shared" si="61"/>
        <v>90.31229856187068</v>
      </c>
      <c r="S528" s="564"/>
      <c r="T528" s="564"/>
      <c r="U528" s="564"/>
      <c r="V528" s="564"/>
      <c r="W528" s="565"/>
      <c r="X528" s="565"/>
      <c r="Y528" s="565"/>
      <c r="Z528" s="565"/>
    </row>
    <row r="529" spans="1:26" s="639" customFormat="1" ht="48" customHeight="1">
      <c r="A529" s="647">
        <v>4080</v>
      </c>
      <c r="B529" s="651" t="s">
        <v>707</v>
      </c>
      <c r="C529" s="603">
        <v>10000</v>
      </c>
      <c r="D529" s="581">
        <f t="shared" si="53"/>
        <v>10000</v>
      </c>
      <c r="E529" s="581">
        <f t="shared" si="60"/>
        <v>0</v>
      </c>
      <c r="F529" s="582">
        <f t="shared" si="54"/>
        <v>0</v>
      </c>
      <c r="G529" s="659"/>
      <c r="H529" s="660"/>
      <c r="I529" s="649"/>
      <c r="J529" s="477"/>
      <c r="K529" s="660"/>
      <c r="L529" s="662"/>
      <c r="M529" s="660"/>
      <c r="N529" s="661"/>
      <c r="O529" s="649"/>
      <c r="P529" s="603">
        <v>10000</v>
      </c>
      <c r="Q529" s="581"/>
      <c r="R529" s="627">
        <f t="shared" si="61"/>
        <v>0</v>
      </c>
      <c r="S529" s="564"/>
      <c r="T529" s="564"/>
      <c r="U529" s="564"/>
      <c r="V529" s="564"/>
      <c r="W529" s="565"/>
      <c r="X529" s="565"/>
      <c r="Y529" s="565"/>
      <c r="Z529" s="565"/>
    </row>
    <row r="530" spans="1:26" s="639" customFormat="1" ht="24" customHeight="1">
      <c r="A530" s="647">
        <v>4110</v>
      </c>
      <c r="B530" s="651" t="s">
        <v>187</v>
      </c>
      <c r="C530" s="603">
        <v>39108</v>
      </c>
      <c r="D530" s="581">
        <f t="shared" si="53"/>
        <v>39108</v>
      </c>
      <c r="E530" s="581">
        <f t="shared" si="60"/>
        <v>10312</v>
      </c>
      <c r="F530" s="582">
        <f t="shared" si="54"/>
        <v>26.36800654597525</v>
      </c>
      <c r="G530" s="659"/>
      <c r="H530" s="660"/>
      <c r="I530" s="649"/>
      <c r="J530" s="487"/>
      <c r="K530" s="660"/>
      <c r="L530" s="662"/>
      <c r="M530" s="660"/>
      <c r="N530" s="661"/>
      <c r="O530" s="649"/>
      <c r="P530" s="603">
        <v>39108</v>
      </c>
      <c r="Q530" s="581">
        <v>10312</v>
      </c>
      <c r="R530" s="627">
        <f t="shared" si="61"/>
        <v>26.36800654597525</v>
      </c>
      <c r="S530" s="564"/>
      <c r="T530" s="564"/>
      <c r="U530" s="564"/>
      <c r="V530" s="564"/>
      <c r="W530" s="565"/>
      <c r="X530" s="565"/>
      <c r="Y530" s="565"/>
      <c r="Z530" s="565"/>
    </row>
    <row r="531" spans="1:26" s="639" customFormat="1" ht="15.75" customHeight="1">
      <c r="A531" s="647">
        <v>4120</v>
      </c>
      <c r="B531" s="651" t="s">
        <v>623</v>
      </c>
      <c r="C531" s="603">
        <v>5859</v>
      </c>
      <c r="D531" s="581">
        <f t="shared" si="53"/>
        <v>5859</v>
      </c>
      <c r="E531" s="581">
        <f t="shared" si="60"/>
        <v>1391</v>
      </c>
      <c r="F531" s="582">
        <f t="shared" si="54"/>
        <v>23.741252773510837</v>
      </c>
      <c r="G531" s="659"/>
      <c r="H531" s="660"/>
      <c r="I531" s="649"/>
      <c r="J531" s="477"/>
      <c r="K531" s="660"/>
      <c r="L531" s="662"/>
      <c r="M531" s="660"/>
      <c r="N531" s="661"/>
      <c r="O531" s="649"/>
      <c r="P531" s="603">
        <v>5859</v>
      </c>
      <c r="Q531" s="581">
        <v>1391</v>
      </c>
      <c r="R531" s="627">
        <f t="shared" si="61"/>
        <v>23.741252773510837</v>
      </c>
      <c r="S531" s="564"/>
      <c r="T531" s="564"/>
      <c r="U531" s="564"/>
      <c r="V531" s="564"/>
      <c r="W531" s="565"/>
      <c r="X531" s="565"/>
      <c r="Y531" s="565"/>
      <c r="Z531" s="565"/>
    </row>
    <row r="532" spans="1:26" s="639" customFormat="1" ht="24">
      <c r="A532" s="647">
        <v>4170</v>
      </c>
      <c r="B532" s="651" t="s">
        <v>221</v>
      </c>
      <c r="C532" s="603">
        <v>10000</v>
      </c>
      <c r="D532" s="581">
        <f t="shared" si="53"/>
        <v>10000</v>
      </c>
      <c r="E532" s="581">
        <f t="shared" si="60"/>
        <v>3104</v>
      </c>
      <c r="F532" s="582">
        <f t="shared" si="54"/>
        <v>31.04</v>
      </c>
      <c r="G532" s="603"/>
      <c r="H532" s="581"/>
      <c r="I532" s="649"/>
      <c r="J532" s="477"/>
      <c r="K532" s="660"/>
      <c r="L532" s="662"/>
      <c r="M532" s="660"/>
      <c r="N532" s="661"/>
      <c r="O532" s="649"/>
      <c r="P532" s="603">
        <v>10000</v>
      </c>
      <c r="Q532" s="581">
        <v>3104</v>
      </c>
      <c r="R532" s="627">
        <f t="shared" si="61"/>
        <v>31.04</v>
      </c>
      <c r="S532" s="564"/>
      <c r="T532" s="564"/>
      <c r="U532" s="564"/>
      <c r="V532" s="564"/>
      <c r="W532" s="565"/>
      <c r="X532" s="565"/>
      <c r="Y532" s="565"/>
      <c r="Z532" s="565"/>
    </row>
    <row r="533" spans="1:26" s="639" customFormat="1" ht="36.75" customHeight="1">
      <c r="A533" s="647">
        <v>4180</v>
      </c>
      <c r="B533" s="651" t="s">
        <v>708</v>
      </c>
      <c r="C533" s="603">
        <v>242000</v>
      </c>
      <c r="D533" s="581">
        <f t="shared" si="53"/>
        <v>242000</v>
      </c>
      <c r="E533" s="581">
        <f t="shared" si="60"/>
        <v>0</v>
      </c>
      <c r="F533" s="582">
        <f t="shared" si="54"/>
        <v>0</v>
      </c>
      <c r="G533" s="603"/>
      <c r="H533" s="581"/>
      <c r="I533" s="649"/>
      <c r="J533" s="477"/>
      <c r="K533" s="660"/>
      <c r="L533" s="662"/>
      <c r="M533" s="660"/>
      <c r="N533" s="661"/>
      <c r="O533" s="649"/>
      <c r="P533" s="603">
        <v>242000</v>
      </c>
      <c r="Q533" s="581"/>
      <c r="R533" s="627">
        <f t="shared" si="61"/>
        <v>0</v>
      </c>
      <c r="S533" s="564"/>
      <c r="T533" s="564"/>
      <c r="U533" s="564"/>
      <c r="V533" s="564"/>
      <c r="W533" s="565"/>
      <c r="X533" s="565"/>
      <c r="Y533" s="565"/>
      <c r="Z533" s="565"/>
    </row>
    <row r="534" spans="1:26" s="639" customFormat="1" ht="24">
      <c r="A534" s="647">
        <v>4210</v>
      </c>
      <c r="B534" s="651" t="s">
        <v>191</v>
      </c>
      <c r="C534" s="603">
        <v>210563</v>
      </c>
      <c r="D534" s="581">
        <f>G534+J534+P534+M534</f>
        <v>210563</v>
      </c>
      <c r="E534" s="581">
        <f t="shared" si="60"/>
        <v>45351</v>
      </c>
      <c r="F534" s="582">
        <f t="shared" si="54"/>
        <v>21.53797200837754</v>
      </c>
      <c r="G534" s="603"/>
      <c r="H534" s="581"/>
      <c r="I534" s="649"/>
      <c r="J534" s="477"/>
      <c r="K534" s="660"/>
      <c r="L534" s="662"/>
      <c r="M534" s="581"/>
      <c r="N534" s="586"/>
      <c r="O534" s="627"/>
      <c r="P534" s="603">
        <v>210563</v>
      </c>
      <c r="Q534" s="581">
        <v>45351</v>
      </c>
      <c r="R534" s="627">
        <f t="shared" si="61"/>
        <v>21.53797200837754</v>
      </c>
      <c r="S534" s="564"/>
      <c r="T534" s="564"/>
      <c r="U534" s="564"/>
      <c r="V534" s="564"/>
      <c r="W534" s="565"/>
      <c r="X534" s="565"/>
      <c r="Y534" s="565"/>
      <c r="Z534" s="565"/>
    </row>
    <row r="535" spans="1:26" s="639" customFormat="1" ht="24" hidden="1">
      <c r="A535" s="647">
        <v>4250</v>
      </c>
      <c r="B535" s="651" t="s">
        <v>709</v>
      </c>
      <c r="C535" s="603"/>
      <c r="D535" s="581">
        <f t="shared" si="53"/>
        <v>0</v>
      </c>
      <c r="E535" s="581">
        <f t="shared" si="60"/>
        <v>0</v>
      </c>
      <c r="F535" s="582" t="e">
        <f t="shared" si="54"/>
        <v>#DIV/0!</v>
      </c>
      <c r="G535" s="603"/>
      <c r="H535" s="581"/>
      <c r="I535" s="649" t="e">
        <f>H535/G535*100</f>
        <v>#DIV/0!</v>
      </c>
      <c r="J535" s="477"/>
      <c r="K535" s="660"/>
      <c r="L535" s="662"/>
      <c r="M535" s="581"/>
      <c r="N535" s="586"/>
      <c r="O535" s="627"/>
      <c r="P535" s="603"/>
      <c r="Q535" s="581"/>
      <c r="R535" s="627" t="e">
        <f t="shared" si="61"/>
        <v>#DIV/0!</v>
      </c>
      <c r="S535" s="564"/>
      <c r="T535" s="564"/>
      <c r="U535" s="564"/>
      <c r="V535" s="564"/>
      <c r="W535" s="565"/>
      <c r="X535" s="565"/>
      <c r="Y535" s="565"/>
      <c r="Z535" s="565"/>
    </row>
    <row r="536" spans="1:26" s="639" customFormat="1" ht="24" hidden="1">
      <c r="A536" s="647">
        <v>4220</v>
      </c>
      <c r="B536" s="651" t="s">
        <v>710</v>
      </c>
      <c r="C536" s="603"/>
      <c r="D536" s="581">
        <f t="shared" si="53"/>
        <v>0</v>
      </c>
      <c r="E536" s="581">
        <f t="shared" si="60"/>
        <v>0</v>
      </c>
      <c r="F536" s="582" t="e">
        <f>E536/D536*100</f>
        <v>#DIV/0!</v>
      </c>
      <c r="G536" s="603"/>
      <c r="H536" s="581"/>
      <c r="I536" s="649"/>
      <c r="J536" s="477"/>
      <c r="K536" s="660"/>
      <c r="L536" s="662"/>
      <c r="M536" s="581"/>
      <c r="N536" s="586"/>
      <c r="O536" s="627"/>
      <c r="P536" s="603"/>
      <c r="Q536" s="581"/>
      <c r="R536" s="627" t="e">
        <f t="shared" si="61"/>
        <v>#DIV/0!</v>
      </c>
      <c r="S536" s="564"/>
      <c r="T536" s="564"/>
      <c r="U536" s="564"/>
      <c r="V536" s="564"/>
      <c r="W536" s="565"/>
      <c r="X536" s="565"/>
      <c r="Y536" s="565"/>
      <c r="Z536" s="565"/>
    </row>
    <row r="537" spans="1:26" s="639" customFormat="1" ht="19.5" customHeight="1" hidden="1">
      <c r="A537" s="647">
        <v>4230</v>
      </c>
      <c r="B537" s="651" t="s">
        <v>193</v>
      </c>
      <c r="C537" s="603"/>
      <c r="D537" s="581">
        <f t="shared" si="53"/>
        <v>0</v>
      </c>
      <c r="E537" s="581">
        <f t="shared" si="60"/>
        <v>0</v>
      </c>
      <c r="F537" s="582" t="e">
        <f>E537/D537*100</f>
        <v>#DIV/0!</v>
      </c>
      <c r="G537" s="603"/>
      <c r="H537" s="581"/>
      <c r="I537" s="649"/>
      <c r="J537" s="477"/>
      <c r="K537" s="660"/>
      <c r="L537" s="662"/>
      <c r="M537" s="581"/>
      <c r="N537" s="586"/>
      <c r="O537" s="627"/>
      <c r="P537" s="603"/>
      <c r="Q537" s="581"/>
      <c r="R537" s="627" t="e">
        <f t="shared" si="61"/>
        <v>#DIV/0!</v>
      </c>
      <c r="S537" s="564"/>
      <c r="T537" s="564"/>
      <c r="U537" s="564"/>
      <c r="V537" s="564"/>
      <c r="W537" s="565"/>
      <c r="X537" s="565"/>
      <c r="Y537" s="565"/>
      <c r="Z537" s="565"/>
    </row>
    <row r="538" spans="1:26" s="639" customFormat="1" ht="24" hidden="1">
      <c r="A538" s="647">
        <v>4250</v>
      </c>
      <c r="B538" s="651" t="s">
        <v>711</v>
      </c>
      <c r="C538" s="603"/>
      <c r="D538" s="581">
        <f t="shared" si="53"/>
        <v>0</v>
      </c>
      <c r="E538" s="581">
        <f t="shared" si="60"/>
        <v>0</v>
      </c>
      <c r="F538" s="582"/>
      <c r="G538" s="603"/>
      <c r="H538" s="581"/>
      <c r="I538" s="649"/>
      <c r="J538" s="477"/>
      <c r="K538" s="660"/>
      <c r="L538" s="662"/>
      <c r="M538" s="581"/>
      <c r="N538" s="586"/>
      <c r="O538" s="627"/>
      <c r="P538" s="603"/>
      <c r="Q538" s="581"/>
      <c r="R538" s="627" t="e">
        <f t="shared" si="61"/>
        <v>#DIV/0!</v>
      </c>
      <c r="S538" s="564"/>
      <c r="T538" s="564"/>
      <c r="U538" s="564"/>
      <c r="V538" s="564"/>
      <c r="W538" s="565"/>
      <c r="X538" s="565"/>
      <c r="Y538" s="565"/>
      <c r="Z538" s="565"/>
    </row>
    <row r="539" spans="1:26" s="639" customFormat="1" ht="12.75">
      <c r="A539" s="647">
        <v>4260</v>
      </c>
      <c r="B539" s="651" t="s">
        <v>195</v>
      </c>
      <c r="C539" s="603">
        <v>250000</v>
      </c>
      <c r="D539" s="581">
        <f t="shared" si="53"/>
        <v>250000</v>
      </c>
      <c r="E539" s="581">
        <f t="shared" si="60"/>
        <v>102014</v>
      </c>
      <c r="F539" s="582">
        <f aca="true" t="shared" si="62" ref="F539:F577">E539/D539*100</f>
        <v>40.8056</v>
      </c>
      <c r="G539" s="603"/>
      <c r="H539" s="581"/>
      <c r="I539" s="649"/>
      <c r="J539" s="487"/>
      <c r="K539" s="660"/>
      <c r="L539" s="662"/>
      <c r="M539" s="581"/>
      <c r="N539" s="586"/>
      <c r="O539" s="627"/>
      <c r="P539" s="603">
        <v>250000</v>
      </c>
      <c r="Q539" s="581">
        <v>102014</v>
      </c>
      <c r="R539" s="627">
        <f t="shared" si="61"/>
        <v>40.8056</v>
      </c>
      <c r="S539" s="564"/>
      <c r="T539" s="564"/>
      <c r="U539" s="564"/>
      <c r="V539" s="564"/>
      <c r="W539" s="565"/>
      <c r="X539" s="565"/>
      <c r="Y539" s="565"/>
      <c r="Z539" s="565"/>
    </row>
    <row r="540" spans="1:26" s="639" customFormat="1" ht="14.25" customHeight="1">
      <c r="A540" s="647">
        <v>4270</v>
      </c>
      <c r="B540" s="651" t="s">
        <v>197</v>
      </c>
      <c r="C540" s="603">
        <v>55000</v>
      </c>
      <c r="D540" s="581">
        <f aca="true" t="shared" si="63" ref="D540:D577">G540+J540+P540+M540</f>
        <v>55000</v>
      </c>
      <c r="E540" s="581">
        <f t="shared" si="60"/>
        <v>10890</v>
      </c>
      <c r="F540" s="582">
        <f t="shared" si="62"/>
        <v>19.8</v>
      </c>
      <c r="G540" s="603"/>
      <c r="H540" s="581"/>
      <c r="I540" s="649"/>
      <c r="J540" s="487"/>
      <c r="K540" s="660"/>
      <c r="L540" s="662"/>
      <c r="M540" s="581"/>
      <c r="N540" s="586"/>
      <c r="O540" s="627"/>
      <c r="P540" s="603">
        <v>55000</v>
      </c>
      <c r="Q540" s="581">
        <v>10890</v>
      </c>
      <c r="R540" s="627">
        <f t="shared" si="61"/>
        <v>19.8</v>
      </c>
      <c r="S540" s="564"/>
      <c r="T540" s="564"/>
      <c r="U540" s="564"/>
      <c r="V540" s="564"/>
      <c r="W540" s="565"/>
      <c r="X540" s="565"/>
      <c r="Y540" s="565"/>
      <c r="Z540" s="565"/>
    </row>
    <row r="541" spans="1:26" s="639" customFormat="1" ht="14.25" customHeight="1">
      <c r="A541" s="647">
        <v>4280</v>
      </c>
      <c r="B541" s="651" t="s">
        <v>582</v>
      </c>
      <c r="C541" s="603">
        <v>23000</v>
      </c>
      <c r="D541" s="581">
        <f t="shared" si="63"/>
        <v>23000</v>
      </c>
      <c r="E541" s="581">
        <f t="shared" si="60"/>
        <v>6696</v>
      </c>
      <c r="F541" s="582">
        <f t="shared" si="62"/>
        <v>29.11304347826087</v>
      </c>
      <c r="G541" s="603"/>
      <c r="H541" s="581"/>
      <c r="I541" s="649"/>
      <c r="J541" s="487"/>
      <c r="K541" s="660"/>
      <c r="L541" s="662"/>
      <c r="M541" s="581"/>
      <c r="N541" s="586"/>
      <c r="O541" s="585"/>
      <c r="P541" s="603">
        <v>23000</v>
      </c>
      <c r="Q541" s="581">
        <v>6696</v>
      </c>
      <c r="R541" s="627">
        <f t="shared" si="61"/>
        <v>29.11304347826087</v>
      </c>
      <c r="S541" s="564"/>
      <c r="T541" s="564"/>
      <c r="U541" s="564"/>
      <c r="V541" s="564"/>
      <c r="W541" s="565"/>
      <c r="X541" s="565"/>
      <c r="Y541" s="565"/>
      <c r="Z541" s="565"/>
    </row>
    <row r="542" spans="1:26" s="639" customFormat="1" ht="15.75" customHeight="1">
      <c r="A542" s="647">
        <v>4300</v>
      </c>
      <c r="B542" s="651" t="s">
        <v>199</v>
      </c>
      <c r="C542" s="603">
        <v>120000</v>
      </c>
      <c r="D542" s="581">
        <f t="shared" si="63"/>
        <v>120000</v>
      </c>
      <c r="E542" s="581">
        <f t="shared" si="60"/>
        <v>24299</v>
      </c>
      <c r="F542" s="582">
        <f t="shared" si="62"/>
        <v>20.249166666666664</v>
      </c>
      <c r="G542" s="603"/>
      <c r="H542" s="581"/>
      <c r="I542" s="649"/>
      <c r="J542" s="487"/>
      <c r="K542" s="660"/>
      <c r="L542" s="662"/>
      <c r="M542" s="581"/>
      <c r="N542" s="586"/>
      <c r="O542" s="627"/>
      <c r="P542" s="603">
        <v>120000</v>
      </c>
      <c r="Q542" s="581">
        <v>24299</v>
      </c>
      <c r="R542" s="627">
        <f t="shared" si="61"/>
        <v>20.249166666666664</v>
      </c>
      <c r="S542" s="564"/>
      <c r="T542" s="564"/>
      <c r="U542" s="564"/>
      <c r="V542" s="564"/>
      <c r="W542" s="565"/>
      <c r="X542" s="565"/>
      <c r="Y542" s="565"/>
      <c r="Z542" s="565"/>
    </row>
    <row r="543" spans="1:26" s="639" customFormat="1" ht="24">
      <c r="A543" s="647">
        <v>4350</v>
      </c>
      <c r="B543" s="651" t="s">
        <v>584</v>
      </c>
      <c r="C543" s="603">
        <v>600</v>
      </c>
      <c r="D543" s="581">
        <f t="shared" si="63"/>
        <v>600</v>
      </c>
      <c r="E543" s="581">
        <f t="shared" si="60"/>
        <v>110</v>
      </c>
      <c r="F543" s="582">
        <f t="shared" si="62"/>
        <v>18.333333333333332</v>
      </c>
      <c r="G543" s="603"/>
      <c r="H543" s="581"/>
      <c r="I543" s="649"/>
      <c r="J543" s="487"/>
      <c r="K543" s="660"/>
      <c r="L543" s="662"/>
      <c r="M543" s="581"/>
      <c r="N543" s="586"/>
      <c r="O543" s="585"/>
      <c r="P543" s="603">
        <v>600</v>
      </c>
      <c r="Q543" s="581">
        <v>110</v>
      </c>
      <c r="R543" s="627">
        <f t="shared" si="61"/>
        <v>18.333333333333332</v>
      </c>
      <c r="S543" s="564"/>
      <c r="T543" s="564"/>
      <c r="U543" s="564"/>
      <c r="V543" s="564"/>
      <c r="W543" s="565"/>
      <c r="X543" s="565"/>
      <c r="Y543" s="565"/>
      <c r="Z543" s="565"/>
    </row>
    <row r="544" spans="1:26" s="639" customFormat="1" ht="60" customHeight="1">
      <c r="A544" s="647">
        <v>4360</v>
      </c>
      <c r="B544" s="712" t="s">
        <v>431</v>
      </c>
      <c r="C544" s="603">
        <v>8000</v>
      </c>
      <c r="D544" s="581">
        <f t="shared" si="63"/>
        <v>8000</v>
      </c>
      <c r="E544" s="581">
        <f t="shared" si="60"/>
        <v>2545</v>
      </c>
      <c r="F544" s="582">
        <f t="shared" si="62"/>
        <v>31.8125</v>
      </c>
      <c r="G544" s="603"/>
      <c r="H544" s="581"/>
      <c r="I544" s="649"/>
      <c r="J544" s="487"/>
      <c r="K544" s="660"/>
      <c r="L544" s="662"/>
      <c r="M544" s="660"/>
      <c r="N544" s="661"/>
      <c r="O544" s="585"/>
      <c r="P544" s="603">
        <v>8000</v>
      </c>
      <c r="Q544" s="581">
        <v>2545</v>
      </c>
      <c r="R544" s="627">
        <f t="shared" si="61"/>
        <v>31.8125</v>
      </c>
      <c r="S544" s="564"/>
      <c r="T544" s="564"/>
      <c r="U544" s="564"/>
      <c r="V544" s="564"/>
      <c r="W544" s="565"/>
      <c r="X544" s="565"/>
      <c r="Y544" s="565"/>
      <c r="Z544" s="565"/>
    </row>
    <row r="545" spans="1:26" s="639" customFormat="1" ht="62.25" customHeight="1">
      <c r="A545" s="647">
        <v>4370</v>
      </c>
      <c r="B545" s="712" t="s">
        <v>432</v>
      </c>
      <c r="C545" s="603">
        <v>43000</v>
      </c>
      <c r="D545" s="581">
        <f t="shared" si="63"/>
        <v>43000</v>
      </c>
      <c r="E545" s="581">
        <f t="shared" si="60"/>
        <v>10137</v>
      </c>
      <c r="F545" s="582">
        <f t="shared" si="62"/>
        <v>23.57441860465116</v>
      </c>
      <c r="G545" s="603"/>
      <c r="H545" s="581"/>
      <c r="I545" s="649"/>
      <c r="J545" s="487"/>
      <c r="K545" s="660"/>
      <c r="L545" s="662"/>
      <c r="M545" s="660"/>
      <c r="N545" s="661"/>
      <c r="O545" s="585"/>
      <c r="P545" s="603">
        <v>43000</v>
      </c>
      <c r="Q545" s="581">
        <v>10137</v>
      </c>
      <c r="R545" s="627">
        <f t="shared" si="61"/>
        <v>23.57441860465116</v>
      </c>
      <c r="S545" s="564"/>
      <c r="T545" s="564"/>
      <c r="U545" s="564"/>
      <c r="V545" s="564"/>
      <c r="W545" s="565"/>
      <c r="X545" s="565"/>
      <c r="Y545" s="565"/>
      <c r="Z545" s="565"/>
    </row>
    <row r="546" spans="1:26" s="639" customFormat="1" ht="15" customHeight="1">
      <c r="A546" s="647">
        <v>4410</v>
      </c>
      <c r="B546" s="651" t="s">
        <v>173</v>
      </c>
      <c r="C546" s="603">
        <v>12000</v>
      </c>
      <c r="D546" s="581">
        <f t="shared" si="63"/>
        <v>12000</v>
      </c>
      <c r="E546" s="581">
        <f t="shared" si="60"/>
        <v>1906</v>
      </c>
      <c r="F546" s="582">
        <f t="shared" si="62"/>
        <v>15.883333333333333</v>
      </c>
      <c r="G546" s="603"/>
      <c r="H546" s="581"/>
      <c r="I546" s="649"/>
      <c r="J546" s="487"/>
      <c r="K546" s="660"/>
      <c r="L546" s="662"/>
      <c r="M546" s="660"/>
      <c r="N546" s="661"/>
      <c r="O546" s="585"/>
      <c r="P546" s="603">
        <v>12000</v>
      </c>
      <c r="Q546" s="581">
        <v>1906</v>
      </c>
      <c r="R546" s="627">
        <f t="shared" si="61"/>
        <v>15.883333333333333</v>
      </c>
      <c r="S546" s="564"/>
      <c r="T546" s="564"/>
      <c r="U546" s="564"/>
      <c r="V546" s="564"/>
      <c r="W546" s="565"/>
      <c r="X546" s="565"/>
      <c r="Y546" s="565"/>
      <c r="Z546" s="565"/>
    </row>
    <row r="547" spans="1:26" s="639" customFormat="1" ht="11.25" customHeight="1">
      <c r="A547" s="647">
        <v>4430</v>
      </c>
      <c r="B547" s="651" t="s">
        <v>201</v>
      </c>
      <c r="C547" s="603">
        <v>4500</v>
      </c>
      <c r="D547" s="581">
        <f t="shared" si="63"/>
        <v>4500</v>
      </c>
      <c r="E547" s="581">
        <f t="shared" si="60"/>
        <v>0</v>
      </c>
      <c r="F547" s="582">
        <f t="shared" si="62"/>
        <v>0</v>
      </c>
      <c r="G547" s="603"/>
      <c r="H547" s="581"/>
      <c r="I547" s="649"/>
      <c r="J547" s="487"/>
      <c r="K547" s="660"/>
      <c r="L547" s="662"/>
      <c r="M547" s="660"/>
      <c r="N547" s="661"/>
      <c r="O547" s="585"/>
      <c r="P547" s="603">
        <v>4500</v>
      </c>
      <c r="Q547" s="581"/>
      <c r="R547" s="627">
        <f t="shared" si="61"/>
        <v>0</v>
      </c>
      <c r="S547" s="564"/>
      <c r="T547" s="564"/>
      <c r="U547" s="564"/>
      <c r="V547" s="564"/>
      <c r="W547" s="565"/>
      <c r="X547" s="565"/>
      <c r="Y547" s="565"/>
      <c r="Z547" s="565"/>
    </row>
    <row r="548" spans="1:26" s="639" customFormat="1" ht="11.25" customHeight="1">
      <c r="A548" s="647">
        <v>4440</v>
      </c>
      <c r="B548" s="651" t="s">
        <v>712</v>
      </c>
      <c r="C548" s="603">
        <v>7000</v>
      </c>
      <c r="D548" s="581">
        <f t="shared" si="63"/>
        <v>7000</v>
      </c>
      <c r="E548" s="581">
        <f t="shared" si="60"/>
        <v>0</v>
      </c>
      <c r="F548" s="582">
        <f t="shared" si="62"/>
        <v>0</v>
      </c>
      <c r="G548" s="603"/>
      <c r="H548" s="581"/>
      <c r="I548" s="649"/>
      <c r="J548" s="487"/>
      <c r="K548" s="660"/>
      <c r="L548" s="662"/>
      <c r="M548" s="660"/>
      <c r="N548" s="661"/>
      <c r="O548" s="585"/>
      <c r="P548" s="603">
        <v>7000</v>
      </c>
      <c r="Q548" s="810"/>
      <c r="R548" s="627">
        <f t="shared" si="61"/>
        <v>0</v>
      </c>
      <c r="S548" s="564"/>
      <c r="T548" s="564"/>
      <c r="U548" s="564"/>
      <c r="V548" s="564"/>
      <c r="W548" s="565"/>
      <c r="X548" s="565"/>
      <c r="Y548" s="565"/>
      <c r="Z548" s="565"/>
    </row>
    <row r="549" spans="1:26" s="639" customFormat="1" ht="39" customHeight="1">
      <c r="A549" s="647">
        <v>4500</v>
      </c>
      <c r="B549" s="651" t="s">
        <v>610</v>
      </c>
      <c r="C549" s="603">
        <v>44196</v>
      </c>
      <c r="D549" s="581">
        <f t="shared" si="63"/>
        <v>44196</v>
      </c>
      <c r="E549" s="581">
        <f>SUM(H549+K549+N549+Q549)</f>
        <v>11523</v>
      </c>
      <c r="F549" s="582">
        <f t="shared" si="62"/>
        <v>26.07249524843877</v>
      </c>
      <c r="G549" s="603"/>
      <c r="H549" s="581"/>
      <c r="I549" s="649"/>
      <c r="J549" s="477"/>
      <c r="K549" s="660"/>
      <c r="L549" s="662"/>
      <c r="M549" s="660"/>
      <c r="N549" s="661"/>
      <c r="O549" s="585"/>
      <c r="P549" s="603">
        <v>44196</v>
      </c>
      <c r="Q549" s="810">
        <v>11523</v>
      </c>
      <c r="R549" s="627">
        <f t="shared" si="61"/>
        <v>26.07249524843877</v>
      </c>
      <c r="S549" s="564"/>
      <c r="T549" s="564"/>
      <c r="U549" s="564"/>
      <c r="V549" s="564"/>
      <c r="W549" s="565"/>
      <c r="X549" s="565"/>
      <c r="Y549" s="565"/>
      <c r="Z549" s="565"/>
    </row>
    <row r="550" spans="1:26" s="639" customFormat="1" ht="24">
      <c r="A550" s="647">
        <v>4510</v>
      </c>
      <c r="B550" s="712" t="s">
        <v>713</v>
      </c>
      <c r="C550" s="603">
        <v>1233</v>
      </c>
      <c r="D550" s="581">
        <f t="shared" si="63"/>
        <v>1233</v>
      </c>
      <c r="E550" s="581">
        <f t="shared" si="60"/>
        <v>1233</v>
      </c>
      <c r="F550" s="582">
        <f t="shared" si="62"/>
        <v>100</v>
      </c>
      <c r="G550" s="603"/>
      <c r="H550" s="581"/>
      <c r="I550" s="649"/>
      <c r="J550" s="477"/>
      <c r="K550" s="660"/>
      <c r="L550" s="662"/>
      <c r="M550" s="581"/>
      <c r="N550" s="586"/>
      <c r="O550" s="585"/>
      <c r="P550" s="603">
        <v>1233</v>
      </c>
      <c r="Q550" s="810">
        <v>1233</v>
      </c>
      <c r="R550" s="627">
        <f t="shared" si="61"/>
        <v>100</v>
      </c>
      <c r="S550" s="564"/>
      <c r="T550" s="564"/>
      <c r="U550" s="564"/>
      <c r="V550" s="564"/>
      <c r="W550" s="565"/>
      <c r="X550" s="565"/>
      <c r="Y550" s="565"/>
      <c r="Z550" s="565"/>
    </row>
    <row r="551" spans="1:26" s="639" customFormat="1" ht="51" customHeight="1">
      <c r="A551" s="647">
        <v>4740</v>
      </c>
      <c r="B551" s="712" t="s">
        <v>215</v>
      </c>
      <c r="C551" s="603">
        <v>3500</v>
      </c>
      <c r="D551" s="581">
        <f t="shared" si="63"/>
        <v>3500</v>
      </c>
      <c r="E551" s="581">
        <f>SUM(H551+K551+N551+Q551)</f>
        <v>165</v>
      </c>
      <c r="F551" s="582">
        <f t="shared" si="62"/>
        <v>4.714285714285714</v>
      </c>
      <c r="G551" s="603"/>
      <c r="H551" s="581"/>
      <c r="I551" s="649"/>
      <c r="J551" s="477"/>
      <c r="K551" s="660"/>
      <c r="L551" s="662"/>
      <c r="M551" s="581"/>
      <c r="N551" s="586"/>
      <c r="O551" s="585"/>
      <c r="P551" s="603">
        <v>3500</v>
      </c>
      <c r="Q551" s="810">
        <v>165</v>
      </c>
      <c r="R551" s="627">
        <f t="shared" si="61"/>
        <v>4.714285714285714</v>
      </c>
      <c r="S551" s="564"/>
      <c r="T551" s="564"/>
      <c r="U551" s="564"/>
      <c r="V551" s="564"/>
      <c r="W551" s="565"/>
      <c r="X551" s="565"/>
      <c r="Y551" s="565"/>
      <c r="Z551" s="565"/>
    </row>
    <row r="552" spans="1:26" s="639" customFormat="1" ht="34.5" customHeight="1">
      <c r="A552" s="647">
        <v>4750</v>
      </c>
      <c r="B552" s="712" t="s">
        <v>589</v>
      </c>
      <c r="C552" s="603">
        <v>20000</v>
      </c>
      <c r="D552" s="581">
        <f t="shared" si="63"/>
        <v>20000</v>
      </c>
      <c r="E552" s="581">
        <f t="shared" si="60"/>
        <v>4847</v>
      </c>
      <c r="F552" s="582">
        <f t="shared" si="62"/>
        <v>24.235</v>
      </c>
      <c r="G552" s="603"/>
      <c r="H552" s="581"/>
      <c r="I552" s="649"/>
      <c r="J552" s="477"/>
      <c r="K552" s="660"/>
      <c r="L552" s="662"/>
      <c r="M552" s="660"/>
      <c r="N552" s="586"/>
      <c r="O552" s="585"/>
      <c r="P552" s="603">
        <v>20000</v>
      </c>
      <c r="Q552" s="810">
        <v>4847</v>
      </c>
      <c r="R552" s="627">
        <f t="shared" si="61"/>
        <v>24.235</v>
      </c>
      <c r="S552" s="564"/>
      <c r="T552" s="564"/>
      <c r="U552" s="564"/>
      <c r="V552" s="564"/>
      <c r="W552" s="565"/>
      <c r="X552" s="565"/>
      <c r="Y552" s="565"/>
      <c r="Z552" s="565"/>
    </row>
    <row r="553" spans="1:26" s="639" customFormat="1" ht="36" hidden="1">
      <c r="A553" s="647">
        <v>6050</v>
      </c>
      <c r="B553" s="651" t="s">
        <v>225</v>
      </c>
      <c r="C553" s="603"/>
      <c r="D553" s="581">
        <f t="shared" si="63"/>
        <v>0</v>
      </c>
      <c r="E553" s="581">
        <f t="shared" si="60"/>
        <v>0</v>
      </c>
      <c r="F553" s="582"/>
      <c r="G553" s="659"/>
      <c r="H553" s="660"/>
      <c r="I553" s="649"/>
      <c r="J553" s="477"/>
      <c r="K553" s="660"/>
      <c r="L553" s="662"/>
      <c r="M553" s="581"/>
      <c r="N553" s="586"/>
      <c r="O553" s="627"/>
      <c r="P553" s="603"/>
      <c r="Q553" s="810"/>
      <c r="R553" s="627" t="e">
        <f t="shared" si="61"/>
        <v>#DIV/0!</v>
      </c>
      <c r="S553" s="564"/>
      <c r="T553" s="564"/>
      <c r="U553" s="564"/>
      <c r="V553" s="564"/>
      <c r="W553" s="565"/>
      <c r="X553" s="565"/>
      <c r="Y553" s="565"/>
      <c r="Z553" s="565"/>
    </row>
    <row r="554" spans="1:26" s="639" customFormat="1" ht="84" customHeight="1">
      <c r="A554" s="647">
        <v>6220</v>
      </c>
      <c r="B554" s="651" t="s">
        <v>714</v>
      </c>
      <c r="C554" s="603">
        <v>1000000</v>
      </c>
      <c r="D554" s="581">
        <f>G554+J554+P554+M554</f>
        <v>1000000</v>
      </c>
      <c r="E554" s="581">
        <f>SUM(H554+K554+N554+Q554)</f>
        <v>0</v>
      </c>
      <c r="F554" s="582">
        <f t="shared" si="62"/>
        <v>0</v>
      </c>
      <c r="G554" s="659"/>
      <c r="H554" s="660"/>
      <c r="I554" s="649"/>
      <c r="J554" s="477"/>
      <c r="K554" s="660"/>
      <c r="L554" s="662"/>
      <c r="M554" s="581">
        <v>1000000</v>
      </c>
      <c r="N554" s="586"/>
      <c r="O554" s="627">
        <f>N554/M554*100</f>
        <v>0</v>
      </c>
      <c r="P554" s="603"/>
      <c r="Q554" s="810"/>
      <c r="R554" s="627"/>
      <c r="S554" s="564"/>
      <c r="T554" s="564"/>
      <c r="U554" s="564"/>
      <c r="V554" s="564"/>
      <c r="W554" s="565"/>
      <c r="X554" s="565"/>
      <c r="Y554" s="565"/>
      <c r="Z554" s="565"/>
    </row>
    <row r="555" spans="1:26" s="639" customFormat="1" ht="22.5" customHeight="1" hidden="1" thickTop="1">
      <c r="A555" s="672">
        <v>6060</v>
      </c>
      <c r="B555" s="811" t="s">
        <v>590</v>
      </c>
      <c r="C555" s="674"/>
      <c r="D555" s="675">
        <f t="shared" si="63"/>
        <v>0</v>
      </c>
      <c r="E555" s="675">
        <f t="shared" si="60"/>
        <v>0</v>
      </c>
      <c r="F555" s="582" t="e">
        <f t="shared" si="62"/>
        <v>#DIV/0!</v>
      </c>
      <c r="G555" s="721"/>
      <c r="H555" s="642"/>
      <c r="I555" s="689"/>
      <c r="J555" s="812"/>
      <c r="K555" s="642"/>
      <c r="L555" s="763"/>
      <c r="M555" s="675"/>
      <c r="N555" s="676"/>
      <c r="O555" s="627" t="e">
        <f>N555/M555*100</f>
        <v>#DIV/0!</v>
      </c>
      <c r="P555" s="674"/>
      <c r="Q555" s="675"/>
      <c r="R555" s="627" t="e">
        <f t="shared" si="61"/>
        <v>#DIV/0!</v>
      </c>
      <c r="S555" s="564"/>
      <c r="T555" s="564"/>
      <c r="U555" s="564"/>
      <c r="V555" s="564"/>
      <c r="W555" s="565"/>
      <c r="X555" s="565"/>
      <c r="Y555" s="565"/>
      <c r="Z555" s="565"/>
    </row>
    <row r="556" spans="1:18" ht="24" customHeight="1">
      <c r="A556" s="640">
        <v>75412</v>
      </c>
      <c r="B556" s="742" t="s">
        <v>715</v>
      </c>
      <c r="C556" s="608">
        <f>SUM(C557)</f>
        <v>22000</v>
      </c>
      <c r="D556" s="595">
        <f t="shared" si="63"/>
        <v>22000</v>
      </c>
      <c r="E556" s="595">
        <f>SUM(E557)</f>
        <v>11000</v>
      </c>
      <c r="F556" s="596">
        <f t="shared" si="62"/>
        <v>50</v>
      </c>
      <c r="G556" s="608">
        <f>SUM(G557)</f>
        <v>22000</v>
      </c>
      <c r="H556" s="595">
        <f>SUM(H557)</f>
        <v>11000</v>
      </c>
      <c r="I556" s="624">
        <f>H556/G556*100</f>
        <v>50</v>
      </c>
      <c r="J556" s="600"/>
      <c r="K556" s="595"/>
      <c r="L556" s="601"/>
      <c r="M556" s="735"/>
      <c r="N556" s="595"/>
      <c r="O556" s="645"/>
      <c r="P556" s="608"/>
      <c r="Q556" s="595"/>
      <c r="R556" s="731"/>
    </row>
    <row r="557" spans="1:18" ht="48.75" customHeight="1">
      <c r="A557" s="672">
        <v>2820</v>
      </c>
      <c r="B557" s="687" t="s">
        <v>716</v>
      </c>
      <c r="C557" s="603">
        <v>22000</v>
      </c>
      <c r="D557" s="581">
        <f t="shared" si="63"/>
        <v>22000</v>
      </c>
      <c r="E557" s="581">
        <f>SUM(H557+K557+N557+Q557)</f>
        <v>11000</v>
      </c>
      <c r="F557" s="582">
        <f t="shared" si="62"/>
        <v>50</v>
      </c>
      <c r="G557" s="813">
        <v>22000</v>
      </c>
      <c r="H557" s="688">
        <v>11000</v>
      </c>
      <c r="I557" s="627">
        <f>H557/G557*100</f>
        <v>50</v>
      </c>
      <c r="J557" s="814"/>
      <c r="K557" s="688"/>
      <c r="L557" s="679"/>
      <c r="M557" s="688"/>
      <c r="N557" s="688"/>
      <c r="O557" s="815"/>
      <c r="P557" s="813"/>
      <c r="Q557" s="688"/>
      <c r="R557" s="816"/>
    </row>
    <row r="558" spans="1:18" ht="12.75" customHeight="1">
      <c r="A558" s="640">
        <v>75414</v>
      </c>
      <c r="B558" s="742" t="s">
        <v>717</v>
      </c>
      <c r="C558" s="608">
        <f>SUM(C559:C564)</f>
        <v>43000</v>
      </c>
      <c r="D558" s="595">
        <f t="shared" si="63"/>
        <v>43000</v>
      </c>
      <c r="E558" s="595">
        <f>H558+K558+Q558+N558</f>
        <v>3121</v>
      </c>
      <c r="F558" s="596">
        <f t="shared" si="62"/>
        <v>7.258139534883721</v>
      </c>
      <c r="G558" s="608">
        <f>SUM(G559:G564)</f>
        <v>33000</v>
      </c>
      <c r="H558" s="595">
        <f>SUM(H559:H564)</f>
        <v>3121</v>
      </c>
      <c r="I558" s="624">
        <f>H558/G558*100</f>
        <v>9.457575757575757</v>
      </c>
      <c r="J558" s="595">
        <f>SUM(J562:J564)</f>
        <v>10000</v>
      </c>
      <c r="K558" s="595">
        <f>SUM(K562:K564)</f>
        <v>0</v>
      </c>
      <c r="L558" s="624">
        <f>K558/J558*100</f>
        <v>0</v>
      </c>
      <c r="M558" s="595"/>
      <c r="N558" s="595"/>
      <c r="O558" s="645"/>
      <c r="P558" s="608"/>
      <c r="Q558" s="595"/>
      <c r="R558" s="731"/>
    </row>
    <row r="559" spans="1:18" ht="48" hidden="1">
      <c r="A559" s="647">
        <v>3020</v>
      </c>
      <c r="B559" s="651" t="s">
        <v>680</v>
      </c>
      <c r="C559" s="603">
        <v>0</v>
      </c>
      <c r="D559" s="581">
        <f t="shared" si="63"/>
        <v>0</v>
      </c>
      <c r="E559" s="581">
        <f aca="true" t="shared" si="64" ref="E559:E577">SUM(H559+K559+N559+Q559)</f>
        <v>0</v>
      </c>
      <c r="F559" s="582" t="e">
        <f t="shared" si="62"/>
        <v>#DIV/0!</v>
      </c>
      <c r="G559" s="603">
        <v>0</v>
      </c>
      <c r="H559" s="581"/>
      <c r="I559" s="627" t="e">
        <f>H559/G559*100</f>
        <v>#DIV/0!</v>
      </c>
      <c r="J559" s="586"/>
      <c r="K559" s="583"/>
      <c r="L559" s="624"/>
      <c r="M559" s="581"/>
      <c r="N559" s="581"/>
      <c r="O559" s="649"/>
      <c r="P559" s="603"/>
      <c r="Q559" s="581"/>
      <c r="R559" s="653"/>
    </row>
    <row r="560" spans="1:18" ht="36" hidden="1">
      <c r="A560" s="647">
        <v>4110</v>
      </c>
      <c r="B560" s="651" t="s">
        <v>187</v>
      </c>
      <c r="C560" s="603">
        <v>0</v>
      </c>
      <c r="D560" s="581">
        <f t="shared" si="63"/>
        <v>0</v>
      </c>
      <c r="E560" s="581">
        <f t="shared" si="64"/>
        <v>0</v>
      </c>
      <c r="F560" s="582" t="e">
        <f t="shared" si="62"/>
        <v>#DIV/0!</v>
      </c>
      <c r="G560" s="603">
        <v>0</v>
      </c>
      <c r="H560" s="581"/>
      <c r="I560" s="627" t="e">
        <f>H560/G560*100</f>
        <v>#DIV/0!</v>
      </c>
      <c r="J560" s="586"/>
      <c r="K560" s="583"/>
      <c r="L560" s="624"/>
      <c r="M560" s="581"/>
      <c r="N560" s="581"/>
      <c r="O560" s="649"/>
      <c r="P560" s="603"/>
      <c r="Q560" s="581"/>
      <c r="R560" s="653"/>
    </row>
    <row r="561" spans="1:18" ht="72" hidden="1">
      <c r="A561" s="647">
        <v>6060</v>
      </c>
      <c r="B561" s="651" t="s">
        <v>483</v>
      </c>
      <c r="C561" s="603"/>
      <c r="D561" s="581">
        <f t="shared" si="63"/>
        <v>0</v>
      </c>
      <c r="E561" s="581">
        <f t="shared" si="64"/>
        <v>0</v>
      </c>
      <c r="F561" s="582" t="e">
        <f t="shared" si="62"/>
        <v>#DIV/0!</v>
      </c>
      <c r="G561" s="603"/>
      <c r="H561" s="581"/>
      <c r="I561" s="627"/>
      <c r="J561" s="586"/>
      <c r="K561" s="583"/>
      <c r="L561" s="669"/>
      <c r="M561" s="581"/>
      <c r="N561" s="581"/>
      <c r="O561" s="649"/>
      <c r="P561" s="603"/>
      <c r="Q561" s="581"/>
      <c r="R561" s="653" t="e">
        <f>Q561/P561*100</f>
        <v>#DIV/0!</v>
      </c>
    </row>
    <row r="562" spans="1:18" ht="23.25" customHeight="1">
      <c r="A562" s="647">
        <v>4210</v>
      </c>
      <c r="B562" s="651" t="s">
        <v>191</v>
      </c>
      <c r="C562" s="603">
        <v>20000</v>
      </c>
      <c r="D562" s="581">
        <f t="shared" si="63"/>
        <v>20000</v>
      </c>
      <c r="E562" s="581">
        <f t="shared" si="64"/>
        <v>1474</v>
      </c>
      <c r="F562" s="582">
        <f t="shared" si="62"/>
        <v>7.37</v>
      </c>
      <c r="G562" s="603">
        <v>20000</v>
      </c>
      <c r="H562" s="581">
        <v>1474</v>
      </c>
      <c r="I562" s="627">
        <f>H562/G562*100</f>
        <v>7.37</v>
      </c>
      <c r="J562" s="586"/>
      <c r="K562" s="583"/>
      <c r="L562" s="627"/>
      <c r="M562" s="581"/>
      <c r="N562" s="581"/>
      <c r="O562" s="649"/>
      <c r="P562" s="603"/>
      <c r="Q562" s="581"/>
      <c r="R562" s="653"/>
    </row>
    <row r="563" spans="1:18" ht="15.75" customHeight="1">
      <c r="A563" s="647">
        <v>4270</v>
      </c>
      <c r="B563" s="817" t="s">
        <v>197</v>
      </c>
      <c r="C563" s="603">
        <v>5000</v>
      </c>
      <c r="D563" s="581">
        <f t="shared" si="63"/>
        <v>5000</v>
      </c>
      <c r="E563" s="581">
        <f>SUM(H563+K563+N563+Q563)</f>
        <v>0</v>
      </c>
      <c r="F563" s="582">
        <f t="shared" si="62"/>
        <v>0</v>
      </c>
      <c r="G563" s="603"/>
      <c r="H563" s="581"/>
      <c r="I563" s="627"/>
      <c r="J563" s="586">
        <v>5000</v>
      </c>
      <c r="K563" s="583"/>
      <c r="L563" s="627">
        <f>K563/J563*100</f>
        <v>0</v>
      </c>
      <c r="M563" s="581"/>
      <c r="N563" s="581"/>
      <c r="O563" s="649"/>
      <c r="P563" s="603"/>
      <c r="Q563" s="581"/>
      <c r="R563" s="653"/>
    </row>
    <row r="564" spans="1:18" ht="15" customHeight="1" thickBot="1">
      <c r="A564" s="672">
        <v>4300</v>
      </c>
      <c r="B564" s="818" t="s">
        <v>583</v>
      </c>
      <c r="C564" s="674">
        <v>18000</v>
      </c>
      <c r="D564" s="675">
        <f t="shared" si="63"/>
        <v>18000</v>
      </c>
      <c r="E564" s="675">
        <f t="shared" si="64"/>
        <v>1647</v>
      </c>
      <c r="F564" s="644">
        <f t="shared" si="62"/>
        <v>9.15</v>
      </c>
      <c r="G564" s="674">
        <v>13000</v>
      </c>
      <c r="H564" s="688">
        <v>1647</v>
      </c>
      <c r="I564" s="644">
        <f aca="true" t="shared" si="65" ref="I564:I569">H564/G564*100</f>
        <v>12.669230769230769</v>
      </c>
      <c r="J564" s="814">
        <v>5000</v>
      </c>
      <c r="K564" s="688"/>
      <c r="L564" s="644">
        <f>K564/J564*100</f>
        <v>0</v>
      </c>
      <c r="M564" s="688"/>
      <c r="N564" s="688"/>
      <c r="O564" s="815"/>
      <c r="P564" s="813"/>
      <c r="Q564" s="688"/>
      <c r="R564" s="816"/>
    </row>
    <row r="565" spans="1:18" ht="13.5" hidden="1" thickBot="1">
      <c r="A565" s="640">
        <v>75421</v>
      </c>
      <c r="B565" s="641" t="s">
        <v>718</v>
      </c>
      <c r="C565" s="608">
        <f>SUM(C566)</f>
        <v>0</v>
      </c>
      <c r="D565" s="595">
        <f t="shared" si="63"/>
        <v>0</v>
      </c>
      <c r="E565" s="595">
        <f>SUM(H565+K565+N565+Q565)</f>
        <v>0</v>
      </c>
      <c r="F565" s="819" t="e">
        <f t="shared" si="62"/>
        <v>#DIV/0!</v>
      </c>
      <c r="G565" s="608">
        <f>SUM(G566)</f>
        <v>0</v>
      </c>
      <c r="H565" s="594">
        <f>SUM(H566)</f>
        <v>0</v>
      </c>
      <c r="I565" s="602" t="e">
        <f t="shared" si="65"/>
        <v>#DIV/0!</v>
      </c>
      <c r="J565" s="690"/>
      <c r="K565" s="594"/>
      <c r="L565" s="819"/>
      <c r="M565" s="594"/>
      <c r="N565" s="594"/>
      <c r="O565" s="820"/>
      <c r="P565" s="593"/>
      <c r="Q565" s="594"/>
      <c r="R565" s="821"/>
    </row>
    <row r="566" spans="1:18" ht="46.5" hidden="1" thickBot="1">
      <c r="A566" s="647">
        <v>4810</v>
      </c>
      <c r="B566" s="648" t="s">
        <v>484</v>
      </c>
      <c r="C566" s="603"/>
      <c r="D566" s="581">
        <f t="shared" si="63"/>
        <v>0</v>
      </c>
      <c r="E566" s="581">
        <f>SUM(H566+K566+N566+Q566)</f>
        <v>0</v>
      </c>
      <c r="F566" s="627" t="e">
        <f t="shared" si="62"/>
        <v>#DIV/0!</v>
      </c>
      <c r="G566" s="603"/>
      <c r="H566" s="583"/>
      <c r="I566" s="602" t="e">
        <f t="shared" si="65"/>
        <v>#DIV/0!</v>
      </c>
      <c r="J566" s="584"/>
      <c r="K566" s="583"/>
      <c r="L566" s="627"/>
      <c r="M566" s="583"/>
      <c r="N566" s="583"/>
      <c r="O566" s="692"/>
      <c r="P566" s="580"/>
      <c r="Q566" s="583"/>
      <c r="R566" s="650"/>
    </row>
    <row r="567" spans="1:26" s="639" customFormat="1" ht="13.5" hidden="1" thickBot="1">
      <c r="A567" s="640">
        <v>75495</v>
      </c>
      <c r="B567" s="641" t="s">
        <v>213</v>
      </c>
      <c r="C567" s="608">
        <f>SUM(C568:C569)</f>
        <v>0</v>
      </c>
      <c r="D567" s="595">
        <f t="shared" si="63"/>
        <v>0</v>
      </c>
      <c r="E567" s="595">
        <f t="shared" si="64"/>
        <v>0</v>
      </c>
      <c r="F567" s="624" t="e">
        <f t="shared" si="62"/>
        <v>#DIV/0!</v>
      </c>
      <c r="G567" s="608">
        <f>SUM(G568:G569)</f>
        <v>0</v>
      </c>
      <c r="H567" s="594">
        <f>SUM(H568:H569)</f>
        <v>0</v>
      </c>
      <c r="I567" s="602" t="e">
        <f t="shared" si="65"/>
        <v>#DIV/0!</v>
      </c>
      <c r="J567" s="690"/>
      <c r="K567" s="594"/>
      <c r="L567" s="682"/>
      <c r="M567" s="594"/>
      <c r="N567" s="594"/>
      <c r="O567" s="820"/>
      <c r="P567" s="593">
        <f>SUM(P568:P570)</f>
        <v>0</v>
      </c>
      <c r="Q567" s="594">
        <f>SUM(Q568:Q570)</f>
        <v>0</v>
      </c>
      <c r="R567" s="821" t="e">
        <f>Q567/P567*100</f>
        <v>#DIV/0!</v>
      </c>
      <c r="S567" s="564"/>
      <c r="T567" s="564"/>
      <c r="U567" s="564"/>
      <c r="V567" s="564"/>
      <c r="W567" s="565"/>
      <c r="X567" s="565"/>
      <c r="Y567" s="565"/>
      <c r="Z567" s="565"/>
    </row>
    <row r="568" spans="1:18" ht="24.75" hidden="1" thickBot="1">
      <c r="A568" s="647">
        <v>3000</v>
      </c>
      <c r="B568" s="648" t="s">
        <v>699</v>
      </c>
      <c r="C568" s="603"/>
      <c r="D568" s="581">
        <f t="shared" si="63"/>
        <v>0</v>
      </c>
      <c r="E568" s="581">
        <f>SUM(H568+K568+N568+Q568)</f>
        <v>0</v>
      </c>
      <c r="F568" s="582" t="e">
        <f t="shared" si="62"/>
        <v>#DIV/0!</v>
      </c>
      <c r="G568" s="603"/>
      <c r="H568" s="583"/>
      <c r="I568" s="627" t="e">
        <f t="shared" si="65"/>
        <v>#DIV/0!</v>
      </c>
      <c r="J568" s="584"/>
      <c r="K568" s="583"/>
      <c r="L568" s="585"/>
      <c r="M568" s="583"/>
      <c r="N568" s="583"/>
      <c r="O568" s="692"/>
      <c r="P568" s="580"/>
      <c r="Q568" s="583"/>
      <c r="R568" s="650"/>
    </row>
    <row r="569" spans="1:18" ht="36.75" hidden="1" thickBot="1">
      <c r="A569" s="647">
        <v>6050</v>
      </c>
      <c r="B569" s="648" t="s">
        <v>245</v>
      </c>
      <c r="C569" s="603"/>
      <c r="D569" s="581">
        <f t="shared" si="63"/>
        <v>0</v>
      </c>
      <c r="E569" s="581">
        <f t="shared" si="64"/>
        <v>0</v>
      </c>
      <c r="F569" s="582" t="e">
        <f t="shared" si="62"/>
        <v>#DIV/0!</v>
      </c>
      <c r="G569" s="603"/>
      <c r="H569" s="583"/>
      <c r="I569" s="585" t="e">
        <f t="shared" si="65"/>
        <v>#DIV/0!</v>
      </c>
      <c r="J569" s="584"/>
      <c r="K569" s="583"/>
      <c r="L569" s="585"/>
      <c r="M569" s="583"/>
      <c r="N569" s="583"/>
      <c r="O569" s="692"/>
      <c r="P569" s="580"/>
      <c r="Q569" s="583"/>
      <c r="R569" s="650"/>
    </row>
    <row r="570" spans="1:26" s="760" customFormat="1" ht="77.25" hidden="1" thickBot="1">
      <c r="A570" s="822"/>
      <c r="B570" s="823" t="s">
        <v>485</v>
      </c>
      <c r="C570" s="754"/>
      <c r="D570" s="755">
        <f t="shared" si="63"/>
        <v>0</v>
      </c>
      <c r="E570" s="755">
        <f t="shared" si="64"/>
        <v>0</v>
      </c>
      <c r="F570" s="630" t="e">
        <f t="shared" si="62"/>
        <v>#DIV/0!</v>
      </c>
      <c r="G570" s="754"/>
      <c r="H570" s="824"/>
      <c r="I570" s="665"/>
      <c r="J570" s="825"/>
      <c r="K570" s="824"/>
      <c r="L570" s="665"/>
      <c r="M570" s="824"/>
      <c r="N570" s="824"/>
      <c r="O570" s="665"/>
      <c r="P570" s="826">
        <f>SUM(P571:P577)</f>
        <v>0</v>
      </c>
      <c r="Q570" s="824">
        <f>SUM(Q571:Q577)</f>
        <v>0</v>
      </c>
      <c r="R570" s="827" t="e">
        <f>Q570/P570*100</f>
        <v>#DIV/0!</v>
      </c>
      <c r="S570" s="758"/>
      <c r="T570" s="758"/>
      <c r="U570" s="758"/>
      <c r="V570" s="758"/>
      <c r="W570" s="759"/>
      <c r="X570" s="759"/>
      <c r="Y570" s="759"/>
      <c r="Z570" s="759"/>
    </row>
    <row r="571" spans="1:18" ht="36.75" hidden="1" thickBot="1">
      <c r="A571" s="647">
        <v>4110</v>
      </c>
      <c r="B571" s="828" t="s">
        <v>187</v>
      </c>
      <c r="C571" s="603"/>
      <c r="D571" s="581">
        <f t="shared" si="63"/>
        <v>0</v>
      </c>
      <c r="E571" s="581">
        <f t="shared" si="64"/>
        <v>0</v>
      </c>
      <c r="F571" s="582" t="e">
        <f t="shared" si="62"/>
        <v>#DIV/0!</v>
      </c>
      <c r="G571" s="603"/>
      <c r="H571" s="583"/>
      <c r="I571" s="585"/>
      <c r="J571" s="584"/>
      <c r="K571" s="583"/>
      <c r="L571" s="585"/>
      <c r="M571" s="583"/>
      <c r="N571" s="583"/>
      <c r="O571" s="692"/>
      <c r="P571" s="580"/>
      <c r="Q571" s="583"/>
      <c r="R571" s="629" t="e">
        <f aca="true" t="shared" si="66" ref="R571:R577">Q571/P571*100</f>
        <v>#DIV/0!</v>
      </c>
    </row>
    <row r="572" spans="1:18" ht="13.5" hidden="1" thickBot="1">
      <c r="A572" s="647">
        <v>4120</v>
      </c>
      <c r="B572" s="828" t="s">
        <v>619</v>
      </c>
      <c r="C572" s="603"/>
      <c r="D572" s="581">
        <f t="shared" si="63"/>
        <v>0</v>
      </c>
      <c r="E572" s="581">
        <f t="shared" si="64"/>
        <v>0</v>
      </c>
      <c r="F572" s="582" t="e">
        <f t="shared" si="62"/>
        <v>#DIV/0!</v>
      </c>
      <c r="G572" s="603"/>
      <c r="H572" s="583"/>
      <c r="I572" s="585"/>
      <c r="J572" s="584"/>
      <c r="K572" s="583"/>
      <c r="L572" s="585"/>
      <c r="M572" s="583"/>
      <c r="N572" s="583"/>
      <c r="O572" s="692"/>
      <c r="P572" s="580"/>
      <c r="Q572" s="583"/>
      <c r="R572" s="629" t="e">
        <f t="shared" si="66"/>
        <v>#DIV/0!</v>
      </c>
    </row>
    <row r="573" spans="1:18" ht="24.75" hidden="1" thickBot="1">
      <c r="A573" s="647">
        <v>4170</v>
      </c>
      <c r="B573" s="828" t="s">
        <v>221</v>
      </c>
      <c r="C573" s="603"/>
      <c r="D573" s="581">
        <f t="shared" si="63"/>
        <v>0</v>
      </c>
      <c r="E573" s="581">
        <f t="shared" si="64"/>
        <v>0</v>
      </c>
      <c r="F573" s="582" t="e">
        <f t="shared" si="62"/>
        <v>#DIV/0!</v>
      </c>
      <c r="G573" s="603"/>
      <c r="H573" s="583"/>
      <c r="I573" s="585"/>
      <c r="J573" s="584"/>
      <c r="K573" s="583"/>
      <c r="L573" s="585"/>
      <c r="M573" s="583"/>
      <c r="N573" s="583"/>
      <c r="O573" s="692"/>
      <c r="P573" s="580"/>
      <c r="Q573" s="583"/>
      <c r="R573" s="629" t="e">
        <f t="shared" si="66"/>
        <v>#DIV/0!</v>
      </c>
    </row>
    <row r="574" spans="1:18" ht="24.75" hidden="1" thickBot="1">
      <c r="A574" s="647">
        <v>4210</v>
      </c>
      <c r="B574" s="828" t="s">
        <v>191</v>
      </c>
      <c r="C574" s="603"/>
      <c r="D574" s="581">
        <f t="shared" si="63"/>
        <v>0</v>
      </c>
      <c r="E574" s="581">
        <f t="shared" si="64"/>
        <v>0</v>
      </c>
      <c r="F574" s="582" t="e">
        <f t="shared" si="62"/>
        <v>#DIV/0!</v>
      </c>
      <c r="G574" s="603"/>
      <c r="H574" s="583"/>
      <c r="I574" s="585"/>
      <c r="J574" s="584"/>
      <c r="K574" s="583"/>
      <c r="L574" s="585"/>
      <c r="M574" s="583"/>
      <c r="N574" s="583"/>
      <c r="O574" s="692"/>
      <c r="P574" s="580"/>
      <c r="Q574" s="583"/>
      <c r="R574" s="582" t="e">
        <f t="shared" si="66"/>
        <v>#DIV/0!</v>
      </c>
    </row>
    <row r="575" spans="1:18" ht="24.75" hidden="1" thickBot="1">
      <c r="A575" s="647">
        <v>4300</v>
      </c>
      <c r="B575" s="712" t="s">
        <v>199</v>
      </c>
      <c r="C575" s="603"/>
      <c r="D575" s="581">
        <f t="shared" si="63"/>
        <v>0</v>
      </c>
      <c r="E575" s="581">
        <f t="shared" si="64"/>
        <v>0</v>
      </c>
      <c r="F575" s="582" t="e">
        <f t="shared" si="62"/>
        <v>#DIV/0!</v>
      </c>
      <c r="G575" s="603"/>
      <c r="H575" s="583"/>
      <c r="I575" s="585"/>
      <c r="J575" s="584"/>
      <c r="K575" s="583"/>
      <c r="L575" s="585"/>
      <c r="M575" s="583"/>
      <c r="N575" s="583"/>
      <c r="O575" s="692"/>
      <c r="P575" s="580"/>
      <c r="Q575" s="583"/>
      <c r="R575" s="629" t="e">
        <f t="shared" si="66"/>
        <v>#DIV/0!</v>
      </c>
    </row>
    <row r="576" spans="1:18" ht="60.75" hidden="1" thickBot="1">
      <c r="A576" s="647">
        <v>4740</v>
      </c>
      <c r="B576" s="712" t="s">
        <v>215</v>
      </c>
      <c r="C576" s="603"/>
      <c r="D576" s="581">
        <f t="shared" si="63"/>
        <v>0</v>
      </c>
      <c r="E576" s="581">
        <f t="shared" si="64"/>
        <v>0</v>
      </c>
      <c r="F576" s="582" t="e">
        <f t="shared" si="62"/>
        <v>#DIV/0!</v>
      </c>
      <c r="G576" s="603"/>
      <c r="H576" s="583"/>
      <c r="I576" s="585"/>
      <c r="J576" s="584"/>
      <c r="K576" s="583"/>
      <c r="L576" s="585"/>
      <c r="M576" s="583"/>
      <c r="N576" s="583"/>
      <c r="O576" s="692"/>
      <c r="P576" s="580"/>
      <c r="Q576" s="583"/>
      <c r="R576" s="629" t="e">
        <f t="shared" si="66"/>
        <v>#DIV/0!</v>
      </c>
    </row>
    <row r="577" spans="1:18" ht="36.75" hidden="1" thickBot="1">
      <c r="A577" s="647">
        <v>4750</v>
      </c>
      <c r="B577" s="712" t="s">
        <v>486</v>
      </c>
      <c r="C577" s="603"/>
      <c r="D577" s="581">
        <f t="shared" si="63"/>
        <v>0</v>
      </c>
      <c r="E577" s="581">
        <f t="shared" si="64"/>
        <v>0</v>
      </c>
      <c r="F577" s="582" t="e">
        <f t="shared" si="62"/>
        <v>#DIV/0!</v>
      </c>
      <c r="G577" s="603"/>
      <c r="H577" s="583"/>
      <c r="I577" s="585"/>
      <c r="J577" s="584"/>
      <c r="K577" s="583"/>
      <c r="L577" s="585"/>
      <c r="M577" s="583"/>
      <c r="N577" s="583"/>
      <c r="O577" s="692"/>
      <c r="P577" s="580"/>
      <c r="Q577" s="583"/>
      <c r="R577" s="582" t="e">
        <f t="shared" si="66"/>
        <v>#DIV/0!</v>
      </c>
    </row>
    <row r="578" spans="1:26" s="639" customFormat="1" ht="109.5" customHeight="1" thickBot="1" thickTop="1">
      <c r="A578" s="632">
        <v>756</v>
      </c>
      <c r="B578" s="829" t="s">
        <v>719</v>
      </c>
      <c r="C578" s="634">
        <f>C579</f>
        <v>651700</v>
      </c>
      <c r="D578" s="556">
        <f>G578</f>
        <v>651700</v>
      </c>
      <c r="E578" s="556">
        <f>H578</f>
        <v>119432</v>
      </c>
      <c r="F578" s="654">
        <f>E578/D578*100</f>
        <v>18.326223722571736</v>
      </c>
      <c r="G578" s="634">
        <f>G579</f>
        <v>651700</v>
      </c>
      <c r="H578" s="558">
        <f>H579</f>
        <v>119432</v>
      </c>
      <c r="I578" s="559">
        <f>H578/G578*100</f>
        <v>18.326223722571736</v>
      </c>
      <c r="J578" s="830"/>
      <c r="K578" s="558"/>
      <c r="L578" s="655"/>
      <c r="M578" s="558"/>
      <c r="N578" s="558"/>
      <c r="O578" s="831"/>
      <c r="P578" s="555"/>
      <c r="Q578" s="558"/>
      <c r="R578" s="832"/>
      <c r="S578" s="564"/>
      <c r="T578" s="564"/>
      <c r="U578" s="564"/>
      <c r="V578" s="564"/>
      <c r="W578" s="565"/>
      <c r="X578" s="565"/>
      <c r="Y578" s="565"/>
      <c r="Z578" s="565"/>
    </row>
    <row r="579" spans="1:18" ht="36.75" thickTop="1">
      <c r="A579" s="833">
        <v>75647</v>
      </c>
      <c r="B579" s="720" t="s">
        <v>720</v>
      </c>
      <c r="C579" s="721">
        <f>SUM(C580:C594)</f>
        <v>651700</v>
      </c>
      <c r="D579" s="642">
        <f aca="true" t="shared" si="67" ref="D579:D597">G579+J579+P579+M579</f>
        <v>651700</v>
      </c>
      <c r="E579" s="642">
        <f>H579+K579+Q579+N579</f>
        <v>119432</v>
      </c>
      <c r="F579" s="722">
        <f>E579/D579*100</f>
        <v>18.326223722571736</v>
      </c>
      <c r="G579" s="721">
        <f>SUM(G580:G594)</f>
        <v>651700</v>
      </c>
      <c r="H579" s="642">
        <f>SUM(H580:H594)</f>
        <v>119432</v>
      </c>
      <c r="I579" s="679">
        <f>H579/G579*100</f>
        <v>18.326223722571736</v>
      </c>
      <c r="J579" s="723"/>
      <c r="K579" s="642"/>
      <c r="L579" s="725"/>
      <c r="M579" s="642"/>
      <c r="N579" s="642"/>
      <c r="O579" s="726"/>
      <c r="P579" s="642"/>
      <c r="Q579" s="642"/>
      <c r="R579" s="725"/>
    </row>
    <row r="580" spans="1:18" ht="48" hidden="1">
      <c r="A580" s="834">
        <v>4010</v>
      </c>
      <c r="B580" s="668" t="s">
        <v>487</v>
      </c>
      <c r="C580" s="606"/>
      <c r="D580" s="581">
        <f t="shared" si="67"/>
        <v>0</v>
      </c>
      <c r="E580" s="581">
        <f aca="true" t="shared" si="68" ref="E580:E597">SUM(H580+K580+N580+Q580)</f>
        <v>0</v>
      </c>
      <c r="F580" s="582" t="e">
        <f aca="true" t="shared" si="69" ref="F580:F643">E580/D580*100</f>
        <v>#DIV/0!</v>
      </c>
      <c r="G580" s="606"/>
      <c r="H580" s="615"/>
      <c r="I580" s="585" t="e">
        <f aca="true" t="shared" si="70" ref="I580:I603">H580/G580*100</f>
        <v>#DIV/0!</v>
      </c>
      <c r="J580" s="618"/>
      <c r="K580" s="615"/>
      <c r="L580" s="590"/>
      <c r="M580" s="615"/>
      <c r="N580" s="615"/>
      <c r="O580" s="686"/>
      <c r="P580" s="615"/>
      <c r="Q580" s="615"/>
      <c r="R580" s="590"/>
    </row>
    <row r="581" spans="1:18" ht="24" customHeight="1">
      <c r="A581" s="739">
        <v>4100</v>
      </c>
      <c r="B581" s="651" t="s">
        <v>488</v>
      </c>
      <c r="C581" s="603">
        <v>170000</v>
      </c>
      <c r="D581" s="581">
        <f t="shared" si="67"/>
        <v>170000</v>
      </c>
      <c r="E581" s="581">
        <f t="shared" si="68"/>
        <v>24654</v>
      </c>
      <c r="F581" s="582">
        <f t="shared" si="69"/>
        <v>14.502352941176472</v>
      </c>
      <c r="G581" s="603">
        <v>170000</v>
      </c>
      <c r="H581" s="835">
        <v>24654</v>
      </c>
      <c r="I581" s="585">
        <f t="shared" si="70"/>
        <v>14.502352941176472</v>
      </c>
      <c r="J581" s="586"/>
      <c r="K581" s="581"/>
      <c r="L581" s="585"/>
      <c r="M581" s="581"/>
      <c r="N581" s="581"/>
      <c r="O581" s="649"/>
      <c r="P581" s="581"/>
      <c r="Q581" s="581"/>
      <c r="R581" s="585"/>
    </row>
    <row r="582" spans="1:18" ht="26.25" customHeight="1">
      <c r="A582" s="739">
        <v>4100</v>
      </c>
      <c r="B582" s="651" t="s">
        <v>489</v>
      </c>
      <c r="C582" s="603">
        <v>14200</v>
      </c>
      <c r="D582" s="581">
        <f t="shared" si="67"/>
        <v>14200</v>
      </c>
      <c r="E582" s="581">
        <f t="shared" si="68"/>
        <v>1767</v>
      </c>
      <c r="F582" s="582">
        <f t="shared" si="69"/>
        <v>12.443661971830986</v>
      </c>
      <c r="G582" s="603">
        <v>14200</v>
      </c>
      <c r="H582" s="581">
        <v>1767</v>
      </c>
      <c r="I582" s="585">
        <f t="shared" si="70"/>
        <v>12.443661971830986</v>
      </c>
      <c r="J582" s="586"/>
      <c r="K582" s="581"/>
      <c r="L582" s="585"/>
      <c r="M582" s="581"/>
      <c r="N582" s="581"/>
      <c r="O582" s="649"/>
      <c r="P582" s="581"/>
      <c r="Q582" s="581"/>
      <c r="R582" s="585"/>
    </row>
    <row r="583" spans="1:18" ht="24" customHeight="1">
      <c r="A583" s="647">
        <v>4110</v>
      </c>
      <c r="B583" s="651" t="s">
        <v>490</v>
      </c>
      <c r="C583" s="603">
        <v>6800</v>
      </c>
      <c r="D583" s="581">
        <f t="shared" si="67"/>
        <v>6800</v>
      </c>
      <c r="E583" s="581">
        <f t="shared" si="68"/>
        <v>729</v>
      </c>
      <c r="F583" s="582">
        <f t="shared" si="69"/>
        <v>10.720588235294118</v>
      </c>
      <c r="G583" s="603">
        <v>6800</v>
      </c>
      <c r="H583" s="581">
        <v>729</v>
      </c>
      <c r="I583" s="585">
        <f t="shared" si="70"/>
        <v>10.720588235294118</v>
      </c>
      <c r="J583" s="586"/>
      <c r="K583" s="581"/>
      <c r="L583" s="585"/>
      <c r="M583" s="581"/>
      <c r="N583" s="581"/>
      <c r="O583" s="649"/>
      <c r="P583" s="581"/>
      <c r="Q583" s="581"/>
      <c r="R583" s="585"/>
    </row>
    <row r="584" spans="1:18" ht="24" customHeight="1">
      <c r="A584" s="647">
        <v>4110</v>
      </c>
      <c r="B584" s="651" t="s">
        <v>491</v>
      </c>
      <c r="C584" s="603">
        <v>24600</v>
      </c>
      <c r="D584" s="581">
        <f t="shared" si="67"/>
        <v>24600</v>
      </c>
      <c r="E584" s="581">
        <f t="shared" si="68"/>
        <v>1870</v>
      </c>
      <c r="F584" s="582">
        <f t="shared" si="69"/>
        <v>7.6016260162601625</v>
      </c>
      <c r="G584" s="603">
        <v>24600</v>
      </c>
      <c r="H584" s="581">
        <v>1870</v>
      </c>
      <c r="I584" s="585">
        <f t="shared" si="70"/>
        <v>7.6016260162601625</v>
      </c>
      <c r="J584" s="586"/>
      <c r="K584" s="581"/>
      <c r="L584" s="585"/>
      <c r="M584" s="581"/>
      <c r="N584" s="581"/>
      <c r="O584" s="649"/>
      <c r="P584" s="581"/>
      <c r="Q584" s="581"/>
      <c r="R584" s="585"/>
    </row>
    <row r="585" spans="1:18" ht="12.75">
      <c r="A585" s="647">
        <v>4120</v>
      </c>
      <c r="B585" s="651" t="s">
        <v>492</v>
      </c>
      <c r="C585" s="603">
        <v>1100</v>
      </c>
      <c r="D585" s="581">
        <f t="shared" si="67"/>
        <v>1100</v>
      </c>
      <c r="E585" s="581">
        <f t="shared" si="68"/>
        <v>0</v>
      </c>
      <c r="F585" s="582">
        <f t="shared" si="69"/>
        <v>0</v>
      </c>
      <c r="G585" s="603">
        <v>1100</v>
      </c>
      <c r="H585" s="581"/>
      <c r="I585" s="585">
        <f t="shared" si="70"/>
        <v>0</v>
      </c>
      <c r="J585" s="586"/>
      <c r="K585" s="581"/>
      <c r="L585" s="585"/>
      <c r="M585" s="581"/>
      <c r="N585" s="581"/>
      <c r="O585" s="649"/>
      <c r="P585" s="581"/>
      <c r="Q585" s="581"/>
      <c r="R585" s="585"/>
    </row>
    <row r="586" spans="1:18" ht="12.75">
      <c r="A586" s="647">
        <v>4120</v>
      </c>
      <c r="B586" s="651" t="s">
        <v>493</v>
      </c>
      <c r="C586" s="603">
        <v>4200</v>
      </c>
      <c r="D586" s="581">
        <f t="shared" si="67"/>
        <v>4200</v>
      </c>
      <c r="E586" s="581">
        <f t="shared" si="68"/>
        <v>70</v>
      </c>
      <c r="F586" s="582">
        <f t="shared" si="69"/>
        <v>1.6666666666666667</v>
      </c>
      <c r="G586" s="603">
        <v>4200</v>
      </c>
      <c r="H586" s="581">
        <f>69+1</f>
        <v>70</v>
      </c>
      <c r="I586" s="585">
        <f t="shared" si="70"/>
        <v>1.6666666666666667</v>
      </c>
      <c r="J586" s="586"/>
      <c r="K586" s="581"/>
      <c r="L586" s="585"/>
      <c r="M586" s="581"/>
      <c r="N586" s="581"/>
      <c r="O586" s="649"/>
      <c r="P586" s="581"/>
      <c r="Q586" s="581"/>
      <c r="R586" s="585"/>
    </row>
    <row r="587" spans="1:18" ht="24">
      <c r="A587" s="647">
        <v>4170</v>
      </c>
      <c r="B587" s="651" t="s">
        <v>494</v>
      </c>
      <c r="C587" s="603">
        <v>28800</v>
      </c>
      <c r="D587" s="581">
        <f t="shared" si="67"/>
        <v>28800</v>
      </c>
      <c r="E587" s="581">
        <f t="shared" si="68"/>
        <v>6563</v>
      </c>
      <c r="F587" s="582">
        <f t="shared" si="69"/>
        <v>22.788194444444446</v>
      </c>
      <c r="G587" s="603">
        <v>28800</v>
      </c>
      <c r="H587" s="581">
        <v>6563</v>
      </c>
      <c r="I587" s="585">
        <f t="shared" si="70"/>
        <v>22.788194444444446</v>
      </c>
      <c r="J587" s="586"/>
      <c r="K587" s="581"/>
      <c r="L587" s="585"/>
      <c r="M587" s="581"/>
      <c r="N587" s="581"/>
      <c r="O587" s="649"/>
      <c r="P587" s="581"/>
      <c r="Q587" s="581"/>
      <c r="R587" s="585"/>
    </row>
    <row r="588" spans="1:18" ht="24" hidden="1">
      <c r="A588" s="647">
        <v>4300</v>
      </c>
      <c r="B588" s="651" t="s">
        <v>495</v>
      </c>
      <c r="C588" s="603"/>
      <c r="D588" s="581">
        <f t="shared" si="67"/>
        <v>0</v>
      </c>
      <c r="E588" s="581">
        <f t="shared" si="68"/>
        <v>0</v>
      </c>
      <c r="F588" s="582" t="e">
        <f t="shared" si="69"/>
        <v>#DIV/0!</v>
      </c>
      <c r="G588" s="603"/>
      <c r="H588" s="581"/>
      <c r="I588" s="585" t="e">
        <f t="shared" si="70"/>
        <v>#DIV/0!</v>
      </c>
      <c r="J588" s="586"/>
      <c r="K588" s="581"/>
      <c r="L588" s="585"/>
      <c r="M588" s="581"/>
      <c r="N588" s="581"/>
      <c r="O588" s="649"/>
      <c r="P588" s="581"/>
      <c r="Q588" s="581"/>
      <c r="R588" s="585"/>
    </row>
    <row r="589" spans="1:18" ht="24">
      <c r="A589" s="647">
        <v>4300</v>
      </c>
      <c r="B589" s="651" t="s">
        <v>496</v>
      </c>
      <c r="C589" s="603">
        <v>300000</v>
      </c>
      <c r="D589" s="581">
        <f t="shared" si="67"/>
        <v>300000</v>
      </c>
      <c r="E589" s="581">
        <f t="shared" si="68"/>
        <v>49531</v>
      </c>
      <c r="F589" s="582">
        <f t="shared" si="69"/>
        <v>16.51033333333333</v>
      </c>
      <c r="G589" s="603">
        <v>300000</v>
      </c>
      <c r="H589" s="581">
        <v>49531</v>
      </c>
      <c r="I589" s="585">
        <f t="shared" si="70"/>
        <v>16.51033333333333</v>
      </c>
      <c r="J589" s="586"/>
      <c r="K589" s="581"/>
      <c r="L589" s="585"/>
      <c r="M589" s="581"/>
      <c r="N589" s="581"/>
      <c r="O589" s="649"/>
      <c r="P589" s="581"/>
      <c r="Q589" s="581"/>
      <c r="R589" s="585"/>
    </row>
    <row r="590" spans="1:18" ht="24" hidden="1">
      <c r="A590" s="647">
        <v>4430</v>
      </c>
      <c r="B590" s="651" t="s">
        <v>721</v>
      </c>
      <c r="C590" s="603"/>
      <c r="D590" s="581">
        <f t="shared" si="67"/>
        <v>0</v>
      </c>
      <c r="E590" s="581">
        <f t="shared" si="68"/>
        <v>0</v>
      </c>
      <c r="F590" s="582" t="e">
        <f t="shared" si="69"/>
        <v>#DIV/0!</v>
      </c>
      <c r="G590" s="603"/>
      <c r="H590" s="581"/>
      <c r="I590" s="585" t="e">
        <f t="shared" si="70"/>
        <v>#DIV/0!</v>
      </c>
      <c r="J590" s="586"/>
      <c r="K590" s="581"/>
      <c r="L590" s="585"/>
      <c r="M590" s="581"/>
      <c r="N590" s="581"/>
      <c r="O590" s="649"/>
      <c r="P590" s="581"/>
      <c r="Q590" s="581"/>
      <c r="R590" s="585"/>
    </row>
    <row r="591" spans="1:18" ht="14.25" customHeight="1">
      <c r="A591" s="647">
        <v>4430</v>
      </c>
      <c r="B591" s="651" t="s">
        <v>722</v>
      </c>
      <c r="C591" s="603">
        <v>2000</v>
      </c>
      <c r="D591" s="581">
        <f t="shared" si="67"/>
        <v>2000</v>
      </c>
      <c r="E591" s="581">
        <f t="shared" si="68"/>
        <v>0</v>
      </c>
      <c r="F591" s="582">
        <f t="shared" si="69"/>
        <v>0</v>
      </c>
      <c r="G591" s="603">
        <v>2000</v>
      </c>
      <c r="H591" s="581"/>
      <c r="I591" s="585">
        <f t="shared" si="70"/>
        <v>0</v>
      </c>
      <c r="J591" s="586"/>
      <c r="K591" s="581"/>
      <c r="L591" s="585"/>
      <c r="M591" s="581"/>
      <c r="N591" s="581"/>
      <c r="O591" s="649"/>
      <c r="P591" s="581"/>
      <c r="Q591" s="581"/>
      <c r="R591" s="585"/>
    </row>
    <row r="592" spans="1:18" ht="13.5" customHeight="1">
      <c r="A592" s="647">
        <v>4430</v>
      </c>
      <c r="B592" s="651" t="s">
        <v>721</v>
      </c>
      <c r="C592" s="603">
        <v>10000</v>
      </c>
      <c r="D592" s="581">
        <f>G592+J592+P592+M592</f>
        <v>10000</v>
      </c>
      <c r="E592" s="581">
        <f>SUM(H592+K592+N592+Q592)</f>
        <v>932</v>
      </c>
      <c r="F592" s="582">
        <f>E592/D592*100</f>
        <v>9.32</v>
      </c>
      <c r="G592" s="603">
        <v>10000</v>
      </c>
      <c r="H592" s="581">
        <v>932</v>
      </c>
      <c r="I592" s="585">
        <f t="shared" si="70"/>
        <v>9.32</v>
      </c>
      <c r="J592" s="586"/>
      <c r="K592" s="581"/>
      <c r="L592" s="585"/>
      <c r="M592" s="581"/>
      <c r="N592" s="581"/>
      <c r="O592" s="649"/>
      <c r="P592" s="581"/>
      <c r="Q592" s="581"/>
      <c r="R592" s="585"/>
    </row>
    <row r="593" spans="1:18" ht="24">
      <c r="A593" s="647">
        <v>4510</v>
      </c>
      <c r="B593" s="651" t="s">
        <v>282</v>
      </c>
      <c r="C593" s="603">
        <v>3000</v>
      </c>
      <c r="D593" s="581">
        <f>G593+J593+P593+M593</f>
        <v>3000</v>
      </c>
      <c r="E593" s="581">
        <f>SUM(H593+K593+N593+Q593)</f>
        <v>0</v>
      </c>
      <c r="F593" s="582">
        <f>E593/D593*100</f>
        <v>0</v>
      </c>
      <c r="G593" s="603">
        <v>3000</v>
      </c>
      <c r="H593" s="581"/>
      <c r="I593" s="585">
        <f t="shared" si="70"/>
        <v>0</v>
      </c>
      <c r="J593" s="586"/>
      <c r="K593" s="581"/>
      <c r="L593" s="585"/>
      <c r="M593" s="581"/>
      <c r="N593" s="581"/>
      <c r="O593" s="649"/>
      <c r="P593" s="581"/>
      <c r="Q593" s="581"/>
      <c r="R593" s="585"/>
    </row>
    <row r="594" spans="1:18" ht="36">
      <c r="A594" s="647">
        <v>4610</v>
      </c>
      <c r="B594" s="651" t="s">
        <v>224</v>
      </c>
      <c r="C594" s="603">
        <f>SUM(C595:C596)</f>
        <v>87000</v>
      </c>
      <c r="D594" s="581">
        <f t="shared" si="67"/>
        <v>87000</v>
      </c>
      <c r="E594" s="581">
        <f t="shared" si="68"/>
        <v>33316</v>
      </c>
      <c r="F594" s="582">
        <f t="shared" si="69"/>
        <v>38.29425287356322</v>
      </c>
      <c r="G594" s="603">
        <f>SUM(G595:G597)</f>
        <v>87000</v>
      </c>
      <c r="H594" s="581">
        <f>SUM(H595:H597)</f>
        <v>33316</v>
      </c>
      <c r="I594" s="585">
        <f t="shared" si="70"/>
        <v>38.29425287356322</v>
      </c>
      <c r="J594" s="586"/>
      <c r="K594" s="581"/>
      <c r="L594" s="585"/>
      <c r="M594" s="581"/>
      <c r="N594" s="581"/>
      <c r="O594" s="649"/>
      <c r="P594" s="581"/>
      <c r="Q594" s="581"/>
      <c r="R594" s="585"/>
    </row>
    <row r="595" spans="1:26" s="702" customFormat="1" ht="12.75">
      <c r="A595" s="694"/>
      <c r="B595" s="695" t="s">
        <v>723</v>
      </c>
      <c r="C595" s="699">
        <v>7000</v>
      </c>
      <c r="D595" s="697">
        <f t="shared" si="67"/>
        <v>7000</v>
      </c>
      <c r="E595" s="697">
        <f t="shared" si="68"/>
        <v>1918</v>
      </c>
      <c r="F595" s="582">
        <f t="shared" si="69"/>
        <v>27.400000000000002</v>
      </c>
      <c r="G595" s="699">
        <v>7000</v>
      </c>
      <c r="H595" s="697">
        <v>1918</v>
      </c>
      <c r="I595" s="627">
        <f t="shared" si="70"/>
        <v>27.400000000000002</v>
      </c>
      <c r="J595" s="698"/>
      <c r="K595" s="697"/>
      <c r="L595" s="585"/>
      <c r="M595" s="697"/>
      <c r="N595" s="697"/>
      <c r="O595" s="587"/>
      <c r="P595" s="697"/>
      <c r="Q595" s="697"/>
      <c r="R595" s="585"/>
      <c r="S595" s="700"/>
      <c r="T595" s="700"/>
      <c r="U595" s="700"/>
      <c r="V595" s="700"/>
      <c r="W595" s="701"/>
      <c r="X595" s="701"/>
      <c r="Y595" s="701"/>
      <c r="Z595" s="701"/>
    </row>
    <row r="596" spans="1:26" s="702" customFormat="1" ht="13.5" thickBot="1">
      <c r="A596" s="694"/>
      <c r="B596" s="695" t="s">
        <v>643</v>
      </c>
      <c r="C596" s="699">
        <v>80000</v>
      </c>
      <c r="D596" s="697">
        <f>G596+J596+P596+M596</f>
        <v>80000</v>
      </c>
      <c r="E596" s="697">
        <f t="shared" si="68"/>
        <v>31398</v>
      </c>
      <c r="F596" s="582">
        <f t="shared" si="69"/>
        <v>39.2475</v>
      </c>
      <c r="G596" s="699">
        <v>80000</v>
      </c>
      <c r="H596" s="697">
        <v>31398</v>
      </c>
      <c r="I596" s="585">
        <f t="shared" si="70"/>
        <v>39.2475</v>
      </c>
      <c r="J596" s="698"/>
      <c r="K596" s="697"/>
      <c r="L596" s="585"/>
      <c r="M596" s="697"/>
      <c r="N596" s="697"/>
      <c r="O596" s="587"/>
      <c r="P596" s="697"/>
      <c r="Q596" s="697"/>
      <c r="R596" s="585"/>
      <c r="S596" s="700"/>
      <c r="T596" s="700"/>
      <c r="U596" s="700"/>
      <c r="V596" s="700"/>
      <c r="W596" s="701"/>
      <c r="X596" s="701"/>
      <c r="Y596" s="701"/>
      <c r="Z596" s="701"/>
    </row>
    <row r="597" spans="1:26" s="702" customFormat="1" ht="13.5" hidden="1" thickBot="1">
      <c r="A597" s="694"/>
      <c r="B597" s="695" t="s">
        <v>724</v>
      </c>
      <c r="C597" s="709"/>
      <c r="D597" s="697">
        <f t="shared" si="67"/>
        <v>0</v>
      </c>
      <c r="E597" s="697">
        <f t="shared" si="68"/>
        <v>0</v>
      </c>
      <c r="F597" s="582" t="e">
        <f t="shared" si="69"/>
        <v>#DIV/0!</v>
      </c>
      <c r="G597" s="709">
        <f>500-500</f>
        <v>0</v>
      </c>
      <c r="H597" s="707"/>
      <c r="I597" s="585" t="e">
        <f t="shared" si="70"/>
        <v>#DIV/0!</v>
      </c>
      <c r="J597" s="708"/>
      <c r="K597" s="707"/>
      <c r="L597" s="679"/>
      <c r="M597" s="707"/>
      <c r="N597" s="707"/>
      <c r="O597" s="677"/>
      <c r="P597" s="707"/>
      <c r="Q597" s="707"/>
      <c r="R597" s="679"/>
      <c r="S597" s="700"/>
      <c r="T597" s="700"/>
      <c r="U597" s="700"/>
      <c r="V597" s="700"/>
      <c r="W597" s="701"/>
      <c r="X597" s="701"/>
      <c r="Y597" s="701"/>
      <c r="Z597" s="701"/>
    </row>
    <row r="598" spans="1:26" s="639" customFormat="1" ht="27" customHeight="1" thickBot="1" thickTop="1">
      <c r="A598" s="632">
        <v>757</v>
      </c>
      <c r="B598" s="633" t="s">
        <v>725</v>
      </c>
      <c r="C598" s="634">
        <f>SUM(C599)</f>
        <v>4600000</v>
      </c>
      <c r="D598" s="556">
        <f>G598+J598+P598+M598</f>
        <v>4600000</v>
      </c>
      <c r="E598" s="556">
        <f>H598+K598+Q598+N598</f>
        <v>899372</v>
      </c>
      <c r="F598" s="557">
        <f t="shared" si="69"/>
        <v>19.551565217391303</v>
      </c>
      <c r="G598" s="634">
        <f>SUM(G599)</f>
        <v>4600000</v>
      </c>
      <c r="H598" s="556">
        <f>SUM(H599)</f>
        <v>899372</v>
      </c>
      <c r="I598" s="559">
        <f t="shared" si="70"/>
        <v>19.551565217391303</v>
      </c>
      <c r="J598" s="560"/>
      <c r="K598" s="556"/>
      <c r="L598" s="636"/>
      <c r="M598" s="556"/>
      <c r="N598" s="556"/>
      <c r="O598" s="637"/>
      <c r="P598" s="634"/>
      <c r="Q598" s="556"/>
      <c r="R598" s="741"/>
      <c r="S598" s="564"/>
      <c r="T598" s="564"/>
      <c r="U598" s="564"/>
      <c r="V598" s="564"/>
      <c r="W598" s="565"/>
      <c r="X598" s="565"/>
      <c r="Y598" s="565"/>
      <c r="Z598" s="565"/>
    </row>
    <row r="599" spans="1:18" ht="48.75" thickTop="1">
      <c r="A599" s="640">
        <v>75702</v>
      </c>
      <c r="B599" s="742" t="s">
        <v>726</v>
      </c>
      <c r="C599" s="608">
        <f>SUM(C600:C602)</f>
        <v>4600000</v>
      </c>
      <c r="D599" s="642">
        <f>G599+J599+P599+M599</f>
        <v>4600000</v>
      </c>
      <c r="E599" s="569">
        <f>H599+K599+Q599+N599</f>
        <v>899372</v>
      </c>
      <c r="F599" s="643">
        <f t="shared" si="69"/>
        <v>19.551565217391303</v>
      </c>
      <c r="G599" s="608">
        <f>SUM(G600:G602)</f>
        <v>4600000</v>
      </c>
      <c r="H599" s="595">
        <f>SUM(H600:H602)</f>
        <v>899372</v>
      </c>
      <c r="I599" s="679">
        <f t="shared" si="70"/>
        <v>19.551565217391303</v>
      </c>
      <c r="J599" s="600"/>
      <c r="K599" s="595"/>
      <c r="L599" s="601"/>
      <c r="M599" s="595"/>
      <c r="N599" s="595"/>
      <c r="O599" s="645"/>
      <c r="P599" s="608"/>
      <c r="Q599" s="595"/>
      <c r="R599" s="731"/>
    </row>
    <row r="600" spans="1:18" ht="60" customHeight="1">
      <c r="A600" s="667">
        <v>8070</v>
      </c>
      <c r="B600" s="777" t="s">
        <v>727</v>
      </c>
      <c r="C600" s="603">
        <v>4600000</v>
      </c>
      <c r="D600" s="615">
        <f aca="true" t="shared" si="71" ref="D600:D673">G600+J600+P600+M600</f>
        <v>0</v>
      </c>
      <c r="E600" s="615">
        <f>SUM(H600+K600+N600+Q600)</f>
        <v>0</v>
      </c>
      <c r="F600" s="604"/>
      <c r="G600" s="606">
        <f>4600000-4600000</f>
        <v>0</v>
      </c>
      <c r="H600" s="615"/>
      <c r="I600" s="585"/>
      <c r="J600" s="586"/>
      <c r="K600" s="581"/>
      <c r="L600" s="587"/>
      <c r="M600" s="581"/>
      <c r="N600" s="581"/>
      <c r="O600" s="649"/>
      <c r="P600" s="603"/>
      <c r="Q600" s="581"/>
      <c r="R600" s="653"/>
    </row>
    <row r="601" spans="1:18" ht="24" hidden="1">
      <c r="A601" s="647">
        <v>4300</v>
      </c>
      <c r="B601" s="712" t="s">
        <v>199</v>
      </c>
      <c r="C601" s="603"/>
      <c r="D601" s="581">
        <f t="shared" si="71"/>
        <v>0</v>
      </c>
      <c r="E601" s="581">
        <f>SUM(H601+K601+N601+Q601)</f>
        <v>0</v>
      </c>
      <c r="F601" s="582" t="e">
        <f t="shared" si="69"/>
        <v>#DIV/0!</v>
      </c>
      <c r="G601" s="603"/>
      <c r="H601" s="581"/>
      <c r="I601" s="627" t="e">
        <f t="shared" si="70"/>
        <v>#DIV/0!</v>
      </c>
      <c r="J601" s="586"/>
      <c r="K601" s="581"/>
      <c r="L601" s="587"/>
      <c r="M601" s="581"/>
      <c r="N601" s="581"/>
      <c r="O601" s="649"/>
      <c r="P601" s="603"/>
      <c r="Q601" s="581"/>
      <c r="R601" s="653"/>
    </row>
    <row r="602" spans="1:26" s="639" customFormat="1" ht="63.75" customHeight="1" thickBot="1">
      <c r="A602" s="836">
        <v>8110</v>
      </c>
      <c r="B602" s="712" t="s">
        <v>497</v>
      </c>
      <c r="C602" s="652"/>
      <c r="D602" s="631">
        <f t="shared" si="71"/>
        <v>4600000</v>
      </c>
      <c r="E602" s="631">
        <f>SUM(H602+K602+N602+Q602)</f>
        <v>899372</v>
      </c>
      <c r="F602" s="837">
        <f t="shared" si="69"/>
        <v>19.551565217391303</v>
      </c>
      <c r="G602" s="652">
        <v>4600000</v>
      </c>
      <c r="H602" s="631">
        <v>899372</v>
      </c>
      <c r="I602" s="585">
        <f t="shared" si="70"/>
        <v>19.551565217391303</v>
      </c>
      <c r="J602" s="676"/>
      <c r="K602" s="675"/>
      <c r="L602" s="677"/>
      <c r="M602" s="675"/>
      <c r="N602" s="675"/>
      <c r="O602" s="649"/>
      <c r="P602" s="674"/>
      <c r="Q602" s="675"/>
      <c r="R602" s="680"/>
      <c r="S602" s="564"/>
      <c r="T602" s="564"/>
      <c r="U602" s="564"/>
      <c r="V602" s="564"/>
      <c r="W602" s="565"/>
      <c r="X602" s="565"/>
      <c r="Y602" s="565"/>
      <c r="Z602" s="565"/>
    </row>
    <row r="603" spans="1:18" ht="19.5" customHeight="1" thickBot="1" thickTop="1">
      <c r="A603" s="632">
        <v>758</v>
      </c>
      <c r="B603" s="633" t="s">
        <v>728</v>
      </c>
      <c r="C603" s="634">
        <f>C612+C606</f>
        <v>7236291</v>
      </c>
      <c r="D603" s="556">
        <f>G603+J603+P603+M603</f>
        <v>7528203</v>
      </c>
      <c r="E603" s="556">
        <f>H603+K603+Q603+N603</f>
        <v>795519</v>
      </c>
      <c r="F603" s="557">
        <f t="shared" si="69"/>
        <v>10.567183164428483</v>
      </c>
      <c r="G603" s="634">
        <f>G612+G606+G608</f>
        <v>5401440</v>
      </c>
      <c r="H603" s="560">
        <f>H612+H606+H608</f>
        <v>0</v>
      </c>
      <c r="I603" s="559">
        <f t="shared" si="70"/>
        <v>0</v>
      </c>
      <c r="J603" s="560"/>
      <c r="K603" s="556"/>
      <c r="L603" s="636"/>
      <c r="M603" s="556">
        <f>M606+M604</f>
        <v>2126763</v>
      </c>
      <c r="N603" s="556">
        <f>N606+N604</f>
        <v>795519</v>
      </c>
      <c r="O603" s="637">
        <f>N603/M603*100</f>
        <v>37.40515515833217</v>
      </c>
      <c r="P603" s="634"/>
      <c r="Q603" s="556"/>
      <c r="R603" s="741"/>
    </row>
    <row r="604" spans="1:18" ht="28.5" customHeight="1" thickTop="1">
      <c r="A604" s="838">
        <v>75801</v>
      </c>
      <c r="B604" s="658" t="s">
        <v>498</v>
      </c>
      <c r="C604" s="839"/>
      <c r="D604" s="642">
        <f>G604+J604+P604+M604</f>
        <v>351772</v>
      </c>
      <c r="E604" s="642">
        <f>E605</f>
        <v>351772</v>
      </c>
      <c r="F604" s="643">
        <f>E604/D604*100</f>
        <v>100</v>
      </c>
      <c r="G604" s="839"/>
      <c r="H604" s="840"/>
      <c r="I604" s="841"/>
      <c r="J604" s="840"/>
      <c r="K604" s="664"/>
      <c r="L604" s="842"/>
      <c r="M604" s="664">
        <f>SUM(M605)</f>
        <v>351772</v>
      </c>
      <c r="N604" s="664">
        <f>SUM(N605)</f>
        <v>351772</v>
      </c>
      <c r="O604" s="843">
        <f>N604/M604*100</f>
        <v>100</v>
      </c>
      <c r="P604" s="839"/>
      <c r="Q604" s="664"/>
      <c r="R604" s="844"/>
    </row>
    <row r="605" spans="1:18" ht="50.25" customHeight="1">
      <c r="A605" s="732">
        <v>2940</v>
      </c>
      <c r="B605" s="733" t="s">
        <v>499</v>
      </c>
      <c r="C605" s="734"/>
      <c r="D605" s="675">
        <f>G605+J605+P605+M605</f>
        <v>351772</v>
      </c>
      <c r="E605" s="675">
        <f>H605+K605+Q605+N605</f>
        <v>351772</v>
      </c>
      <c r="F605" s="643">
        <f>E605/D605*100</f>
        <v>100</v>
      </c>
      <c r="G605" s="734"/>
      <c r="H605" s="736"/>
      <c r="I605" s="602"/>
      <c r="J605" s="736"/>
      <c r="K605" s="735"/>
      <c r="L605" s="737"/>
      <c r="M605" s="735">
        <v>351772</v>
      </c>
      <c r="N605" s="735">
        <v>351772</v>
      </c>
      <c r="O605" s="845">
        <f>N605/M605*100</f>
        <v>100</v>
      </c>
      <c r="P605" s="734"/>
      <c r="Q605" s="735"/>
      <c r="R605" s="731"/>
    </row>
    <row r="606" spans="1:18" ht="36">
      <c r="A606" s="719">
        <v>75832</v>
      </c>
      <c r="B606" s="720" t="s">
        <v>729</v>
      </c>
      <c r="C606" s="721">
        <f>C607</f>
        <v>1774991</v>
      </c>
      <c r="D606" s="642">
        <f t="shared" si="71"/>
        <v>1774991</v>
      </c>
      <c r="E606" s="642">
        <f>E607</f>
        <v>443747</v>
      </c>
      <c r="F606" s="643">
        <f t="shared" si="69"/>
        <v>24.999957746264627</v>
      </c>
      <c r="G606" s="721"/>
      <c r="H606" s="723"/>
      <c r="I606" s="679"/>
      <c r="J606" s="723"/>
      <c r="K606" s="642"/>
      <c r="L606" s="763"/>
      <c r="M606" s="642">
        <f>M607</f>
        <v>1774991</v>
      </c>
      <c r="N606" s="642">
        <f>N607</f>
        <v>443747</v>
      </c>
      <c r="O606" s="846">
        <f>N606/M606*100</f>
        <v>24.999957746264627</v>
      </c>
      <c r="P606" s="721"/>
      <c r="Q606" s="642"/>
      <c r="R606" s="680"/>
    </row>
    <row r="607" spans="1:18" ht="48">
      <c r="A607" s="647">
        <v>2930</v>
      </c>
      <c r="B607" s="651" t="s">
        <v>730</v>
      </c>
      <c r="C607" s="603">
        <v>1774991</v>
      </c>
      <c r="D607" s="735">
        <f t="shared" si="71"/>
        <v>1774991</v>
      </c>
      <c r="E607" s="735">
        <f aca="true" t="shared" si="72" ref="E607:E618">SUM(H607+K607+N607+Q607)</f>
        <v>443747</v>
      </c>
      <c r="F607" s="596">
        <f t="shared" si="69"/>
        <v>24.999957746264627</v>
      </c>
      <c r="G607" s="603"/>
      <c r="H607" s="581"/>
      <c r="I607" s="602"/>
      <c r="J607" s="586"/>
      <c r="K607" s="581"/>
      <c r="L607" s="587"/>
      <c r="M607" s="581">
        <v>1774991</v>
      </c>
      <c r="N607" s="581">
        <f>147915+147916+147916</f>
        <v>443747</v>
      </c>
      <c r="O607" s="847">
        <f>N607/M607*100</f>
        <v>24.999957746264627</v>
      </c>
      <c r="P607" s="603"/>
      <c r="Q607" s="581"/>
      <c r="R607" s="653"/>
    </row>
    <row r="608" spans="1:26" s="852" customFormat="1" ht="24">
      <c r="A608" s="640">
        <v>75814</v>
      </c>
      <c r="B608" s="742" t="s">
        <v>1061</v>
      </c>
      <c r="C608" s="608"/>
      <c r="D608" s="595">
        <f>G608+J608+P608+M608</f>
        <v>32500</v>
      </c>
      <c r="E608" s="595">
        <f t="shared" si="72"/>
        <v>0</v>
      </c>
      <c r="F608" s="609">
        <f>E608/D608*100</f>
        <v>0</v>
      </c>
      <c r="G608" s="608">
        <f>SUM(G609:G611)</f>
        <v>32500</v>
      </c>
      <c r="H608" s="600">
        <f>SUM(H609:H611)</f>
        <v>0</v>
      </c>
      <c r="I608" s="679">
        <f aca="true" t="shared" si="73" ref="I608:I649">H608/G608*100</f>
        <v>0</v>
      </c>
      <c r="J608" s="600"/>
      <c r="K608" s="595"/>
      <c r="L608" s="848"/>
      <c r="M608" s="595"/>
      <c r="N608" s="595"/>
      <c r="O608" s="849"/>
      <c r="P608" s="608"/>
      <c r="Q608" s="595"/>
      <c r="R608" s="850"/>
      <c r="S608" s="487"/>
      <c r="T608" s="487"/>
      <c r="U608" s="487"/>
      <c r="V608" s="487"/>
      <c r="W608" s="851"/>
      <c r="X608" s="851"/>
      <c r="Y608" s="851"/>
      <c r="Z608" s="851"/>
    </row>
    <row r="609" spans="1:18" ht="24">
      <c r="A609" s="647">
        <v>2980</v>
      </c>
      <c r="B609" s="651" t="s">
        <v>500</v>
      </c>
      <c r="C609" s="603"/>
      <c r="D609" s="615">
        <f>G609+J609+P609+M609</f>
        <v>32500</v>
      </c>
      <c r="E609" s="615">
        <f t="shared" si="72"/>
        <v>0</v>
      </c>
      <c r="F609" s="604">
        <f>E609/D609*100</f>
        <v>0</v>
      </c>
      <c r="G609" s="606">
        <v>32500</v>
      </c>
      <c r="H609" s="586"/>
      <c r="I609" s="585">
        <f t="shared" si="73"/>
        <v>0</v>
      </c>
      <c r="J609" s="586"/>
      <c r="K609" s="581"/>
      <c r="L609" s="587"/>
      <c r="M609" s="581"/>
      <c r="N609" s="581"/>
      <c r="O609" s="847"/>
      <c r="P609" s="603"/>
      <c r="Q609" s="581"/>
      <c r="R609" s="653"/>
    </row>
    <row r="610" spans="1:18" ht="36" hidden="1">
      <c r="A610" s="647">
        <v>4590</v>
      </c>
      <c r="B610" s="651" t="s">
        <v>501</v>
      </c>
      <c r="C610" s="603"/>
      <c r="D610" s="581">
        <f>G610+J610+P610+M610</f>
        <v>0</v>
      </c>
      <c r="E610" s="581">
        <f t="shared" si="72"/>
        <v>0</v>
      </c>
      <c r="F610" s="582" t="e">
        <f>E610/D610*100</f>
        <v>#DIV/0!</v>
      </c>
      <c r="G610" s="603"/>
      <c r="H610" s="586"/>
      <c r="I610" s="585" t="e">
        <f t="shared" si="73"/>
        <v>#DIV/0!</v>
      </c>
      <c r="J610" s="586"/>
      <c r="K610" s="581"/>
      <c r="L610" s="587"/>
      <c r="M610" s="581"/>
      <c r="N610" s="581"/>
      <c r="O610" s="847"/>
      <c r="P610" s="603"/>
      <c r="Q610" s="581"/>
      <c r="R610" s="653"/>
    </row>
    <row r="611" spans="1:18" ht="60" hidden="1">
      <c r="A611" s="672">
        <v>4600</v>
      </c>
      <c r="B611" s="687" t="s">
        <v>502</v>
      </c>
      <c r="C611" s="674"/>
      <c r="D611" s="675">
        <f>G611+J611+P611+M611</f>
        <v>0</v>
      </c>
      <c r="E611" s="675">
        <f t="shared" si="72"/>
        <v>0</v>
      </c>
      <c r="F611" s="643" t="e">
        <f>E611/D611*100</f>
        <v>#DIV/0!</v>
      </c>
      <c r="G611" s="674"/>
      <c r="H611" s="676"/>
      <c r="I611" s="679" t="e">
        <f t="shared" si="73"/>
        <v>#DIV/0!</v>
      </c>
      <c r="J611" s="676"/>
      <c r="K611" s="675"/>
      <c r="L611" s="677"/>
      <c r="M611" s="675"/>
      <c r="N611" s="675"/>
      <c r="O611" s="846"/>
      <c r="P611" s="674"/>
      <c r="Q611" s="675"/>
      <c r="R611" s="680"/>
    </row>
    <row r="612" spans="1:18" ht="24">
      <c r="A612" s="640">
        <v>75818</v>
      </c>
      <c r="B612" s="742" t="s">
        <v>731</v>
      </c>
      <c r="C612" s="608">
        <f>SUM(C613:C618)</f>
        <v>5461300</v>
      </c>
      <c r="D612" s="595">
        <f t="shared" si="71"/>
        <v>5368940</v>
      </c>
      <c r="E612" s="595">
        <f t="shared" si="72"/>
        <v>0</v>
      </c>
      <c r="F612" s="596">
        <f t="shared" si="69"/>
        <v>0</v>
      </c>
      <c r="G612" s="608">
        <f>SUM(G613:G618)</f>
        <v>5368940</v>
      </c>
      <c r="H612" s="600">
        <f>SUM(H613:H618)</f>
        <v>0</v>
      </c>
      <c r="I612" s="602">
        <f t="shared" si="73"/>
        <v>0</v>
      </c>
      <c r="J612" s="600"/>
      <c r="K612" s="595"/>
      <c r="L612" s="601"/>
      <c r="M612" s="595"/>
      <c r="N612" s="595"/>
      <c r="O612" s="645"/>
      <c r="P612" s="608"/>
      <c r="Q612" s="595"/>
      <c r="R612" s="731"/>
    </row>
    <row r="613" spans="1:18" ht="37.5" customHeight="1">
      <c r="A613" s="667">
        <v>4810</v>
      </c>
      <c r="B613" s="668" t="s">
        <v>732</v>
      </c>
      <c r="C613" s="606">
        <v>1000000</v>
      </c>
      <c r="D613" s="615">
        <f t="shared" si="71"/>
        <v>989970</v>
      </c>
      <c r="E613" s="615">
        <f t="shared" si="72"/>
        <v>0</v>
      </c>
      <c r="F613" s="604">
        <f t="shared" si="69"/>
        <v>0</v>
      </c>
      <c r="G613" s="606">
        <f>1000000-10030</f>
        <v>989970</v>
      </c>
      <c r="H613" s="615"/>
      <c r="I613" s="590">
        <f t="shared" si="73"/>
        <v>0</v>
      </c>
      <c r="J613" s="618"/>
      <c r="K613" s="615"/>
      <c r="L613" s="619"/>
      <c r="M613" s="615"/>
      <c r="N613" s="615"/>
      <c r="O613" s="686"/>
      <c r="P613" s="606"/>
      <c r="Q613" s="615"/>
      <c r="R613" s="671"/>
    </row>
    <row r="614" spans="1:18" ht="36">
      <c r="A614" s="647">
        <v>4810</v>
      </c>
      <c r="B614" s="712" t="s">
        <v>503</v>
      </c>
      <c r="C614" s="603">
        <v>1500000</v>
      </c>
      <c r="D614" s="581">
        <f>G614+J614+P614+M614</f>
        <v>1481670</v>
      </c>
      <c r="E614" s="581">
        <f t="shared" si="72"/>
        <v>0</v>
      </c>
      <c r="F614" s="582">
        <f t="shared" si="69"/>
        <v>0</v>
      </c>
      <c r="G614" s="603">
        <f>1500000-18330</f>
        <v>1481670</v>
      </c>
      <c r="H614" s="581"/>
      <c r="I614" s="585">
        <f t="shared" si="73"/>
        <v>0</v>
      </c>
      <c r="J614" s="586"/>
      <c r="K614" s="581"/>
      <c r="L614" s="587"/>
      <c r="M614" s="581"/>
      <c r="N614" s="581"/>
      <c r="O614" s="649"/>
      <c r="P614" s="603"/>
      <c r="Q614" s="581"/>
      <c r="R614" s="653"/>
    </row>
    <row r="615" spans="1:18" ht="24">
      <c r="A615" s="647">
        <v>4810</v>
      </c>
      <c r="B615" s="712" t="s">
        <v>504</v>
      </c>
      <c r="C615" s="603">
        <v>12000</v>
      </c>
      <c r="D615" s="581">
        <f t="shared" si="71"/>
        <v>12000</v>
      </c>
      <c r="E615" s="581">
        <f t="shared" si="72"/>
        <v>0</v>
      </c>
      <c r="F615" s="582">
        <f t="shared" si="69"/>
        <v>0</v>
      </c>
      <c r="G615" s="603">
        <v>12000</v>
      </c>
      <c r="H615" s="581"/>
      <c r="I615" s="585">
        <f t="shared" si="73"/>
        <v>0</v>
      </c>
      <c r="J615" s="586"/>
      <c r="K615" s="581"/>
      <c r="L615" s="587"/>
      <c r="M615" s="581"/>
      <c r="N615" s="581"/>
      <c r="O615" s="649"/>
      <c r="P615" s="603"/>
      <c r="Q615" s="581"/>
      <c r="R615" s="653"/>
    </row>
    <row r="616" spans="1:18" ht="48">
      <c r="A616" s="647">
        <v>4810</v>
      </c>
      <c r="B616" s="712" t="s">
        <v>283</v>
      </c>
      <c r="C616" s="603">
        <v>500000</v>
      </c>
      <c r="D616" s="581">
        <f>G616+J616+P616+M616</f>
        <v>500000</v>
      </c>
      <c r="E616" s="581">
        <f t="shared" si="72"/>
        <v>0</v>
      </c>
      <c r="F616" s="582">
        <f t="shared" si="69"/>
        <v>0</v>
      </c>
      <c r="G616" s="603">
        <v>500000</v>
      </c>
      <c r="H616" s="581"/>
      <c r="I616" s="585">
        <f t="shared" si="73"/>
        <v>0</v>
      </c>
      <c r="J616" s="586"/>
      <c r="K616" s="581"/>
      <c r="L616" s="587"/>
      <c r="M616" s="581"/>
      <c r="N616" s="581"/>
      <c r="O616" s="649"/>
      <c r="P616" s="603"/>
      <c r="Q616" s="581"/>
      <c r="R616" s="653"/>
    </row>
    <row r="617" spans="1:18" ht="36">
      <c r="A617" s="647">
        <v>6800</v>
      </c>
      <c r="B617" s="651" t="s">
        <v>505</v>
      </c>
      <c r="C617" s="603">
        <v>150000</v>
      </c>
      <c r="D617" s="581">
        <f t="shared" si="71"/>
        <v>138500</v>
      </c>
      <c r="E617" s="581">
        <f t="shared" si="72"/>
        <v>0</v>
      </c>
      <c r="F617" s="582">
        <f t="shared" si="69"/>
        <v>0</v>
      </c>
      <c r="G617" s="603">
        <f>150000-1500-10000</f>
        <v>138500</v>
      </c>
      <c r="H617" s="581"/>
      <c r="I617" s="585">
        <f t="shared" si="73"/>
        <v>0</v>
      </c>
      <c r="J617" s="586"/>
      <c r="K617" s="581"/>
      <c r="L617" s="587"/>
      <c r="M617" s="581"/>
      <c r="N617" s="581"/>
      <c r="O617" s="649"/>
      <c r="P617" s="603"/>
      <c r="Q617" s="581"/>
      <c r="R617" s="653"/>
    </row>
    <row r="618" spans="1:18" ht="36.75" thickBot="1">
      <c r="A618" s="647">
        <v>4810</v>
      </c>
      <c r="B618" s="651" t="s">
        <v>506</v>
      </c>
      <c r="C618" s="603">
        <v>2299300</v>
      </c>
      <c r="D618" s="581">
        <f t="shared" si="71"/>
        <v>2246800</v>
      </c>
      <c r="E618" s="581">
        <f t="shared" si="72"/>
        <v>0</v>
      </c>
      <c r="F618" s="582">
        <f t="shared" si="69"/>
        <v>0</v>
      </c>
      <c r="G618" s="603">
        <f>2299300-20000-32500</f>
        <v>2246800</v>
      </c>
      <c r="H618" s="581"/>
      <c r="I618" s="585">
        <f t="shared" si="73"/>
        <v>0</v>
      </c>
      <c r="J618" s="586"/>
      <c r="K618" s="581"/>
      <c r="L618" s="587"/>
      <c r="M618" s="581"/>
      <c r="N618" s="581"/>
      <c r="O618" s="649"/>
      <c r="P618" s="603"/>
      <c r="Q618" s="581"/>
      <c r="R618" s="653"/>
    </row>
    <row r="619" spans="1:26" s="639" customFormat="1" ht="27" customHeight="1" thickBot="1" thickTop="1">
      <c r="A619" s="632">
        <v>801</v>
      </c>
      <c r="B619" s="633" t="s">
        <v>733</v>
      </c>
      <c r="C619" s="775">
        <f>C620+C650+C688+C709+C737+C793+C822+C844+C877+C899+C925+C928+C945+C692+C676+C771+C760</f>
        <v>154436343</v>
      </c>
      <c r="D619" s="556">
        <f>D620+D650+D688+D709+D737+D793+D822+D844+D877+D899+D925+D928+D945+D692+D676+D771+D760</f>
        <v>155471640</v>
      </c>
      <c r="E619" s="556">
        <f>E620+E650+E688+E709+E737+E793+E822+E844+E877+E899+E925+E928+E945+E692+E676+E771+E760</f>
        <v>37853288</v>
      </c>
      <c r="F619" s="557">
        <f t="shared" si="69"/>
        <v>24.347390945383996</v>
      </c>
      <c r="G619" s="634">
        <f>G620+G650+G688+G709+G737+G793+G822+G844+G877+G899+G925+G928+G945+G692+G676+G771+G760</f>
        <v>95557722</v>
      </c>
      <c r="H619" s="556">
        <f>H620+H650+H688+H709+H737+H793+H822+H844+H877+H899+H925+H928+H945+H692+H676+H771+H760</f>
        <v>23604845</v>
      </c>
      <c r="I619" s="635">
        <f t="shared" si="73"/>
        <v>24.702184717212074</v>
      </c>
      <c r="J619" s="556"/>
      <c r="K619" s="556"/>
      <c r="L619" s="635"/>
      <c r="M619" s="556">
        <f>M620+M650+M688+M709+M737+M793+M822+M844+M877+M899+M925+M928+M945+M692</f>
        <v>59913918</v>
      </c>
      <c r="N619" s="556">
        <f>N620+N650+N688+N709+N737+N793+N822+N844+N877+N899+N925+N928+N945+N692</f>
        <v>14248443</v>
      </c>
      <c r="O619" s="559">
        <f>N619/M619*100</f>
        <v>23.781524352989234</v>
      </c>
      <c r="P619" s="634"/>
      <c r="Q619" s="556"/>
      <c r="R619" s="741"/>
      <c r="S619" s="564"/>
      <c r="T619" s="564"/>
      <c r="U619" s="564"/>
      <c r="V619" s="564"/>
      <c r="W619" s="565"/>
      <c r="X619" s="565"/>
      <c r="Y619" s="565"/>
      <c r="Z619" s="565"/>
    </row>
    <row r="620" spans="1:18" ht="18.75" customHeight="1" thickTop="1">
      <c r="A620" s="640">
        <v>80101</v>
      </c>
      <c r="B620" s="742" t="s">
        <v>734</v>
      </c>
      <c r="C620" s="608">
        <f>SUM(C621:C649)</f>
        <v>36338500</v>
      </c>
      <c r="D620" s="642">
        <f t="shared" si="71"/>
        <v>37306702</v>
      </c>
      <c r="E620" s="569">
        <f>H620+K620+Q620+N620</f>
        <v>9591338</v>
      </c>
      <c r="F620" s="643">
        <f t="shared" si="69"/>
        <v>25.709423470345893</v>
      </c>
      <c r="G620" s="608">
        <f>SUM(G621:G649)</f>
        <v>37306702</v>
      </c>
      <c r="H620" s="595">
        <f>SUM(H621:H649)</f>
        <v>9591338</v>
      </c>
      <c r="I620" s="644">
        <f t="shared" si="73"/>
        <v>25.709423470345893</v>
      </c>
      <c r="J620" s="595"/>
      <c r="K620" s="595"/>
      <c r="L620" s="679"/>
      <c r="M620" s="595"/>
      <c r="N620" s="595"/>
      <c r="O620" s="645"/>
      <c r="P620" s="608"/>
      <c r="Q620" s="595"/>
      <c r="R620" s="731"/>
    </row>
    <row r="621" spans="1:18" ht="38.25" customHeight="1">
      <c r="A621" s="647">
        <v>2540</v>
      </c>
      <c r="B621" s="651" t="s">
        <v>735</v>
      </c>
      <c r="C621" s="603">
        <v>850000</v>
      </c>
      <c r="D621" s="581">
        <f t="shared" si="71"/>
        <v>850000</v>
      </c>
      <c r="E621" s="581">
        <f>SUM(H621+K621+N621+Q621)</f>
        <v>208613</v>
      </c>
      <c r="F621" s="582">
        <f t="shared" si="69"/>
        <v>24.54270588235294</v>
      </c>
      <c r="G621" s="603">
        <v>850000</v>
      </c>
      <c r="H621" s="581">
        <v>208613</v>
      </c>
      <c r="I621" s="627">
        <f t="shared" si="73"/>
        <v>24.54270588235294</v>
      </c>
      <c r="J621" s="586"/>
      <c r="K621" s="581"/>
      <c r="L621" s="587"/>
      <c r="M621" s="581"/>
      <c r="N621" s="581"/>
      <c r="O621" s="649"/>
      <c r="P621" s="603"/>
      <c r="Q621" s="581"/>
      <c r="R621" s="653"/>
    </row>
    <row r="622" spans="1:18" ht="36">
      <c r="A622" s="647">
        <v>3020</v>
      </c>
      <c r="B622" s="651" t="s">
        <v>736</v>
      </c>
      <c r="C622" s="603">
        <v>110400</v>
      </c>
      <c r="D622" s="581">
        <f t="shared" si="71"/>
        <v>110400</v>
      </c>
      <c r="E622" s="581">
        <f aca="true" t="shared" si="74" ref="E622:E635">SUM(H622+K622+N622+Q622)</f>
        <v>10220</v>
      </c>
      <c r="F622" s="582">
        <f t="shared" si="69"/>
        <v>9.257246376811594</v>
      </c>
      <c r="G622" s="603">
        <v>110400</v>
      </c>
      <c r="H622" s="581">
        <v>10220</v>
      </c>
      <c r="I622" s="627">
        <f t="shared" si="73"/>
        <v>9.257246376811594</v>
      </c>
      <c r="J622" s="586"/>
      <c r="K622" s="581"/>
      <c r="L622" s="587"/>
      <c r="M622" s="581"/>
      <c r="N622" s="581"/>
      <c r="O622" s="649"/>
      <c r="P622" s="603"/>
      <c r="Q622" s="581"/>
      <c r="R622" s="653"/>
    </row>
    <row r="623" spans="1:18" ht="24.75" customHeight="1">
      <c r="A623" s="647">
        <v>4010</v>
      </c>
      <c r="B623" s="651" t="s">
        <v>181</v>
      </c>
      <c r="C623" s="603">
        <v>22155000</v>
      </c>
      <c r="D623" s="581">
        <f t="shared" si="71"/>
        <v>22155000</v>
      </c>
      <c r="E623" s="581">
        <f t="shared" si="74"/>
        <v>5405212</v>
      </c>
      <c r="F623" s="582">
        <f t="shared" si="69"/>
        <v>24.39725569848793</v>
      </c>
      <c r="G623" s="603">
        <v>22155000</v>
      </c>
      <c r="H623" s="581">
        <v>5405212</v>
      </c>
      <c r="I623" s="627">
        <f t="shared" si="73"/>
        <v>24.39725569848793</v>
      </c>
      <c r="J623" s="586"/>
      <c r="K623" s="581"/>
      <c r="L623" s="587"/>
      <c r="M623" s="581"/>
      <c r="N623" s="581"/>
      <c r="O623" s="649"/>
      <c r="P623" s="603"/>
      <c r="Q623" s="581"/>
      <c r="R623" s="653"/>
    </row>
    <row r="624" spans="1:18" ht="24.75" customHeight="1">
      <c r="A624" s="647">
        <v>4040</v>
      </c>
      <c r="B624" s="651" t="s">
        <v>249</v>
      </c>
      <c r="C624" s="603">
        <v>1782700</v>
      </c>
      <c r="D624" s="581">
        <f t="shared" si="71"/>
        <v>1782700</v>
      </c>
      <c r="E624" s="581">
        <f t="shared" si="74"/>
        <v>1212863</v>
      </c>
      <c r="F624" s="582">
        <f t="shared" si="69"/>
        <v>68.03517136927132</v>
      </c>
      <c r="G624" s="603">
        <v>1782700</v>
      </c>
      <c r="H624" s="581">
        <v>1212863</v>
      </c>
      <c r="I624" s="627">
        <f t="shared" si="73"/>
        <v>68.03517136927132</v>
      </c>
      <c r="J624" s="586"/>
      <c r="K624" s="581"/>
      <c r="L624" s="587"/>
      <c r="M624" s="581"/>
      <c r="N624" s="581"/>
      <c r="O624" s="649"/>
      <c r="P624" s="603"/>
      <c r="Q624" s="581"/>
      <c r="R624" s="653"/>
    </row>
    <row r="625" spans="1:18" ht="23.25" customHeight="1">
      <c r="A625" s="647">
        <v>4110</v>
      </c>
      <c r="B625" s="651" t="s">
        <v>187</v>
      </c>
      <c r="C625" s="603">
        <v>3590700</v>
      </c>
      <c r="D625" s="581">
        <f t="shared" si="71"/>
        <v>3590700</v>
      </c>
      <c r="E625" s="581">
        <f>SUM(H625+K625+N625+Q625)</f>
        <v>807058</v>
      </c>
      <c r="F625" s="582">
        <f t="shared" si="69"/>
        <v>22.47634166040048</v>
      </c>
      <c r="G625" s="603">
        <v>3590700</v>
      </c>
      <c r="H625" s="581">
        <v>807058</v>
      </c>
      <c r="I625" s="627">
        <f t="shared" si="73"/>
        <v>22.47634166040048</v>
      </c>
      <c r="J625" s="586"/>
      <c r="K625" s="581"/>
      <c r="L625" s="587"/>
      <c r="M625" s="581"/>
      <c r="N625" s="581"/>
      <c r="O625" s="649"/>
      <c r="P625" s="603"/>
      <c r="Q625" s="581"/>
      <c r="R625" s="653"/>
    </row>
    <row r="626" spans="1:18" ht="15" customHeight="1">
      <c r="A626" s="647">
        <v>4120</v>
      </c>
      <c r="B626" s="651" t="s">
        <v>619</v>
      </c>
      <c r="C626" s="603">
        <v>586300</v>
      </c>
      <c r="D626" s="581">
        <f t="shared" si="71"/>
        <v>586300</v>
      </c>
      <c r="E626" s="581">
        <f>SUM(H626+K626+N626+Q626)</f>
        <v>114621</v>
      </c>
      <c r="F626" s="582">
        <f t="shared" si="69"/>
        <v>19.54988913525499</v>
      </c>
      <c r="G626" s="603">
        <v>586300</v>
      </c>
      <c r="H626" s="581">
        <v>114621</v>
      </c>
      <c r="I626" s="627">
        <f t="shared" si="73"/>
        <v>19.54988913525499</v>
      </c>
      <c r="J626" s="586"/>
      <c r="K626" s="581"/>
      <c r="L626" s="587"/>
      <c r="M626" s="581"/>
      <c r="N626" s="581"/>
      <c r="O626" s="649"/>
      <c r="P626" s="603"/>
      <c r="Q626" s="581"/>
      <c r="R626" s="653"/>
    </row>
    <row r="627" spans="1:18" ht="15" customHeight="1">
      <c r="A627" s="647">
        <v>4140</v>
      </c>
      <c r="B627" s="651" t="s">
        <v>252</v>
      </c>
      <c r="C627" s="603">
        <v>101400</v>
      </c>
      <c r="D627" s="581">
        <f t="shared" si="71"/>
        <v>101400</v>
      </c>
      <c r="E627" s="581">
        <f>SUM(H627+K627+N627+Q627)</f>
        <v>18912</v>
      </c>
      <c r="F627" s="582">
        <f t="shared" si="69"/>
        <v>18.650887573964496</v>
      </c>
      <c r="G627" s="603">
        <v>101400</v>
      </c>
      <c r="H627" s="581">
        <v>18912</v>
      </c>
      <c r="I627" s="627">
        <f t="shared" si="73"/>
        <v>18.650887573964496</v>
      </c>
      <c r="J627" s="586"/>
      <c r="K627" s="581"/>
      <c r="L627" s="587"/>
      <c r="M627" s="581"/>
      <c r="N627" s="581"/>
      <c r="O627" s="649"/>
      <c r="P627" s="603"/>
      <c r="Q627" s="581"/>
      <c r="R627" s="653"/>
    </row>
    <row r="628" spans="1:18" ht="24">
      <c r="A628" s="647">
        <v>4170</v>
      </c>
      <c r="B628" s="651" t="s">
        <v>221</v>
      </c>
      <c r="C628" s="603">
        <v>133800</v>
      </c>
      <c r="D628" s="581">
        <f t="shared" si="71"/>
        <v>134700</v>
      </c>
      <c r="E628" s="581">
        <f>SUM(H628+K628+N628+Q628)</f>
        <v>470</v>
      </c>
      <c r="F628" s="582">
        <f t="shared" si="69"/>
        <v>0.3489235337787676</v>
      </c>
      <c r="G628" s="603">
        <f>133800+900</f>
        <v>134700</v>
      </c>
      <c r="H628" s="581">
        <v>470</v>
      </c>
      <c r="I628" s="627">
        <f t="shared" si="73"/>
        <v>0.3489235337787676</v>
      </c>
      <c r="J628" s="586"/>
      <c r="K628" s="581"/>
      <c r="L628" s="587"/>
      <c r="M628" s="581"/>
      <c r="N628" s="581"/>
      <c r="O628" s="649"/>
      <c r="P628" s="603"/>
      <c r="Q628" s="581"/>
      <c r="R628" s="653"/>
    </row>
    <row r="629" spans="1:18" ht="24" customHeight="1">
      <c r="A629" s="647">
        <v>4210</v>
      </c>
      <c r="B629" s="651" t="s">
        <v>191</v>
      </c>
      <c r="C629" s="603">
        <v>660000</v>
      </c>
      <c r="D629" s="581">
        <f t="shared" si="71"/>
        <v>661300</v>
      </c>
      <c r="E629" s="581">
        <f t="shared" si="74"/>
        <v>175322</v>
      </c>
      <c r="F629" s="582">
        <f t="shared" si="69"/>
        <v>26.511719340692576</v>
      </c>
      <c r="G629" s="603">
        <f>660000+1300</f>
        <v>661300</v>
      </c>
      <c r="H629" s="581">
        <f>175323-1</f>
        <v>175322</v>
      </c>
      <c r="I629" s="627">
        <f t="shared" si="73"/>
        <v>26.511719340692576</v>
      </c>
      <c r="J629" s="586"/>
      <c r="K629" s="581"/>
      <c r="L629" s="585"/>
      <c r="M629" s="581"/>
      <c r="N629" s="581"/>
      <c r="O629" s="649"/>
      <c r="P629" s="603"/>
      <c r="Q629" s="581"/>
      <c r="R629" s="653"/>
    </row>
    <row r="630" spans="1:18" ht="23.25" customHeight="1">
      <c r="A630" s="647">
        <v>4240</v>
      </c>
      <c r="B630" s="651" t="s">
        <v>737</v>
      </c>
      <c r="C630" s="603">
        <v>65000</v>
      </c>
      <c r="D630" s="581">
        <f t="shared" si="71"/>
        <v>182202</v>
      </c>
      <c r="E630" s="581">
        <f>SUM(H630+K630+N630+Q630)</f>
        <v>15472</v>
      </c>
      <c r="F630" s="582">
        <f t="shared" si="69"/>
        <v>8.49167407602551</v>
      </c>
      <c r="G630" s="603">
        <f>65000+117202</f>
        <v>182202</v>
      </c>
      <c r="H630" s="581">
        <v>15472</v>
      </c>
      <c r="I630" s="627">
        <f t="shared" si="73"/>
        <v>8.49167407602551</v>
      </c>
      <c r="J630" s="586"/>
      <c r="K630" s="581"/>
      <c r="L630" s="587"/>
      <c r="M630" s="581"/>
      <c r="N630" s="581"/>
      <c r="O630" s="649"/>
      <c r="P630" s="603"/>
      <c r="Q630" s="581"/>
      <c r="R630" s="653"/>
    </row>
    <row r="631" spans="1:18" ht="15" customHeight="1">
      <c r="A631" s="647">
        <v>4260</v>
      </c>
      <c r="B631" s="579" t="s">
        <v>195</v>
      </c>
      <c r="C631" s="603">
        <v>2015100</v>
      </c>
      <c r="D631" s="581">
        <f t="shared" si="71"/>
        <v>2015100</v>
      </c>
      <c r="E631" s="581">
        <f t="shared" si="74"/>
        <v>990300</v>
      </c>
      <c r="F631" s="582">
        <f t="shared" si="69"/>
        <v>49.1439630787554</v>
      </c>
      <c r="G631" s="603">
        <v>2015100</v>
      </c>
      <c r="H631" s="581">
        <v>990300</v>
      </c>
      <c r="I631" s="627">
        <f t="shared" si="73"/>
        <v>49.1439630787554</v>
      </c>
      <c r="J631" s="586"/>
      <c r="K631" s="581"/>
      <c r="L631" s="587"/>
      <c r="M631" s="581"/>
      <c r="N631" s="581"/>
      <c r="O631" s="649"/>
      <c r="P631" s="603"/>
      <c r="Q631" s="581"/>
      <c r="R631" s="653"/>
    </row>
    <row r="632" spans="1:18" ht="15" customHeight="1">
      <c r="A632" s="647">
        <v>4270</v>
      </c>
      <c r="B632" s="651" t="s">
        <v>197</v>
      </c>
      <c r="C632" s="603">
        <v>118600</v>
      </c>
      <c r="D632" s="581">
        <f t="shared" si="71"/>
        <v>118600</v>
      </c>
      <c r="E632" s="581">
        <f t="shared" si="74"/>
        <v>13460</v>
      </c>
      <c r="F632" s="582">
        <f t="shared" si="69"/>
        <v>11.349072512647556</v>
      </c>
      <c r="G632" s="603">
        <v>118600</v>
      </c>
      <c r="H632" s="581">
        <v>13460</v>
      </c>
      <c r="I632" s="627">
        <f t="shared" si="73"/>
        <v>11.349072512647556</v>
      </c>
      <c r="J632" s="586"/>
      <c r="K632" s="581"/>
      <c r="L632" s="587"/>
      <c r="M632" s="581"/>
      <c r="N632" s="581"/>
      <c r="O632" s="649"/>
      <c r="P632" s="603"/>
      <c r="Q632" s="581"/>
      <c r="R632" s="653"/>
    </row>
    <row r="633" spans="1:18" ht="15" customHeight="1">
      <c r="A633" s="647">
        <v>4280</v>
      </c>
      <c r="B633" s="651" t="s">
        <v>582</v>
      </c>
      <c r="C633" s="603">
        <v>27700</v>
      </c>
      <c r="D633" s="581">
        <f t="shared" si="71"/>
        <v>27700</v>
      </c>
      <c r="E633" s="581">
        <f t="shared" si="74"/>
        <v>2969</v>
      </c>
      <c r="F633" s="582">
        <f t="shared" si="69"/>
        <v>10.71841155234657</v>
      </c>
      <c r="G633" s="603">
        <v>27700</v>
      </c>
      <c r="H633" s="581">
        <v>2969</v>
      </c>
      <c r="I633" s="627">
        <f t="shared" si="73"/>
        <v>10.71841155234657</v>
      </c>
      <c r="J633" s="586"/>
      <c r="K633" s="581"/>
      <c r="L633" s="587"/>
      <c r="M633" s="581"/>
      <c r="N633" s="581"/>
      <c r="O633" s="649"/>
      <c r="P633" s="603"/>
      <c r="Q633" s="581"/>
      <c r="R633" s="653"/>
    </row>
    <row r="634" spans="1:18" ht="14.25" customHeight="1">
      <c r="A634" s="647">
        <v>4300</v>
      </c>
      <c r="B634" s="651" t="s">
        <v>199</v>
      </c>
      <c r="C634" s="603">
        <v>469800</v>
      </c>
      <c r="D634" s="581">
        <f t="shared" si="71"/>
        <v>469800</v>
      </c>
      <c r="E634" s="581">
        <f t="shared" si="74"/>
        <v>160511</v>
      </c>
      <c r="F634" s="582">
        <f t="shared" si="69"/>
        <v>34.165815240527884</v>
      </c>
      <c r="G634" s="603">
        <v>469800</v>
      </c>
      <c r="H634" s="581">
        <v>160511</v>
      </c>
      <c r="I634" s="627">
        <f t="shared" si="73"/>
        <v>34.165815240527884</v>
      </c>
      <c r="J634" s="586"/>
      <c r="K634" s="581"/>
      <c r="L634" s="587"/>
      <c r="M634" s="581"/>
      <c r="N634" s="581"/>
      <c r="O634" s="649"/>
      <c r="P634" s="603"/>
      <c r="Q634" s="581"/>
      <c r="R634" s="653"/>
    </row>
    <row r="635" spans="1:18" ht="24">
      <c r="A635" s="647">
        <v>4350</v>
      </c>
      <c r="B635" s="651" t="s">
        <v>584</v>
      </c>
      <c r="C635" s="603">
        <v>29600</v>
      </c>
      <c r="D635" s="581">
        <f t="shared" si="71"/>
        <v>29600</v>
      </c>
      <c r="E635" s="581">
        <f t="shared" si="74"/>
        <v>6875</v>
      </c>
      <c r="F635" s="582">
        <f t="shared" si="69"/>
        <v>23.22635135135135</v>
      </c>
      <c r="G635" s="603">
        <v>29600</v>
      </c>
      <c r="H635" s="581">
        <v>6875</v>
      </c>
      <c r="I635" s="627">
        <f t="shared" si="73"/>
        <v>23.22635135135135</v>
      </c>
      <c r="J635" s="586"/>
      <c r="K635" s="581"/>
      <c r="L635" s="587"/>
      <c r="M635" s="581"/>
      <c r="N635" s="581"/>
      <c r="O635" s="649"/>
      <c r="P635" s="603"/>
      <c r="Q635" s="581"/>
      <c r="R635" s="653"/>
    </row>
    <row r="636" spans="1:18" ht="58.5" customHeight="1">
      <c r="A636" s="647">
        <v>4360</v>
      </c>
      <c r="B636" s="712" t="s">
        <v>431</v>
      </c>
      <c r="C636" s="603">
        <v>2300</v>
      </c>
      <c r="D636" s="581">
        <f t="shared" si="71"/>
        <v>1100</v>
      </c>
      <c r="E636" s="581">
        <f>SUM(H636+K636+N636+Q636)</f>
        <v>206</v>
      </c>
      <c r="F636" s="582">
        <f t="shared" si="69"/>
        <v>18.72727272727273</v>
      </c>
      <c r="G636" s="603">
        <f>2300-1200</f>
        <v>1100</v>
      </c>
      <c r="H636" s="581">
        <v>206</v>
      </c>
      <c r="I636" s="627">
        <f t="shared" si="73"/>
        <v>18.72727272727273</v>
      </c>
      <c r="J636" s="586"/>
      <c r="K636" s="581"/>
      <c r="L636" s="587"/>
      <c r="M636" s="581"/>
      <c r="N636" s="581"/>
      <c r="O636" s="649"/>
      <c r="P636" s="603"/>
      <c r="Q636" s="581"/>
      <c r="R636" s="653"/>
    </row>
    <row r="637" spans="1:18" ht="62.25" customHeight="1">
      <c r="A637" s="647">
        <v>4370</v>
      </c>
      <c r="B637" s="712" t="s">
        <v>432</v>
      </c>
      <c r="C637" s="603">
        <v>68400</v>
      </c>
      <c r="D637" s="581">
        <f t="shared" si="71"/>
        <v>68400</v>
      </c>
      <c r="E637" s="581">
        <f>SUM(H637+K637+N637+Q637)</f>
        <v>12960</v>
      </c>
      <c r="F637" s="582">
        <f t="shared" si="69"/>
        <v>18.947368421052634</v>
      </c>
      <c r="G637" s="603">
        <v>68400</v>
      </c>
      <c r="H637" s="581">
        <v>12960</v>
      </c>
      <c r="I637" s="627">
        <f t="shared" si="73"/>
        <v>18.947368421052634</v>
      </c>
      <c r="J637" s="586"/>
      <c r="K637" s="581"/>
      <c r="L637" s="587"/>
      <c r="M637" s="581"/>
      <c r="N637" s="581"/>
      <c r="O637" s="649"/>
      <c r="P637" s="603"/>
      <c r="Q637" s="581"/>
      <c r="R637" s="653"/>
    </row>
    <row r="638" spans="1:18" ht="36" hidden="1">
      <c r="A638" s="647">
        <v>4380</v>
      </c>
      <c r="B638" s="651" t="s">
        <v>738</v>
      </c>
      <c r="C638" s="603"/>
      <c r="D638" s="581">
        <f t="shared" si="71"/>
        <v>0</v>
      </c>
      <c r="E638" s="581">
        <f>SUM(H638+K638+N638+Q638)</f>
        <v>0</v>
      </c>
      <c r="F638" s="582" t="e">
        <f t="shared" si="69"/>
        <v>#DIV/0!</v>
      </c>
      <c r="G638" s="603"/>
      <c r="H638" s="581"/>
      <c r="I638" s="627"/>
      <c r="J638" s="586"/>
      <c r="K638" s="581"/>
      <c r="L638" s="587"/>
      <c r="M638" s="581"/>
      <c r="N638" s="581"/>
      <c r="O638" s="649"/>
      <c r="P638" s="603"/>
      <c r="Q638" s="581"/>
      <c r="R638" s="653"/>
    </row>
    <row r="639" spans="1:18" ht="36.75" customHeight="1">
      <c r="A639" s="647">
        <v>4390</v>
      </c>
      <c r="B639" s="651" t="s">
        <v>222</v>
      </c>
      <c r="C639" s="603">
        <v>64200</v>
      </c>
      <c r="D639" s="581">
        <f t="shared" si="71"/>
        <v>64200</v>
      </c>
      <c r="E639" s="581">
        <f>SUM(H639+K639+N639+Q639)</f>
        <v>10733</v>
      </c>
      <c r="F639" s="582">
        <f t="shared" si="69"/>
        <v>16.718068535825545</v>
      </c>
      <c r="G639" s="603">
        <v>64200</v>
      </c>
      <c r="H639" s="581">
        <v>10733</v>
      </c>
      <c r="I639" s="627">
        <f t="shared" si="73"/>
        <v>16.718068535825545</v>
      </c>
      <c r="J639" s="586"/>
      <c r="K639" s="581"/>
      <c r="L639" s="587"/>
      <c r="M639" s="581"/>
      <c r="N639" s="581"/>
      <c r="O639" s="649"/>
      <c r="P639" s="603"/>
      <c r="Q639" s="581"/>
      <c r="R639" s="653"/>
    </row>
    <row r="640" spans="1:18" ht="13.5" customHeight="1">
      <c r="A640" s="647">
        <v>4410</v>
      </c>
      <c r="B640" s="651" t="s">
        <v>173</v>
      </c>
      <c r="C640" s="603">
        <v>33000</v>
      </c>
      <c r="D640" s="581">
        <f t="shared" si="71"/>
        <v>33000</v>
      </c>
      <c r="E640" s="581">
        <f>SUM(H640+K640+N640+Q640)</f>
        <v>6226</v>
      </c>
      <c r="F640" s="582">
        <f t="shared" si="69"/>
        <v>18.866666666666667</v>
      </c>
      <c r="G640" s="603">
        <v>33000</v>
      </c>
      <c r="H640" s="581">
        <v>6226</v>
      </c>
      <c r="I640" s="627">
        <f t="shared" si="73"/>
        <v>18.866666666666667</v>
      </c>
      <c r="J640" s="586"/>
      <c r="K640" s="581"/>
      <c r="L640" s="587"/>
      <c r="M640" s="581"/>
      <c r="N640" s="581"/>
      <c r="O640" s="649"/>
      <c r="P640" s="603"/>
      <c r="Q640" s="581"/>
      <c r="R640" s="653"/>
    </row>
    <row r="641" spans="1:18" ht="23.25" customHeight="1">
      <c r="A641" s="647">
        <v>4420</v>
      </c>
      <c r="B641" s="651" t="s">
        <v>596</v>
      </c>
      <c r="C641" s="603">
        <v>1500</v>
      </c>
      <c r="D641" s="581">
        <f t="shared" si="71"/>
        <v>1500</v>
      </c>
      <c r="E641" s="581">
        <f>H641+K641+Q641+N641</f>
        <v>0</v>
      </c>
      <c r="F641" s="582"/>
      <c r="G641" s="603">
        <v>1500</v>
      </c>
      <c r="H641" s="581"/>
      <c r="I641" s="627">
        <f t="shared" si="73"/>
        <v>0</v>
      </c>
      <c r="J641" s="586"/>
      <c r="K641" s="581"/>
      <c r="L641" s="587"/>
      <c r="M641" s="581"/>
      <c r="N641" s="581"/>
      <c r="O641" s="649"/>
      <c r="P641" s="603"/>
      <c r="Q641" s="581"/>
      <c r="R641" s="653"/>
    </row>
    <row r="642" spans="1:18" ht="12.75">
      <c r="A642" s="647">
        <v>4430</v>
      </c>
      <c r="B642" s="651" t="s">
        <v>201</v>
      </c>
      <c r="C642" s="603">
        <v>1800</v>
      </c>
      <c r="D642" s="581">
        <f t="shared" si="71"/>
        <v>1800</v>
      </c>
      <c r="E642" s="581">
        <f>H642+K642+Q642+N642</f>
        <v>344</v>
      </c>
      <c r="F642" s="582">
        <f t="shared" si="69"/>
        <v>19.11111111111111</v>
      </c>
      <c r="G642" s="603">
        <v>1800</v>
      </c>
      <c r="H642" s="581">
        <v>344</v>
      </c>
      <c r="I642" s="627">
        <f t="shared" si="73"/>
        <v>19.11111111111111</v>
      </c>
      <c r="J642" s="586"/>
      <c r="K642" s="581"/>
      <c r="L642" s="587"/>
      <c r="M642" s="581"/>
      <c r="N642" s="581"/>
      <c r="O642" s="649"/>
      <c r="P642" s="603"/>
      <c r="Q642" s="581"/>
      <c r="R642" s="653"/>
    </row>
    <row r="643" spans="1:18" ht="12.75" customHeight="1">
      <c r="A643" s="647">
        <v>4440</v>
      </c>
      <c r="B643" s="651" t="s">
        <v>203</v>
      </c>
      <c r="C643" s="603">
        <v>1243300</v>
      </c>
      <c r="D643" s="581">
        <f t="shared" si="71"/>
        <v>1243300</v>
      </c>
      <c r="E643" s="581">
        <f aca="true" t="shared" si="75" ref="E643:E649">SUM(H643+K643+N643+Q643)</f>
        <v>376535</v>
      </c>
      <c r="F643" s="582">
        <f t="shared" si="69"/>
        <v>30.285128287621653</v>
      </c>
      <c r="G643" s="603">
        <v>1243300</v>
      </c>
      <c r="H643" s="581">
        <v>376535</v>
      </c>
      <c r="I643" s="627">
        <f t="shared" si="73"/>
        <v>30.285128287621653</v>
      </c>
      <c r="J643" s="586"/>
      <c r="K643" s="581"/>
      <c r="L643" s="587"/>
      <c r="M643" s="581"/>
      <c r="N643" s="581"/>
      <c r="O643" s="649"/>
      <c r="P643" s="603"/>
      <c r="Q643" s="581"/>
      <c r="R643" s="653"/>
    </row>
    <row r="644" spans="1:18" ht="48" hidden="1">
      <c r="A644" s="647">
        <v>4680</v>
      </c>
      <c r="B644" s="651" t="s">
        <v>616</v>
      </c>
      <c r="C644" s="603"/>
      <c r="D644" s="581">
        <f>G644+J644+P644+M644</f>
        <v>0</v>
      </c>
      <c r="E644" s="581">
        <f>SUM(H644+K644+N644+Q644)</f>
        <v>0</v>
      </c>
      <c r="F644" s="582" t="e">
        <f>E644/D644*100</f>
        <v>#DIV/0!</v>
      </c>
      <c r="G644" s="603"/>
      <c r="H644" s="581"/>
      <c r="I644" s="627" t="e">
        <f t="shared" si="73"/>
        <v>#DIV/0!</v>
      </c>
      <c r="J644" s="586"/>
      <c r="K644" s="581"/>
      <c r="L644" s="587"/>
      <c r="M644" s="581"/>
      <c r="N644" s="581"/>
      <c r="O644" s="649"/>
      <c r="P644" s="603"/>
      <c r="Q644" s="581"/>
      <c r="R644" s="653"/>
    </row>
    <row r="645" spans="1:18" ht="36" customHeight="1">
      <c r="A645" s="647">
        <v>4700</v>
      </c>
      <c r="B645" s="712" t="s">
        <v>588</v>
      </c>
      <c r="C645" s="603">
        <v>31400</v>
      </c>
      <c r="D645" s="581">
        <f t="shared" si="71"/>
        <v>31400</v>
      </c>
      <c r="E645" s="581">
        <f t="shared" si="75"/>
        <v>5182</v>
      </c>
      <c r="F645" s="582">
        <f aca="true" t="shared" si="76" ref="F645:F689">E645/D645*100</f>
        <v>16.503184713375795</v>
      </c>
      <c r="G645" s="603">
        <v>31400</v>
      </c>
      <c r="H645" s="581">
        <v>5182</v>
      </c>
      <c r="I645" s="627">
        <f t="shared" si="73"/>
        <v>16.503184713375795</v>
      </c>
      <c r="J645" s="586"/>
      <c r="K645" s="581"/>
      <c r="L645" s="587"/>
      <c r="M645" s="581"/>
      <c r="N645" s="581"/>
      <c r="O645" s="649"/>
      <c r="P645" s="603"/>
      <c r="Q645" s="581"/>
      <c r="R645" s="653"/>
    </row>
    <row r="646" spans="1:18" ht="50.25" customHeight="1">
      <c r="A646" s="647">
        <v>4740</v>
      </c>
      <c r="B646" s="712" t="s">
        <v>215</v>
      </c>
      <c r="C646" s="603">
        <v>27300</v>
      </c>
      <c r="D646" s="581">
        <f t="shared" si="71"/>
        <v>27300</v>
      </c>
      <c r="E646" s="581">
        <f t="shared" si="75"/>
        <v>2981</v>
      </c>
      <c r="F646" s="582">
        <f t="shared" si="76"/>
        <v>10.91941391941392</v>
      </c>
      <c r="G646" s="603">
        <v>27300</v>
      </c>
      <c r="H646" s="581">
        <v>2981</v>
      </c>
      <c r="I646" s="627">
        <f t="shared" si="73"/>
        <v>10.91941391941392</v>
      </c>
      <c r="J646" s="586"/>
      <c r="K646" s="581"/>
      <c r="L646" s="587"/>
      <c r="M646" s="581"/>
      <c r="N646" s="581"/>
      <c r="O646" s="649"/>
      <c r="P646" s="603"/>
      <c r="Q646" s="581"/>
      <c r="R646" s="653"/>
    </row>
    <row r="647" spans="1:18" ht="36">
      <c r="A647" s="647">
        <v>4750</v>
      </c>
      <c r="B647" s="712" t="s">
        <v>589</v>
      </c>
      <c r="C647" s="603">
        <v>50700</v>
      </c>
      <c r="D647" s="581">
        <f t="shared" si="71"/>
        <v>50700</v>
      </c>
      <c r="E647" s="581">
        <f t="shared" si="75"/>
        <v>10959</v>
      </c>
      <c r="F647" s="582">
        <f t="shared" si="76"/>
        <v>21.615384615384613</v>
      </c>
      <c r="G647" s="603">
        <v>50700</v>
      </c>
      <c r="H647" s="581">
        <v>10959</v>
      </c>
      <c r="I647" s="627">
        <f t="shared" si="73"/>
        <v>21.615384615384613</v>
      </c>
      <c r="J647" s="586"/>
      <c r="K647" s="581"/>
      <c r="L647" s="587"/>
      <c r="M647" s="581"/>
      <c r="N647" s="581"/>
      <c r="O647" s="649"/>
      <c r="P647" s="603"/>
      <c r="Q647" s="581"/>
      <c r="R647" s="653"/>
    </row>
    <row r="648" spans="1:18" ht="73.5" customHeight="1">
      <c r="A648" s="647">
        <v>6050</v>
      </c>
      <c r="B648" s="651" t="s">
        <v>507</v>
      </c>
      <c r="C648" s="603">
        <f>97000+2000000</f>
        <v>2097000</v>
      </c>
      <c r="D648" s="581">
        <f t="shared" si="71"/>
        <v>2947000</v>
      </c>
      <c r="E648" s="581">
        <f t="shared" si="75"/>
        <v>10278</v>
      </c>
      <c r="F648" s="582">
        <f t="shared" si="76"/>
        <v>0.3487614523243977</v>
      </c>
      <c r="G648" s="603">
        <f>97000+2000000+850000</f>
        <v>2947000</v>
      </c>
      <c r="H648" s="581">
        <v>10278</v>
      </c>
      <c r="I648" s="627">
        <f t="shared" si="73"/>
        <v>0.3487614523243977</v>
      </c>
      <c r="J648" s="586"/>
      <c r="K648" s="581"/>
      <c r="L648" s="587"/>
      <c r="M648" s="581"/>
      <c r="N648" s="581"/>
      <c r="O648" s="649"/>
      <c r="P648" s="603"/>
      <c r="Q648" s="581"/>
      <c r="R648" s="653"/>
    </row>
    <row r="649" spans="1:18" ht="40.5" customHeight="1">
      <c r="A649" s="647">
        <v>6060</v>
      </c>
      <c r="B649" s="651" t="s">
        <v>628</v>
      </c>
      <c r="C649" s="603">
        <v>21500</v>
      </c>
      <c r="D649" s="581">
        <f t="shared" si="71"/>
        <v>21500</v>
      </c>
      <c r="E649" s="581">
        <f t="shared" si="75"/>
        <v>12056</v>
      </c>
      <c r="F649" s="582">
        <f t="shared" si="76"/>
        <v>56.074418604651164</v>
      </c>
      <c r="G649" s="603">
        <v>21500</v>
      </c>
      <c r="H649" s="581">
        <v>12056</v>
      </c>
      <c r="I649" s="627">
        <f t="shared" si="73"/>
        <v>56.074418604651164</v>
      </c>
      <c r="J649" s="586"/>
      <c r="K649" s="581"/>
      <c r="L649" s="587"/>
      <c r="M649" s="581"/>
      <c r="N649" s="581"/>
      <c r="O649" s="649"/>
      <c r="P649" s="603"/>
      <c r="Q649" s="581"/>
      <c r="R649" s="653"/>
    </row>
    <row r="650" spans="1:26" s="639" customFormat="1" ht="24">
      <c r="A650" s="640">
        <v>80102</v>
      </c>
      <c r="B650" s="742" t="s">
        <v>739</v>
      </c>
      <c r="C650" s="608">
        <f>SUM(C651:C675)</f>
        <v>2748800</v>
      </c>
      <c r="D650" s="595">
        <f t="shared" si="71"/>
        <v>2748800</v>
      </c>
      <c r="E650" s="595">
        <f>H650+K650+Q650+N650</f>
        <v>801805</v>
      </c>
      <c r="F650" s="596">
        <f t="shared" si="76"/>
        <v>29.169273864959255</v>
      </c>
      <c r="G650" s="734"/>
      <c r="H650" s="735"/>
      <c r="I650" s="845"/>
      <c r="J650" s="736"/>
      <c r="K650" s="735"/>
      <c r="L650" s="737"/>
      <c r="M650" s="595">
        <f>SUM(M651:M675)</f>
        <v>2748800</v>
      </c>
      <c r="N650" s="595">
        <f>SUM(N651:N675)</f>
        <v>801805</v>
      </c>
      <c r="O650" s="602">
        <f aca="true" t="shared" si="77" ref="O650:O674">N650/M650*100</f>
        <v>29.169273864959255</v>
      </c>
      <c r="P650" s="608"/>
      <c r="Q650" s="595"/>
      <c r="R650" s="731"/>
      <c r="S650" s="564"/>
      <c r="T650" s="564"/>
      <c r="U650" s="564"/>
      <c r="V650" s="564"/>
      <c r="W650" s="565"/>
      <c r="X650" s="565"/>
      <c r="Y650" s="565"/>
      <c r="Z650" s="565"/>
    </row>
    <row r="651" spans="1:26" s="639" customFormat="1" ht="36">
      <c r="A651" s="647">
        <v>3020</v>
      </c>
      <c r="B651" s="651" t="s">
        <v>736</v>
      </c>
      <c r="C651" s="603">
        <v>4700</v>
      </c>
      <c r="D651" s="581">
        <f t="shared" si="71"/>
        <v>4700</v>
      </c>
      <c r="E651" s="581">
        <f aca="true" t="shared" si="78" ref="E651:E675">SUM(H651+K651+N651+Q651)</f>
        <v>39</v>
      </c>
      <c r="F651" s="582">
        <f t="shared" si="76"/>
        <v>0.8297872340425531</v>
      </c>
      <c r="G651" s="603"/>
      <c r="H651" s="581"/>
      <c r="I651" s="847"/>
      <c r="J651" s="586"/>
      <c r="K651" s="581"/>
      <c r="L651" s="587"/>
      <c r="M651" s="603">
        <v>4700</v>
      </c>
      <c r="N651" s="615">
        <v>39</v>
      </c>
      <c r="O651" s="627">
        <f t="shared" si="77"/>
        <v>0.8297872340425531</v>
      </c>
      <c r="P651" s="603"/>
      <c r="Q651" s="581"/>
      <c r="R651" s="653"/>
      <c r="S651" s="564"/>
      <c r="T651" s="564"/>
      <c r="U651" s="564"/>
      <c r="V651" s="564"/>
      <c r="W651" s="565"/>
      <c r="X651" s="565"/>
      <c r="Y651" s="565"/>
      <c r="Z651" s="565"/>
    </row>
    <row r="652" spans="1:26" s="639" customFormat="1" ht="13.5" customHeight="1">
      <c r="A652" s="647">
        <v>3110</v>
      </c>
      <c r="B652" s="651" t="s">
        <v>740</v>
      </c>
      <c r="C652" s="603">
        <v>2900</v>
      </c>
      <c r="D652" s="581">
        <f>G652+J652+P652+M652</f>
        <v>2900</v>
      </c>
      <c r="E652" s="581">
        <f>SUM(H652+K652+N652+Q652)</f>
        <v>2285</v>
      </c>
      <c r="F652" s="582">
        <f>E652/D652*100</f>
        <v>78.79310344827586</v>
      </c>
      <c r="G652" s="603"/>
      <c r="H652" s="581"/>
      <c r="I652" s="847"/>
      <c r="J652" s="586"/>
      <c r="K652" s="581"/>
      <c r="L652" s="587"/>
      <c r="M652" s="603">
        <v>2900</v>
      </c>
      <c r="N652" s="581">
        <v>2285</v>
      </c>
      <c r="O652" s="627">
        <f t="shared" si="77"/>
        <v>78.79310344827586</v>
      </c>
      <c r="P652" s="603"/>
      <c r="Q652" s="581"/>
      <c r="R652" s="653"/>
      <c r="S652" s="564"/>
      <c r="T652" s="564"/>
      <c r="U652" s="564"/>
      <c r="V652" s="564"/>
      <c r="W652" s="565"/>
      <c r="X652" s="565"/>
      <c r="Y652" s="565"/>
      <c r="Z652" s="565"/>
    </row>
    <row r="653" spans="1:26" s="639" customFormat="1" ht="26.25" customHeight="1">
      <c r="A653" s="647">
        <v>4010</v>
      </c>
      <c r="B653" s="651" t="s">
        <v>181</v>
      </c>
      <c r="C653" s="603">
        <v>1901600</v>
      </c>
      <c r="D653" s="581">
        <f t="shared" si="71"/>
        <v>1901600</v>
      </c>
      <c r="E653" s="581">
        <f t="shared" si="78"/>
        <v>477373</v>
      </c>
      <c r="F653" s="582">
        <f t="shared" si="76"/>
        <v>25.103754732856544</v>
      </c>
      <c r="G653" s="603"/>
      <c r="H653" s="581"/>
      <c r="I653" s="847"/>
      <c r="J653" s="586"/>
      <c r="K653" s="581"/>
      <c r="L653" s="587"/>
      <c r="M653" s="603">
        <v>1901600</v>
      </c>
      <c r="N653" s="581">
        <v>477373</v>
      </c>
      <c r="O653" s="627">
        <f t="shared" si="77"/>
        <v>25.103754732856544</v>
      </c>
      <c r="P653" s="603"/>
      <c r="Q653" s="581"/>
      <c r="R653" s="653"/>
      <c r="S653" s="482"/>
      <c r="T653" s="482"/>
      <c r="U653" s="482"/>
      <c r="V653" s="482"/>
      <c r="W653" s="565"/>
      <c r="X653" s="565"/>
      <c r="Y653" s="565"/>
      <c r="Z653" s="565"/>
    </row>
    <row r="654" spans="1:26" s="639" customFormat="1" ht="24">
      <c r="A654" s="647">
        <v>4040</v>
      </c>
      <c r="B654" s="651" t="s">
        <v>185</v>
      </c>
      <c r="C654" s="603">
        <v>145800</v>
      </c>
      <c r="D654" s="581">
        <f t="shared" si="71"/>
        <v>145800</v>
      </c>
      <c r="E654" s="581">
        <f t="shared" si="78"/>
        <v>107970</v>
      </c>
      <c r="F654" s="582">
        <f t="shared" si="76"/>
        <v>74.05349794238684</v>
      </c>
      <c r="G654" s="603"/>
      <c r="H654" s="581"/>
      <c r="I654" s="847"/>
      <c r="J654" s="586"/>
      <c r="K654" s="581"/>
      <c r="L654" s="587"/>
      <c r="M654" s="603">
        <v>145800</v>
      </c>
      <c r="N654" s="581">
        <v>107970</v>
      </c>
      <c r="O654" s="627">
        <f t="shared" si="77"/>
        <v>74.05349794238684</v>
      </c>
      <c r="P654" s="603"/>
      <c r="Q654" s="581"/>
      <c r="R654" s="653"/>
      <c r="S654" s="482"/>
      <c r="T654" s="482"/>
      <c r="U654" s="482"/>
      <c r="V654" s="482"/>
      <c r="W654" s="565"/>
      <c r="X654" s="565"/>
      <c r="Y654" s="565"/>
      <c r="Z654" s="565"/>
    </row>
    <row r="655" spans="1:26" s="639" customFormat="1" ht="28.5" customHeight="1">
      <c r="A655" s="647">
        <v>4110</v>
      </c>
      <c r="B655" s="651" t="s">
        <v>187</v>
      </c>
      <c r="C655" s="603">
        <v>306900</v>
      </c>
      <c r="D655" s="581">
        <f t="shared" si="71"/>
        <v>306900</v>
      </c>
      <c r="E655" s="581">
        <f t="shared" si="78"/>
        <v>67162</v>
      </c>
      <c r="F655" s="582">
        <f t="shared" si="76"/>
        <v>21.884001303356143</v>
      </c>
      <c r="G655" s="603"/>
      <c r="H655" s="581"/>
      <c r="I655" s="847"/>
      <c r="J655" s="586"/>
      <c r="K655" s="581"/>
      <c r="L655" s="587"/>
      <c r="M655" s="603">
        <v>306900</v>
      </c>
      <c r="N655" s="581">
        <v>67162</v>
      </c>
      <c r="O655" s="627">
        <f t="shared" si="77"/>
        <v>21.884001303356143</v>
      </c>
      <c r="P655" s="603"/>
      <c r="Q655" s="581"/>
      <c r="R655" s="653"/>
      <c r="S655" s="482"/>
      <c r="T655" s="482"/>
      <c r="U655" s="482"/>
      <c r="V655" s="482"/>
      <c r="W655" s="565"/>
      <c r="X655" s="565"/>
      <c r="Y655" s="565"/>
      <c r="Z655" s="565"/>
    </row>
    <row r="656" spans="1:26" s="639" customFormat="1" ht="15" customHeight="1">
      <c r="A656" s="647">
        <v>4120</v>
      </c>
      <c r="B656" s="651" t="s">
        <v>619</v>
      </c>
      <c r="C656" s="603">
        <v>50100</v>
      </c>
      <c r="D656" s="581">
        <f t="shared" si="71"/>
        <v>50100</v>
      </c>
      <c r="E656" s="581">
        <f t="shared" si="78"/>
        <v>10265</v>
      </c>
      <c r="F656" s="582">
        <f t="shared" si="76"/>
        <v>20.489021956087825</v>
      </c>
      <c r="G656" s="603"/>
      <c r="H656" s="581"/>
      <c r="I656" s="847"/>
      <c r="J656" s="586"/>
      <c r="K656" s="581"/>
      <c r="L656" s="587"/>
      <c r="M656" s="603">
        <v>50100</v>
      </c>
      <c r="N656" s="581">
        <v>10265</v>
      </c>
      <c r="O656" s="627">
        <f t="shared" si="77"/>
        <v>20.489021956087825</v>
      </c>
      <c r="P656" s="603"/>
      <c r="Q656" s="581"/>
      <c r="R656" s="653"/>
      <c r="S656" s="482"/>
      <c r="T656" s="482"/>
      <c r="U656" s="482"/>
      <c r="V656" s="482"/>
      <c r="W656" s="565"/>
      <c r="X656" s="565"/>
      <c r="Y656" s="565"/>
      <c r="Z656" s="565"/>
    </row>
    <row r="657" spans="1:26" s="639" customFormat="1" ht="24">
      <c r="A657" s="647">
        <v>4170</v>
      </c>
      <c r="B657" s="651" t="s">
        <v>221</v>
      </c>
      <c r="C657" s="603">
        <v>2000</v>
      </c>
      <c r="D657" s="581">
        <f t="shared" si="71"/>
        <v>2000</v>
      </c>
      <c r="E657" s="581">
        <f t="shared" si="78"/>
        <v>2000</v>
      </c>
      <c r="F657" s="582">
        <f t="shared" si="76"/>
        <v>100</v>
      </c>
      <c r="G657" s="603"/>
      <c r="H657" s="581"/>
      <c r="I657" s="847"/>
      <c r="J657" s="586"/>
      <c r="K657" s="581"/>
      <c r="L657" s="587"/>
      <c r="M657" s="603">
        <v>2000</v>
      </c>
      <c r="N657" s="581">
        <v>2000</v>
      </c>
      <c r="O657" s="627">
        <f t="shared" si="77"/>
        <v>100</v>
      </c>
      <c r="P657" s="603"/>
      <c r="Q657" s="581"/>
      <c r="R657" s="653"/>
      <c r="S657" s="564"/>
      <c r="T657" s="564"/>
      <c r="U657" s="564"/>
      <c r="V657" s="564"/>
      <c r="W657" s="565"/>
      <c r="X657" s="565"/>
      <c r="Y657" s="565"/>
      <c r="Z657" s="565"/>
    </row>
    <row r="658" spans="1:26" s="639" customFormat="1" ht="24">
      <c r="A658" s="647">
        <v>4210</v>
      </c>
      <c r="B658" s="651" t="s">
        <v>191</v>
      </c>
      <c r="C658" s="603">
        <v>36000</v>
      </c>
      <c r="D658" s="581">
        <f t="shared" si="71"/>
        <v>36000</v>
      </c>
      <c r="E658" s="581">
        <f t="shared" si="78"/>
        <v>8738</v>
      </c>
      <c r="F658" s="582">
        <f t="shared" si="76"/>
        <v>24.272222222222222</v>
      </c>
      <c r="G658" s="603"/>
      <c r="H658" s="581"/>
      <c r="I658" s="847"/>
      <c r="J658" s="586"/>
      <c r="K658" s="581"/>
      <c r="L658" s="587"/>
      <c r="M658" s="603">
        <v>36000</v>
      </c>
      <c r="N658" s="581">
        <v>8738</v>
      </c>
      <c r="O658" s="627">
        <f t="shared" si="77"/>
        <v>24.272222222222222</v>
      </c>
      <c r="P658" s="603"/>
      <c r="Q658" s="581"/>
      <c r="R658" s="653"/>
      <c r="S658" s="564"/>
      <c r="T658" s="564"/>
      <c r="U658" s="564"/>
      <c r="V658" s="564"/>
      <c r="W658" s="565"/>
      <c r="X658" s="565"/>
      <c r="Y658" s="565"/>
      <c r="Z658" s="565"/>
    </row>
    <row r="659" spans="1:26" s="639" customFormat="1" ht="28.5" customHeight="1">
      <c r="A659" s="647">
        <v>4240</v>
      </c>
      <c r="B659" s="651" t="s">
        <v>608</v>
      </c>
      <c r="C659" s="603">
        <v>4000</v>
      </c>
      <c r="D659" s="581">
        <f t="shared" si="71"/>
        <v>4000</v>
      </c>
      <c r="E659" s="581">
        <f t="shared" si="78"/>
        <v>308</v>
      </c>
      <c r="F659" s="582">
        <f t="shared" si="76"/>
        <v>7.7</v>
      </c>
      <c r="G659" s="603"/>
      <c r="H659" s="581"/>
      <c r="I659" s="847"/>
      <c r="J659" s="586"/>
      <c r="K659" s="581"/>
      <c r="L659" s="587"/>
      <c r="M659" s="603">
        <v>4000</v>
      </c>
      <c r="N659" s="581">
        <v>308</v>
      </c>
      <c r="O659" s="627">
        <f t="shared" si="77"/>
        <v>7.7</v>
      </c>
      <c r="P659" s="603"/>
      <c r="Q659" s="581"/>
      <c r="R659" s="653"/>
      <c r="S659" s="564"/>
      <c r="T659" s="564"/>
      <c r="U659" s="564"/>
      <c r="V659" s="564"/>
      <c r="W659" s="565"/>
      <c r="X659" s="565"/>
      <c r="Y659" s="565"/>
      <c r="Z659" s="565"/>
    </row>
    <row r="660" spans="1:26" s="639" customFormat="1" ht="13.5" customHeight="1">
      <c r="A660" s="647">
        <v>4260</v>
      </c>
      <c r="B660" s="651" t="s">
        <v>195</v>
      </c>
      <c r="C660" s="603">
        <v>104500</v>
      </c>
      <c r="D660" s="581">
        <f t="shared" si="71"/>
        <v>104500</v>
      </c>
      <c r="E660" s="581">
        <f t="shared" si="78"/>
        <v>59529</v>
      </c>
      <c r="F660" s="582">
        <f t="shared" si="76"/>
        <v>56.96555023923445</v>
      </c>
      <c r="G660" s="603"/>
      <c r="H660" s="581"/>
      <c r="I660" s="847"/>
      <c r="J660" s="586"/>
      <c r="K660" s="581"/>
      <c r="L660" s="587"/>
      <c r="M660" s="603">
        <v>104500</v>
      </c>
      <c r="N660" s="581">
        <v>59529</v>
      </c>
      <c r="O660" s="627">
        <f t="shared" si="77"/>
        <v>56.96555023923445</v>
      </c>
      <c r="P660" s="603"/>
      <c r="Q660" s="581"/>
      <c r="R660" s="653"/>
      <c r="S660" s="564"/>
      <c r="T660" s="564"/>
      <c r="U660" s="564"/>
      <c r="V660" s="564"/>
      <c r="W660" s="565"/>
      <c r="X660" s="565"/>
      <c r="Y660" s="565"/>
      <c r="Z660" s="565"/>
    </row>
    <row r="661" spans="1:26" s="639" customFormat="1" ht="13.5" customHeight="1">
      <c r="A661" s="647">
        <v>4270</v>
      </c>
      <c r="B661" s="651" t="s">
        <v>197</v>
      </c>
      <c r="C661" s="603">
        <v>4000</v>
      </c>
      <c r="D661" s="581">
        <f t="shared" si="71"/>
        <v>4000</v>
      </c>
      <c r="E661" s="581">
        <f t="shared" si="78"/>
        <v>78</v>
      </c>
      <c r="F661" s="582">
        <f t="shared" si="76"/>
        <v>1.95</v>
      </c>
      <c r="G661" s="603"/>
      <c r="H661" s="581"/>
      <c r="I661" s="847"/>
      <c r="J661" s="586"/>
      <c r="K661" s="581"/>
      <c r="L661" s="587"/>
      <c r="M661" s="603">
        <v>4000</v>
      </c>
      <c r="N661" s="581">
        <v>78</v>
      </c>
      <c r="O661" s="627">
        <f t="shared" si="77"/>
        <v>1.95</v>
      </c>
      <c r="P661" s="603"/>
      <c r="Q661" s="581"/>
      <c r="R661" s="653"/>
      <c r="S661" s="564"/>
      <c r="T661" s="564"/>
      <c r="U661" s="564"/>
      <c r="V661" s="564"/>
      <c r="W661" s="565"/>
      <c r="X661" s="565"/>
      <c r="Y661" s="565"/>
      <c r="Z661" s="565"/>
    </row>
    <row r="662" spans="1:26" s="639" customFormat="1" ht="13.5" customHeight="1">
      <c r="A662" s="647">
        <v>4280</v>
      </c>
      <c r="B662" s="651" t="s">
        <v>582</v>
      </c>
      <c r="C662" s="603">
        <v>1400</v>
      </c>
      <c r="D662" s="581">
        <f t="shared" si="71"/>
        <v>1400</v>
      </c>
      <c r="E662" s="581">
        <f t="shared" si="78"/>
        <v>0</v>
      </c>
      <c r="F662" s="582">
        <f t="shared" si="76"/>
        <v>0</v>
      </c>
      <c r="G662" s="603"/>
      <c r="H662" s="581"/>
      <c r="I662" s="847"/>
      <c r="J662" s="586"/>
      <c r="K662" s="581"/>
      <c r="L662" s="587"/>
      <c r="M662" s="603">
        <v>1400</v>
      </c>
      <c r="N662" s="581"/>
      <c r="O662" s="627">
        <f t="shared" si="77"/>
        <v>0</v>
      </c>
      <c r="P662" s="603"/>
      <c r="Q662" s="581"/>
      <c r="R662" s="653"/>
      <c r="S662" s="564"/>
      <c r="T662" s="564"/>
      <c r="U662" s="564"/>
      <c r="V662" s="564"/>
      <c r="W662" s="565"/>
      <c r="X662" s="565"/>
      <c r="Y662" s="565"/>
      <c r="Z662" s="565"/>
    </row>
    <row r="663" spans="1:26" s="639" customFormat="1" ht="16.5" customHeight="1">
      <c r="A663" s="647">
        <v>4300</v>
      </c>
      <c r="B663" s="651" t="s">
        <v>199</v>
      </c>
      <c r="C663" s="603">
        <v>63000</v>
      </c>
      <c r="D663" s="581">
        <f t="shared" si="71"/>
        <v>62930</v>
      </c>
      <c r="E663" s="581">
        <f t="shared" si="78"/>
        <v>16596</v>
      </c>
      <c r="F663" s="582">
        <f t="shared" si="76"/>
        <v>26.37215954234864</v>
      </c>
      <c r="G663" s="603"/>
      <c r="H663" s="581"/>
      <c r="I663" s="847"/>
      <c r="J663" s="586"/>
      <c r="K663" s="581"/>
      <c r="L663" s="587"/>
      <c r="M663" s="603">
        <f>63000-70</f>
        <v>62930</v>
      </c>
      <c r="N663" s="581">
        <v>16596</v>
      </c>
      <c r="O663" s="627">
        <f t="shared" si="77"/>
        <v>26.37215954234864</v>
      </c>
      <c r="P663" s="603"/>
      <c r="Q663" s="581"/>
      <c r="R663" s="653"/>
      <c r="S663" s="564"/>
      <c r="T663" s="564"/>
      <c r="U663" s="564"/>
      <c r="V663" s="564"/>
      <c r="W663" s="565"/>
      <c r="X663" s="565"/>
      <c r="Y663" s="565"/>
      <c r="Z663" s="565"/>
    </row>
    <row r="664" spans="1:26" s="639" customFormat="1" ht="24">
      <c r="A664" s="647">
        <v>4350</v>
      </c>
      <c r="B664" s="651" t="s">
        <v>584</v>
      </c>
      <c r="C664" s="603">
        <v>1200</v>
      </c>
      <c r="D664" s="581">
        <f t="shared" si="71"/>
        <v>1200</v>
      </c>
      <c r="E664" s="581">
        <f t="shared" si="78"/>
        <v>388</v>
      </c>
      <c r="F664" s="582">
        <f t="shared" si="76"/>
        <v>32.33333333333333</v>
      </c>
      <c r="G664" s="603"/>
      <c r="H664" s="581"/>
      <c r="I664" s="847"/>
      <c r="J664" s="586"/>
      <c r="K664" s="581"/>
      <c r="L664" s="587"/>
      <c r="M664" s="603">
        <v>1200</v>
      </c>
      <c r="N664" s="581">
        <v>388</v>
      </c>
      <c r="O664" s="627">
        <f t="shared" si="77"/>
        <v>32.33333333333333</v>
      </c>
      <c r="P664" s="603"/>
      <c r="Q664" s="581"/>
      <c r="R664" s="653"/>
      <c r="S664" s="564"/>
      <c r="T664" s="564"/>
      <c r="U664" s="564"/>
      <c r="V664" s="564"/>
      <c r="W664" s="565"/>
      <c r="X664" s="565"/>
      <c r="Y664" s="565"/>
      <c r="Z664" s="565"/>
    </row>
    <row r="665" spans="1:26" s="639" customFormat="1" ht="60" customHeight="1">
      <c r="A665" s="647">
        <v>4360</v>
      </c>
      <c r="B665" s="712" t="s">
        <v>431</v>
      </c>
      <c r="C665" s="603">
        <v>700</v>
      </c>
      <c r="D665" s="581">
        <f t="shared" si="71"/>
        <v>700</v>
      </c>
      <c r="E665" s="581">
        <f>SUM(H665+K665+N665+Q665)</f>
        <v>316</v>
      </c>
      <c r="F665" s="582">
        <f>E665/D665*100</f>
        <v>45.14285714285714</v>
      </c>
      <c r="G665" s="603"/>
      <c r="H665" s="581"/>
      <c r="I665" s="847"/>
      <c r="J665" s="586"/>
      <c r="K665" s="581"/>
      <c r="L665" s="587"/>
      <c r="M665" s="603">
        <v>700</v>
      </c>
      <c r="N665" s="581">
        <v>316</v>
      </c>
      <c r="O665" s="627">
        <f t="shared" si="77"/>
        <v>45.14285714285714</v>
      </c>
      <c r="P665" s="603"/>
      <c r="Q665" s="581"/>
      <c r="R665" s="653"/>
      <c r="S665" s="564"/>
      <c r="T665" s="564"/>
      <c r="U665" s="564"/>
      <c r="V665" s="564"/>
      <c r="W665" s="565"/>
      <c r="X665" s="565"/>
      <c r="Y665" s="565"/>
      <c r="Z665" s="565"/>
    </row>
    <row r="666" spans="1:26" s="639" customFormat="1" ht="60.75" customHeight="1">
      <c r="A666" s="647">
        <v>4370</v>
      </c>
      <c r="B666" s="712" t="s">
        <v>432</v>
      </c>
      <c r="C666" s="603">
        <v>1900</v>
      </c>
      <c r="D666" s="581">
        <f t="shared" si="71"/>
        <v>1900</v>
      </c>
      <c r="E666" s="581">
        <f>SUM(H666+K666+N666+Q666)</f>
        <v>844</v>
      </c>
      <c r="F666" s="582">
        <f>E666/D666*100</f>
        <v>44.42105263157895</v>
      </c>
      <c r="G666" s="603"/>
      <c r="H666" s="581"/>
      <c r="I666" s="847"/>
      <c r="J666" s="586"/>
      <c r="K666" s="581"/>
      <c r="L666" s="587"/>
      <c r="M666" s="603">
        <v>1900</v>
      </c>
      <c r="N666" s="581">
        <v>844</v>
      </c>
      <c r="O666" s="627">
        <f t="shared" si="77"/>
        <v>44.42105263157895</v>
      </c>
      <c r="P666" s="603"/>
      <c r="Q666" s="581"/>
      <c r="R666" s="653"/>
      <c r="S666" s="564"/>
      <c r="T666" s="564"/>
      <c r="U666" s="564"/>
      <c r="V666" s="564"/>
      <c r="W666" s="565"/>
      <c r="X666" s="565"/>
      <c r="Y666" s="565"/>
      <c r="Z666" s="565"/>
    </row>
    <row r="667" spans="1:26" s="639" customFormat="1" ht="38.25" customHeight="1">
      <c r="A667" s="647">
        <v>4390</v>
      </c>
      <c r="B667" s="651" t="s">
        <v>222</v>
      </c>
      <c r="C667" s="603">
        <v>3300</v>
      </c>
      <c r="D667" s="581">
        <f t="shared" si="71"/>
        <v>3300</v>
      </c>
      <c r="E667" s="581">
        <f>SUM(H667+K667+N667+Q667)</f>
        <v>317</v>
      </c>
      <c r="F667" s="582">
        <f>E667/D667*100</f>
        <v>9.606060606060606</v>
      </c>
      <c r="G667" s="603"/>
      <c r="H667" s="581"/>
      <c r="I667" s="847"/>
      <c r="J667" s="586"/>
      <c r="K667" s="581"/>
      <c r="L667" s="587"/>
      <c r="M667" s="603">
        <v>3300</v>
      </c>
      <c r="N667" s="581">
        <v>317</v>
      </c>
      <c r="O667" s="627">
        <f t="shared" si="77"/>
        <v>9.606060606060606</v>
      </c>
      <c r="P667" s="603"/>
      <c r="Q667" s="581"/>
      <c r="R667" s="653"/>
      <c r="S667" s="564"/>
      <c r="T667" s="564"/>
      <c r="U667" s="564"/>
      <c r="V667" s="564"/>
      <c r="W667" s="565"/>
      <c r="X667" s="565"/>
      <c r="Y667" s="565"/>
      <c r="Z667" s="565"/>
    </row>
    <row r="668" spans="1:26" s="639" customFormat="1" ht="18" customHeight="1">
      <c r="A668" s="647">
        <v>4410</v>
      </c>
      <c r="B668" s="651" t="s">
        <v>173</v>
      </c>
      <c r="C668" s="603">
        <v>2000</v>
      </c>
      <c r="D668" s="581">
        <f t="shared" si="71"/>
        <v>2000</v>
      </c>
      <c r="E668" s="581">
        <f t="shared" si="78"/>
        <v>0</v>
      </c>
      <c r="F668" s="582">
        <f t="shared" si="76"/>
        <v>0</v>
      </c>
      <c r="G668" s="603"/>
      <c r="H668" s="581"/>
      <c r="I668" s="847"/>
      <c r="J668" s="586"/>
      <c r="K668" s="581"/>
      <c r="L668" s="587"/>
      <c r="M668" s="603">
        <v>2000</v>
      </c>
      <c r="N668" s="581"/>
      <c r="O668" s="627">
        <f t="shared" si="77"/>
        <v>0</v>
      </c>
      <c r="P668" s="603"/>
      <c r="Q668" s="581"/>
      <c r="R668" s="653"/>
      <c r="S668" s="564"/>
      <c r="T668" s="564"/>
      <c r="U668" s="564"/>
      <c r="V668" s="564"/>
      <c r="W668" s="565"/>
      <c r="X668" s="565"/>
      <c r="Y668" s="565"/>
      <c r="Z668" s="565"/>
    </row>
    <row r="669" spans="1:26" s="639" customFormat="1" ht="18" customHeight="1">
      <c r="A669" s="647">
        <v>4430</v>
      </c>
      <c r="B669" s="651" t="s">
        <v>201</v>
      </c>
      <c r="C669" s="603"/>
      <c r="D669" s="581">
        <f>G669+J669+P669+M669</f>
        <v>70</v>
      </c>
      <c r="E669" s="581">
        <f>SUM(H669+K669+N669+Q669)</f>
        <v>66</v>
      </c>
      <c r="F669" s="582">
        <f>E669/D669*100</f>
        <v>94.28571428571428</v>
      </c>
      <c r="G669" s="603"/>
      <c r="H669" s="581"/>
      <c r="I669" s="847"/>
      <c r="J669" s="586"/>
      <c r="K669" s="581"/>
      <c r="L669" s="587"/>
      <c r="M669" s="603">
        <v>70</v>
      </c>
      <c r="N669" s="581">
        <v>66</v>
      </c>
      <c r="O669" s="627">
        <f t="shared" si="77"/>
        <v>94.28571428571428</v>
      </c>
      <c r="P669" s="603"/>
      <c r="Q669" s="581"/>
      <c r="R669" s="653"/>
      <c r="S669" s="564"/>
      <c r="T669" s="564"/>
      <c r="U669" s="564"/>
      <c r="V669" s="564"/>
      <c r="W669" s="565"/>
      <c r="X669" s="565"/>
      <c r="Y669" s="565"/>
      <c r="Z669" s="565"/>
    </row>
    <row r="670" spans="1:26" s="639" customFormat="1" ht="12.75">
      <c r="A670" s="647">
        <v>4440</v>
      </c>
      <c r="B670" s="651" t="s">
        <v>203</v>
      </c>
      <c r="C670" s="603">
        <v>91400</v>
      </c>
      <c r="D670" s="581">
        <f t="shared" si="71"/>
        <v>91400</v>
      </c>
      <c r="E670" s="581">
        <f t="shared" si="78"/>
        <v>32575</v>
      </c>
      <c r="F670" s="582">
        <f t="shared" si="76"/>
        <v>35.64004376367615</v>
      </c>
      <c r="G670" s="603"/>
      <c r="H670" s="581"/>
      <c r="I670" s="847"/>
      <c r="J670" s="586"/>
      <c r="K670" s="581"/>
      <c r="L670" s="587"/>
      <c r="M670" s="603">
        <v>91400</v>
      </c>
      <c r="N670" s="581">
        <v>32575</v>
      </c>
      <c r="O670" s="627">
        <f t="shared" si="77"/>
        <v>35.64004376367615</v>
      </c>
      <c r="P670" s="603"/>
      <c r="Q670" s="581"/>
      <c r="R670" s="653"/>
      <c r="S670" s="564"/>
      <c r="T670" s="564"/>
      <c r="U670" s="564"/>
      <c r="V670" s="564"/>
      <c r="W670" s="565"/>
      <c r="X670" s="565"/>
      <c r="Y670" s="565"/>
      <c r="Z670" s="565"/>
    </row>
    <row r="671" spans="1:26" s="639" customFormat="1" ht="40.5" customHeight="1">
      <c r="A671" s="647">
        <v>4700</v>
      </c>
      <c r="B671" s="712" t="s">
        <v>588</v>
      </c>
      <c r="C671" s="603">
        <v>1700</v>
      </c>
      <c r="D671" s="581">
        <f t="shared" si="71"/>
        <v>1700</v>
      </c>
      <c r="E671" s="581">
        <f>SUM(H671+K671+N671+Q671)</f>
        <v>112</v>
      </c>
      <c r="F671" s="582">
        <f>E671/D671*100</f>
        <v>6.588235294117648</v>
      </c>
      <c r="G671" s="603"/>
      <c r="H671" s="581"/>
      <c r="I671" s="847"/>
      <c r="J671" s="586"/>
      <c r="K671" s="581"/>
      <c r="L671" s="587"/>
      <c r="M671" s="603">
        <v>1700</v>
      </c>
      <c r="N671" s="581">
        <v>112</v>
      </c>
      <c r="O671" s="627">
        <f t="shared" si="77"/>
        <v>6.588235294117648</v>
      </c>
      <c r="P671" s="603"/>
      <c r="Q671" s="581"/>
      <c r="R671" s="653"/>
      <c r="S671" s="564"/>
      <c r="T671" s="564"/>
      <c r="U671" s="564"/>
      <c r="V671" s="564"/>
      <c r="W671" s="565"/>
      <c r="X671" s="565"/>
      <c r="Y671" s="565"/>
      <c r="Z671" s="565"/>
    </row>
    <row r="672" spans="1:26" s="639" customFormat="1" ht="50.25" customHeight="1">
      <c r="A672" s="647">
        <v>4740</v>
      </c>
      <c r="B672" s="712" t="s">
        <v>215</v>
      </c>
      <c r="C672" s="603">
        <v>1400</v>
      </c>
      <c r="D672" s="581">
        <f t="shared" si="71"/>
        <v>1400</v>
      </c>
      <c r="E672" s="581">
        <f>SUM(H672+K672+N672+Q672)</f>
        <v>0</v>
      </c>
      <c r="F672" s="582">
        <f>E672/D672*100</f>
        <v>0</v>
      </c>
      <c r="G672" s="603"/>
      <c r="H672" s="581"/>
      <c r="I672" s="847"/>
      <c r="J672" s="586"/>
      <c r="K672" s="581"/>
      <c r="L672" s="587"/>
      <c r="M672" s="603">
        <v>1400</v>
      </c>
      <c r="N672" s="581"/>
      <c r="O672" s="627">
        <f t="shared" si="77"/>
        <v>0</v>
      </c>
      <c r="P672" s="603"/>
      <c r="Q672" s="581"/>
      <c r="R672" s="653"/>
      <c r="S672" s="564"/>
      <c r="T672" s="564"/>
      <c r="U672" s="564"/>
      <c r="V672" s="564"/>
      <c r="W672" s="565"/>
      <c r="X672" s="565"/>
      <c r="Y672" s="565"/>
      <c r="Z672" s="565"/>
    </row>
    <row r="673" spans="1:26" s="639" customFormat="1" ht="36">
      <c r="A673" s="647">
        <v>4750</v>
      </c>
      <c r="B673" s="712" t="s">
        <v>589</v>
      </c>
      <c r="C673" s="603">
        <v>5300</v>
      </c>
      <c r="D673" s="581">
        <f t="shared" si="71"/>
        <v>5300</v>
      </c>
      <c r="E673" s="581">
        <f>SUM(H673+K673+N673+Q673)</f>
        <v>1912</v>
      </c>
      <c r="F673" s="627">
        <f>E673/D673*100</f>
        <v>36.07547169811321</v>
      </c>
      <c r="G673" s="603"/>
      <c r="H673" s="581"/>
      <c r="I673" s="847"/>
      <c r="J673" s="586"/>
      <c r="K673" s="581"/>
      <c r="L673" s="587"/>
      <c r="M673" s="603">
        <v>5300</v>
      </c>
      <c r="N673" s="581">
        <v>1912</v>
      </c>
      <c r="O673" s="627">
        <f t="shared" si="77"/>
        <v>36.07547169811321</v>
      </c>
      <c r="P673" s="603"/>
      <c r="Q673" s="581"/>
      <c r="R673" s="653"/>
      <c r="S673" s="564"/>
      <c r="T673" s="564"/>
      <c r="U673" s="564"/>
      <c r="V673" s="564"/>
      <c r="W673" s="565"/>
      <c r="X673" s="565"/>
      <c r="Y673" s="565"/>
      <c r="Z673" s="565"/>
    </row>
    <row r="674" spans="1:26" s="639" customFormat="1" ht="36" hidden="1">
      <c r="A674" s="647">
        <v>6050</v>
      </c>
      <c r="B674" s="651" t="s">
        <v>225</v>
      </c>
      <c r="C674" s="603"/>
      <c r="D674" s="581">
        <f aca="true" t="shared" si="79" ref="D674:D737">G674+J674+P674+M674</f>
        <v>0</v>
      </c>
      <c r="E674" s="581">
        <f t="shared" si="78"/>
        <v>0</v>
      </c>
      <c r="F674" s="627" t="e">
        <f t="shared" si="76"/>
        <v>#DIV/0!</v>
      </c>
      <c r="G674" s="603"/>
      <c r="H674" s="581"/>
      <c r="I674" s="847"/>
      <c r="J674" s="586"/>
      <c r="K674" s="581"/>
      <c r="L674" s="587"/>
      <c r="M674" s="603"/>
      <c r="N674" s="581"/>
      <c r="O674" s="627" t="e">
        <f t="shared" si="77"/>
        <v>#DIV/0!</v>
      </c>
      <c r="P674" s="603"/>
      <c r="Q674" s="581"/>
      <c r="R674" s="653"/>
      <c r="S674" s="564"/>
      <c r="T674" s="564"/>
      <c r="U674" s="564"/>
      <c r="V674" s="564"/>
      <c r="W674" s="565"/>
      <c r="X674" s="565"/>
      <c r="Y674" s="565"/>
      <c r="Z674" s="565"/>
    </row>
    <row r="675" spans="1:26" s="639" customFormat="1" ht="39" customHeight="1">
      <c r="A675" s="647">
        <v>6060</v>
      </c>
      <c r="B675" s="651" t="s">
        <v>628</v>
      </c>
      <c r="C675" s="603">
        <v>13000</v>
      </c>
      <c r="D675" s="675">
        <f t="shared" si="79"/>
        <v>13000</v>
      </c>
      <c r="E675" s="675">
        <f t="shared" si="78"/>
        <v>12932</v>
      </c>
      <c r="F675" s="644">
        <f>E675/D675*100</f>
        <v>99.47692307692307</v>
      </c>
      <c r="G675" s="603"/>
      <c r="H675" s="581"/>
      <c r="I675" s="847"/>
      <c r="J675" s="586"/>
      <c r="K675" s="581"/>
      <c r="L675" s="587"/>
      <c r="M675" s="603">
        <v>13000</v>
      </c>
      <c r="N675" s="581">
        <v>12932</v>
      </c>
      <c r="O675" s="627">
        <f>N675/M675*100</f>
        <v>99.47692307692307</v>
      </c>
      <c r="P675" s="603"/>
      <c r="Q675" s="581"/>
      <c r="R675" s="653"/>
      <c r="S675" s="564"/>
      <c r="T675" s="564"/>
      <c r="U675" s="564"/>
      <c r="V675" s="564"/>
      <c r="W675" s="565"/>
      <c r="X675" s="565"/>
      <c r="Y675" s="565"/>
      <c r="Z675" s="565"/>
    </row>
    <row r="676" spans="1:26" s="639" customFormat="1" ht="24">
      <c r="A676" s="640">
        <v>80103</v>
      </c>
      <c r="B676" s="742" t="s">
        <v>742</v>
      </c>
      <c r="C676" s="608">
        <f>SUM(C677:C687)</f>
        <v>1071000</v>
      </c>
      <c r="D676" s="595">
        <f t="shared" si="79"/>
        <v>1071000</v>
      </c>
      <c r="E676" s="595">
        <f>SUM(H676+K676+N676+Q676)</f>
        <v>282007</v>
      </c>
      <c r="F676" s="643">
        <f>E676/D676*100</f>
        <v>26.331185807656393</v>
      </c>
      <c r="G676" s="608">
        <f>SUM(G677:G687)</f>
        <v>1071000</v>
      </c>
      <c r="H676" s="595">
        <f>SUM(H677:H687)</f>
        <v>282007</v>
      </c>
      <c r="I676" s="845">
        <f>H676/G676*100</f>
        <v>26.331185807656393</v>
      </c>
      <c r="J676" s="600"/>
      <c r="K676" s="595"/>
      <c r="L676" s="601"/>
      <c r="M676" s="773"/>
      <c r="N676" s="595"/>
      <c r="O676" s="682"/>
      <c r="P676" s="608"/>
      <c r="Q676" s="595"/>
      <c r="R676" s="685"/>
      <c r="S676" s="564"/>
      <c r="T676" s="564"/>
      <c r="U676" s="564"/>
      <c r="V676" s="564"/>
      <c r="W676" s="565"/>
      <c r="X676" s="565"/>
      <c r="Y676" s="565"/>
      <c r="Z676" s="565"/>
    </row>
    <row r="677" spans="1:26" s="639" customFormat="1" ht="40.5" customHeight="1">
      <c r="A677" s="739">
        <v>2540</v>
      </c>
      <c r="B677" s="651" t="s">
        <v>735</v>
      </c>
      <c r="C677" s="603">
        <v>120000</v>
      </c>
      <c r="D677" s="581">
        <f t="shared" si="79"/>
        <v>120000</v>
      </c>
      <c r="E677" s="581">
        <f aca="true" t="shared" si="80" ref="E677:E687">SUM(H677+K677+N677+Q677)</f>
        <v>25800</v>
      </c>
      <c r="F677" s="582">
        <f t="shared" si="76"/>
        <v>21.5</v>
      </c>
      <c r="G677" s="603">
        <v>120000</v>
      </c>
      <c r="H677" s="581">
        <v>25800</v>
      </c>
      <c r="I677" s="847">
        <f>H677/G677*100</f>
        <v>21.5</v>
      </c>
      <c r="J677" s="586"/>
      <c r="K677" s="581"/>
      <c r="L677" s="587"/>
      <c r="M677" s="772"/>
      <c r="N677" s="581"/>
      <c r="O677" s="585"/>
      <c r="P677" s="603"/>
      <c r="Q677" s="581"/>
      <c r="R677" s="653"/>
      <c r="S677" s="564"/>
      <c r="T677" s="564"/>
      <c r="U677" s="564"/>
      <c r="V677" s="564"/>
      <c r="W677" s="565"/>
      <c r="X677" s="565"/>
      <c r="Y677" s="565"/>
      <c r="Z677" s="565"/>
    </row>
    <row r="678" spans="1:26" s="639" customFormat="1" ht="36">
      <c r="A678" s="853">
        <v>3020</v>
      </c>
      <c r="B678" s="651" t="s">
        <v>736</v>
      </c>
      <c r="C678" s="603">
        <v>2800</v>
      </c>
      <c r="D678" s="581">
        <f t="shared" si="79"/>
        <v>2800</v>
      </c>
      <c r="E678" s="581">
        <f t="shared" si="80"/>
        <v>40</v>
      </c>
      <c r="F678" s="582">
        <f>E678/D678*100</f>
        <v>1.4285714285714286</v>
      </c>
      <c r="G678" s="603">
        <v>2800</v>
      </c>
      <c r="H678" s="581">
        <v>40</v>
      </c>
      <c r="I678" s="847">
        <f>H678/G678*100</f>
        <v>1.4285714285714286</v>
      </c>
      <c r="J678" s="586"/>
      <c r="K678" s="581"/>
      <c r="L678" s="587"/>
      <c r="M678" s="772"/>
      <c r="N678" s="581"/>
      <c r="O678" s="585"/>
      <c r="P678" s="603"/>
      <c r="Q678" s="581"/>
      <c r="R678" s="653"/>
      <c r="S678" s="564"/>
      <c r="T678" s="564"/>
      <c r="U678" s="564"/>
      <c r="V678" s="564"/>
      <c r="W678" s="565"/>
      <c r="X678" s="565"/>
      <c r="Y678" s="565"/>
      <c r="Z678" s="565"/>
    </row>
    <row r="679" spans="1:26" s="639" customFormat="1" ht="28.5" customHeight="1">
      <c r="A679" s="853">
        <v>4010</v>
      </c>
      <c r="B679" s="651" t="s">
        <v>181</v>
      </c>
      <c r="C679" s="603">
        <v>685600</v>
      </c>
      <c r="D679" s="581">
        <f t="shared" si="79"/>
        <v>685600</v>
      </c>
      <c r="E679" s="581">
        <f t="shared" si="80"/>
        <v>175524</v>
      </c>
      <c r="F679" s="582">
        <f t="shared" si="76"/>
        <v>25.601516919486585</v>
      </c>
      <c r="G679" s="603">
        <v>685600</v>
      </c>
      <c r="H679" s="581">
        <v>175524</v>
      </c>
      <c r="I679" s="847">
        <f aca="true" t="shared" si="81" ref="I679:I735">H679/G679*100</f>
        <v>25.601516919486585</v>
      </c>
      <c r="J679" s="586"/>
      <c r="K679" s="581"/>
      <c r="L679" s="587"/>
      <c r="M679" s="772"/>
      <c r="N679" s="581"/>
      <c r="O679" s="585"/>
      <c r="P679" s="603"/>
      <c r="Q679" s="581"/>
      <c r="R679" s="653"/>
      <c r="S679" s="482"/>
      <c r="T679" s="482"/>
      <c r="U679" s="482"/>
      <c r="V679" s="482"/>
      <c r="W679" s="565"/>
      <c r="X679" s="565"/>
      <c r="Y679" s="565"/>
      <c r="Z679" s="565"/>
    </row>
    <row r="680" spans="1:26" s="639" customFormat="1" ht="24">
      <c r="A680" s="853">
        <v>4040</v>
      </c>
      <c r="B680" s="651" t="s">
        <v>249</v>
      </c>
      <c r="C680" s="603">
        <v>55400</v>
      </c>
      <c r="D680" s="581">
        <f t="shared" si="79"/>
        <v>55400</v>
      </c>
      <c r="E680" s="581">
        <f t="shared" si="80"/>
        <v>38356</v>
      </c>
      <c r="F680" s="582">
        <f t="shared" si="76"/>
        <v>69.2346570397112</v>
      </c>
      <c r="G680" s="603">
        <v>55400</v>
      </c>
      <c r="H680" s="581">
        <v>38356</v>
      </c>
      <c r="I680" s="847">
        <f t="shared" si="81"/>
        <v>69.2346570397112</v>
      </c>
      <c r="J680" s="586"/>
      <c r="K680" s="581"/>
      <c r="L680" s="587"/>
      <c r="M680" s="772"/>
      <c r="N680" s="581"/>
      <c r="O680" s="585"/>
      <c r="P680" s="603"/>
      <c r="Q680" s="581"/>
      <c r="R680" s="653"/>
      <c r="S680" s="482"/>
      <c r="T680" s="482"/>
      <c r="U680" s="482"/>
      <c r="V680" s="482"/>
      <c r="W680" s="565"/>
      <c r="X680" s="565"/>
      <c r="Y680" s="565"/>
      <c r="Z680" s="565"/>
    </row>
    <row r="681" spans="1:26" s="639" customFormat="1" ht="27" customHeight="1">
      <c r="A681" s="853">
        <v>4110</v>
      </c>
      <c r="B681" s="651" t="s">
        <v>187</v>
      </c>
      <c r="C681" s="603">
        <v>111800</v>
      </c>
      <c r="D681" s="581">
        <f t="shared" si="79"/>
        <v>111800</v>
      </c>
      <c r="E681" s="581">
        <f t="shared" si="80"/>
        <v>26055</v>
      </c>
      <c r="F681" s="582">
        <f t="shared" si="76"/>
        <v>23.30500894454383</v>
      </c>
      <c r="G681" s="603">
        <v>111800</v>
      </c>
      <c r="H681" s="581">
        <v>26055</v>
      </c>
      <c r="I681" s="847">
        <f t="shared" si="81"/>
        <v>23.30500894454383</v>
      </c>
      <c r="J681" s="586"/>
      <c r="K681" s="581"/>
      <c r="L681" s="587"/>
      <c r="M681" s="772"/>
      <c r="N681" s="581"/>
      <c r="O681" s="585"/>
      <c r="P681" s="603"/>
      <c r="Q681" s="581"/>
      <c r="R681" s="653"/>
      <c r="S681" s="482"/>
      <c r="T681" s="482"/>
      <c r="U681" s="482"/>
      <c r="V681" s="482"/>
      <c r="W681" s="565"/>
      <c r="X681" s="565"/>
      <c r="Y681" s="565"/>
      <c r="Z681" s="565"/>
    </row>
    <row r="682" spans="1:26" s="639" customFormat="1" ht="12.75" customHeight="1">
      <c r="A682" s="853">
        <v>4120</v>
      </c>
      <c r="B682" s="651" t="s">
        <v>619</v>
      </c>
      <c r="C682" s="603">
        <v>18400</v>
      </c>
      <c r="D682" s="581">
        <f t="shared" si="79"/>
        <v>18400</v>
      </c>
      <c r="E682" s="581">
        <f t="shared" si="80"/>
        <v>3656</v>
      </c>
      <c r="F682" s="582">
        <f t="shared" si="76"/>
        <v>19.869565217391305</v>
      </c>
      <c r="G682" s="603">
        <v>18400</v>
      </c>
      <c r="H682" s="581">
        <v>3656</v>
      </c>
      <c r="I682" s="847">
        <f t="shared" si="81"/>
        <v>19.869565217391305</v>
      </c>
      <c r="J682" s="586"/>
      <c r="K682" s="581"/>
      <c r="L682" s="587"/>
      <c r="M682" s="772"/>
      <c r="N682" s="581"/>
      <c r="O682" s="585"/>
      <c r="P682" s="603"/>
      <c r="Q682" s="581"/>
      <c r="R682" s="653"/>
      <c r="S682" s="482"/>
      <c r="T682" s="482"/>
      <c r="U682" s="482"/>
      <c r="V682" s="482"/>
      <c r="W682" s="565"/>
      <c r="X682" s="565"/>
      <c r="Y682" s="565"/>
      <c r="Z682" s="565"/>
    </row>
    <row r="683" spans="1:26" s="639" customFormat="1" ht="12.75" customHeight="1">
      <c r="A683" s="853">
        <v>4140</v>
      </c>
      <c r="B683" s="651" t="s">
        <v>252</v>
      </c>
      <c r="C683" s="603">
        <v>1500</v>
      </c>
      <c r="D683" s="581">
        <f t="shared" si="79"/>
        <v>1500</v>
      </c>
      <c r="E683" s="581">
        <f t="shared" si="80"/>
        <v>313</v>
      </c>
      <c r="F683" s="582">
        <f t="shared" si="76"/>
        <v>20.866666666666667</v>
      </c>
      <c r="G683" s="603">
        <v>1500</v>
      </c>
      <c r="H683" s="581">
        <v>313</v>
      </c>
      <c r="I683" s="847">
        <f t="shared" si="81"/>
        <v>20.866666666666667</v>
      </c>
      <c r="J683" s="586"/>
      <c r="K683" s="581"/>
      <c r="L683" s="587"/>
      <c r="M683" s="772"/>
      <c r="N683" s="581"/>
      <c r="O683" s="585"/>
      <c r="P683" s="603"/>
      <c r="Q683" s="581"/>
      <c r="R683" s="653"/>
      <c r="S683" s="564"/>
      <c r="T683" s="564"/>
      <c r="U683" s="564"/>
      <c r="V683" s="564"/>
      <c r="W683" s="565"/>
      <c r="X683" s="565"/>
      <c r="Y683" s="565"/>
      <c r="Z683" s="565"/>
    </row>
    <row r="684" spans="1:26" s="639" customFormat="1" ht="24">
      <c r="A684" s="647">
        <v>4210</v>
      </c>
      <c r="B684" s="651" t="s">
        <v>191</v>
      </c>
      <c r="C684" s="603">
        <v>15500</v>
      </c>
      <c r="D684" s="581">
        <f t="shared" si="79"/>
        <v>16500</v>
      </c>
      <c r="E684" s="581">
        <f>SUM(H684+K684+N684+Q684)</f>
        <v>1592</v>
      </c>
      <c r="F684" s="582">
        <f>E684/D684*100</f>
        <v>9.648484848484848</v>
      </c>
      <c r="G684" s="603">
        <f>15500+1000</f>
        <v>16500</v>
      </c>
      <c r="H684" s="581">
        <v>1592</v>
      </c>
      <c r="I684" s="847">
        <f t="shared" si="81"/>
        <v>9.648484848484848</v>
      </c>
      <c r="J684" s="586"/>
      <c r="K684" s="581"/>
      <c r="L684" s="587"/>
      <c r="M684" s="772"/>
      <c r="N684" s="581"/>
      <c r="O684" s="585"/>
      <c r="P684" s="603"/>
      <c r="Q684" s="581"/>
      <c r="R684" s="653"/>
      <c r="S684" s="564"/>
      <c r="T684" s="564"/>
      <c r="U684" s="564"/>
      <c r="V684" s="564"/>
      <c r="W684" s="565"/>
      <c r="X684" s="565"/>
      <c r="Y684" s="565"/>
      <c r="Z684" s="565"/>
    </row>
    <row r="685" spans="1:26" s="639" customFormat="1" ht="27.75" customHeight="1">
      <c r="A685" s="647">
        <v>4240</v>
      </c>
      <c r="B685" s="651" t="s">
        <v>608</v>
      </c>
      <c r="C685" s="603">
        <v>12200</v>
      </c>
      <c r="D685" s="581">
        <f t="shared" si="79"/>
        <v>11200</v>
      </c>
      <c r="E685" s="581">
        <f>SUM(H685+K685+N685+Q685)</f>
        <v>1491</v>
      </c>
      <c r="F685" s="582">
        <f>E685/D685*100</f>
        <v>13.3125</v>
      </c>
      <c r="G685" s="603">
        <f>12200-1000</f>
        <v>11200</v>
      </c>
      <c r="H685" s="581">
        <v>1491</v>
      </c>
      <c r="I685" s="847">
        <f t="shared" si="81"/>
        <v>13.3125</v>
      </c>
      <c r="J685" s="586"/>
      <c r="K685" s="581"/>
      <c r="L685" s="587"/>
      <c r="M685" s="772"/>
      <c r="N685" s="581"/>
      <c r="O685" s="585"/>
      <c r="P685" s="603"/>
      <c r="Q685" s="581"/>
      <c r="R685" s="653"/>
      <c r="S685" s="564"/>
      <c r="T685" s="564"/>
      <c r="U685" s="564"/>
      <c r="V685" s="564"/>
      <c r="W685" s="565"/>
      <c r="X685" s="565"/>
      <c r="Y685" s="565"/>
      <c r="Z685" s="565"/>
    </row>
    <row r="686" spans="1:26" s="639" customFormat="1" ht="24" hidden="1">
      <c r="A686" s="647">
        <v>4270</v>
      </c>
      <c r="B686" s="651" t="s">
        <v>197</v>
      </c>
      <c r="C686" s="603"/>
      <c r="D686" s="581">
        <f>G686+J686+P686+M686</f>
        <v>0</v>
      </c>
      <c r="E686" s="581">
        <f>SUM(H686+K686+N686+Q686)</f>
        <v>0</v>
      </c>
      <c r="F686" s="582" t="e">
        <f>E686/D686*100</f>
        <v>#DIV/0!</v>
      </c>
      <c r="G686" s="603"/>
      <c r="H686" s="581"/>
      <c r="I686" s="847" t="e">
        <f>H686/G686*100</f>
        <v>#DIV/0!</v>
      </c>
      <c r="J686" s="586"/>
      <c r="K686" s="581"/>
      <c r="L686" s="587"/>
      <c r="M686" s="772"/>
      <c r="N686" s="581"/>
      <c r="O686" s="585"/>
      <c r="P686" s="603"/>
      <c r="Q686" s="581"/>
      <c r="R686" s="653"/>
      <c r="S686" s="564"/>
      <c r="T686" s="564"/>
      <c r="U686" s="564"/>
      <c r="V686" s="564"/>
      <c r="W686" s="565"/>
      <c r="X686" s="565"/>
      <c r="Y686" s="565"/>
      <c r="Z686" s="565"/>
    </row>
    <row r="687" spans="1:26" s="639" customFormat="1" ht="12.75" customHeight="1">
      <c r="A687" s="854">
        <v>4440</v>
      </c>
      <c r="B687" s="687" t="s">
        <v>203</v>
      </c>
      <c r="C687" s="674">
        <v>47800</v>
      </c>
      <c r="D687" s="581">
        <f t="shared" si="79"/>
        <v>47800</v>
      </c>
      <c r="E687" s="581">
        <f t="shared" si="80"/>
        <v>9180</v>
      </c>
      <c r="F687" s="582">
        <f t="shared" si="76"/>
        <v>19.205020920502093</v>
      </c>
      <c r="G687" s="674">
        <v>47800</v>
      </c>
      <c r="H687" s="675">
        <v>9180</v>
      </c>
      <c r="I687" s="847">
        <f t="shared" si="81"/>
        <v>19.205020920502093</v>
      </c>
      <c r="J687" s="676"/>
      <c r="K687" s="675"/>
      <c r="L687" s="677"/>
      <c r="M687" s="796"/>
      <c r="N687" s="675"/>
      <c r="O687" s="679"/>
      <c r="P687" s="674"/>
      <c r="Q687" s="675"/>
      <c r="R687" s="680"/>
      <c r="S687" s="564"/>
      <c r="T687" s="564"/>
      <c r="U687" s="564"/>
      <c r="V687" s="564"/>
      <c r="W687" s="565"/>
      <c r="X687" s="565"/>
      <c r="Y687" s="565"/>
      <c r="Z687" s="565"/>
    </row>
    <row r="688" spans="1:18" ht="12.75">
      <c r="A688" s="855">
        <v>80104</v>
      </c>
      <c r="B688" s="742" t="s">
        <v>743</v>
      </c>
      <c r="C688" s="608">
        <f>SUM(C689:C691)</f>
        <v>15699000</v>
      </c>
      <c r="D688" s="595">
        <f t="shared" si="79"/>
        <v>16099000</v>
      </c>
      <c r="E688" s="595">
        <f>H688+K688+Q688+N688</f>
        <v>5644401</v>
      </c>
      <c r="F688" s="596">
        <f t="shared" si="76"/>
        <v>35.060568979439715</v>
      </c>
      <c r="G688" s="608">
        <f>SUM(G689:G691)</f>
        <v>16099000</v>
      </c>
      <c r="H688" s="595">
        <f>SUM(H689:H691)</f>
        <v>5644401</v>
      </c>
      <c r="I688" s="624">
        <f t="shared" si="81"/>
        <v>35.060568979439715</v>
      </c>
      <c r="J688" s="600"/>
      <c r="K688" s="595"/>
      <c r="L688" s="601"/>
      <c r="M688" s="595"/>
      <c r="N688" s="595"/>
      <c r="O688" s="645"/>
      <c r="P688" s="608"/>
      <c r="Q688" s="595"/>
      <c r="R688" s="731"/>
    </row>
    <row r="689" spans="1:26" s="639" customFormat="1" ht="36">
      <c r="A689" s="853">
        <v>2510</v>
      </c>
      <c r="B689" s="651" t="s">
        <v>744</v>
      </c>
      <c r="C689" s="606">
        <f>64000+15064000</f>
        <v>15128000</v>
      </c>
      <c r="D689" s="581">
        <f t="shared" si="79"/>
        <v>15128000</v>
      </c>
      <c r="E689" s="581">
        <f>SUM(H689+K689+N689+Q689)</f>
        <v>5446000</v>
      </c>
      <c r="F689" s="582">
        <f t="shared" si="76"/>
        <v>35.99947117927022</v>
      </c>
      <c r="G689" s="603">
        <f>64000+15064000</f>
        <v>15128000</v>
      </c>
      <c r="H689" s="581">
        <v>5446000</v>
      </c>
      <c r="I689" s="627">
        <f t="shared" si="81"/>
        <v>35.99947117927022</v>
      </c>
      <c r="J689" s="586"/>
      <c r="K689" s="581"/>
      <c r="L689" s="587"/>
      <c r="M689" s="581"/>
      <c r="N689" s="581"/>
      <c r="O689" s="649"/>
      <c r="P689" s="603"/>
      <c r="Q689" s="581"/>
      <c r="R689" s="653"/>
      <c r="S689" s="564"/>
      <c r="T689" s="564"/>
      <c r="U689" s="564"/>
      <c r="V689" s="564"/>
      <c r="W689" s="565"/>
      <c r="X689" s="565"/>
      <c r="Y689" s="565"/>
      <c r="Z689" s="565"/>
    </row>
    <row r="690" spans="1:26" s="639" customFormat="1" ht="38.25" customHeight="1">
      <c r="A690" s="647">
        <v>2540</v>
      </c>
      <c r="B690" s="651" t="s">
        <v>735</v>
      </c>
      <c r="C690" s="603">
        <v>500000</v>
      </c>
      <c r="D690" s="581">
        <f>G690+J690+P690+M690</f>
        <v>500000</v>
      </c>
      <c r="E690" s="581">
        <f>SUM(H690+K690+N690+Q690)</f>
        <v>127401</v>
      </c>
      <c r="F690" s="582">
        <f>E690/D690*100</f>
        <v>25.480199999999996</v>
      </c>
      <c r="G690" s="586">
        <v>500000</v>
      </c>
      <c r="H690" s="586">
        <v>127401</v>
      </c>
      <c r="I690" s="627">
        <f t="shared" si="81"/>
        <v>25.480199999999996</v>
      </c>
      <c r="J690" s="586"/>
      <c r="K690" s="581"/>
      <c r="L690" s="587"/>
      <c r="M690" s="581"/>
      <c r="N690" s="581"/>
      <c r="O690" s="649"/>
      <c r="P690" s="586"/>
      <c r="Q690" s="581"/>
      <c r="R690" s="653"/>
      <c r="S690" s="564"/>
      <c r="T690" s="564"/>
      <c r="U690" s="564"/>
      <c r="V690" s="564"/>
      <c r="W690" s="565"/>
      <c r="X690" s="565"/>
      <c r="Y690" s="565"/>
      <c r="Z690" s="565"/>
    </row>
    <row r="691" spans="1:26" s="639" customFormat="1" ht="76.5" customHeight="1">
      <c r="A691" s="853">
        <v>6210</v>
      </c>
      <c r="B691" s="651" t="s">
        <v>604</v>
      </c>
      <c r="C691" s="674">
        <v>71000</v>
      </c>
      <c r="D691" s="581">
        <f>G691+J691+P691+M691</f>
        <v>471000</v>
      </c>
      <c r="E691" s="581">
        <f>SUM(H691+K691+N691+Q691)</f>
        <v>71000</v>
      </c>
      <c r="F691" s="582">
        <f>E691/D691*100</f>
        <v>15.074309978768577</v>
      </c>
      <c r="G691" s="586">
        <f>71000+400000</f>
        <v>471000</v>
      </c>
      <c r="H691" s="586">
        <v>71000</v>
      </c>
      <c r="I691" s="627">
        <f t="shared" si="81"/>
        <v>15.074309978768577</v>
      </c>
      <c r="J691" s="586"/>
      <c r="K691" s="581"/>
      <c r="L691" s="587"/>
      <c r="M691" s="581"/>
      <c r="N691" s="581"/>
      <c r="O691" s="649"/>
      <c r="P691" s="586"/>
      <c r="Q691" s="581"/>
      <c r="R691" s="653"/>
      <c r="S691" s="564"/>
      <c r="T691" s="564"/>
      <c r="U691" s="564"/>
      <c r="V691" s="564"/>
      <c r="W691" s="565"/>
      <c r="X691" s="565"/>
      <c r="Y691" s="565"/>
      <c r="Z691" s="565"/>
    </row>
    <row r="692" spans="1:26" s="639" customFormat="1" ht="15" customHeight="1">
      <c r="A692" s="640">
        <v>80105</v>
      </c>
      <c r="B692" s="856" t="s">
        <v>745</v>
      </c>
      <c r="C692" s="608">
        <f>SUM(C693:C708)</f>
        <v>669700</v>
      </c>
      <c r="D692" s="595">
        <f t="shared" si="79"/>
        <v>669700</v>
      </c>
      <c r="E692" s="595">
        <f>H692+K692+Q692+N692</f>
        <v>163980</v>
      </c>
      <c r="F692" s="596">
        <f aca="true" t="shared" si="82" ref="F692:F754">E692/D692*100</f>
        <v>24.48559056293863</v>
      </c>
      <c r="G692" s="595"/>
      <c r="H692" s="600"/>
      <c r="I692" s="845"/>
      <c r="J692" s="600"/>
      <c r="K692" s="595"/>
      <c r="L692" s="601"/>
      <c r="M692" s="595">
        <f>SUM(M693:M708)</f>
        <v>669700</v>
      </c>
      <c r="N692" s="595">
        <f>SUM(N693:N708)</f>
        <v>163980</v>
      </c>
      <c r="O692" s="602">
        <f aca="true" t="shared" si="83" ref="O692:O708">N692/M692*100</f>
        <v>24.48559056293863</v>
      </c>
      <c r="P692" s="595"/>
      <c r="Q692" s="595"/>
      <c r="R692" s="731"/>
      <c r="S692" s="564"/>
      <c r="T692" s="564"/>
      <c r="U692" s="564"/>
      <c r="V692" s="564"/>
      <c r="W692" s="565"/>
      <c r="X692" s="565"/>
      <c r="Y692" s="565"/>
      <c r="Z692" s="565"/>
    </row>
    <row r="693" spans="1:26" s="639" customFormat="1" ht="36">
      <c r="A693" s="647">
        <v>3020</v>
      </c>
      <c r="B693" s="651" t="s">
        <v>736</v>
      </c>
      <c r="C693" s="603">
        <v>2000</v>
      </c>
      <c r="D693" s="581">
        <f t="shared" si="79"/>
        <v>2000</v>
      </c>
      <c r="E693" s="581">
        <f aca="true" t="shared" si="84" ref="E693:E703">SUM(H693+K693+N693+Q693)</f>
        <v>0</v>
      </c>
      <c r="F693" s="582">
        <f t="shared" si="82"/>
        <v>0</v>
      </c>
      <c r="G693" s="581"/>
      <c r="H693" s="586"/>
      <c r="I693" s="847"/>
      <c r="J693" s="586"/>
      <c r="K693" s="581"/>
      <c r="L693" s="587"/>
      <c r="M693" s="603">
        <v>2000</v>
      </c>
      <c r="N693" s="615"/>
      <c r="O693" s="627">
        <f t="shared" si="83"/>
        <v>0</v>
      </c>
      <c r="P693" s="581"/>
      <c r="Q693" s="581"/>
      <c r="R693" s="653"/>
      <c r="S693" s="564"/>
      <c r="T693" s="564"/>
      <c r="U693" s="564"/>
      <c r="V693" s="564"/>
      <c r="W693" s="565"/>
      <c r="X693" s="565"/>
      <c r="Y693" s="565"/>
      <c r="Z693" s="565"/>
    </row>
    <row r="694" spans="1:26" s="639" customFormat="1" ht="26.25" customHeight="1">
      <c r="A694" s="647">
        <v>4010</v>
      </c>
      <c r="B694" s="828" t="s">
        <v>181</v>
      </c>
      <c r="C694" s="603">
        <v>482900</v>
      </c>
      <c r="D694" s="581">
        <f t="shared" si="79"/>
        <v>482900</v>
      </c>
      <c r="E694" s="581">
        <f t="shared" si="84"/>
        <v>109548</v>
      </c>
      <c r="F694" s="582">
        <f t="shared" si="82"/>
        <v>22.68544212052185</v>
      </c>
      <c r="G694" s="581"/>
      <c r="H694" s="586"/>
      <c r="I694" s="847"/>
      <c r="J694" s="586"/>
      <c r="K694" s="581"/>
      <c r="L694" s="587"/>
      <c r="M694" s="603">
        <v>482900</v>
      </c>
      <c r="N694" s="581">
        <v>109548</v>
      </c>
      <c r="O694" s="627">
        <f t="shared" si="83"/>
        <v>22.68544212052185</v>
      </c>
      <c r="P694" s="581"/>
      <c r="Q694" s="581"/>
      <c r="R694" s="653"/>
      <c r="S694" s="482"/>
      <c r="T694" s="482"/>
      <c r="U694" s="482"/>
      <c r="V694" s="482"/>
      <c r="W694" s="565"/>
      <c r="X694" s="565"/>
      <c r="Y694" s="565"/>
      <c r="Z694" s="565"/>
    </row>
    <row r="695" spans="1:26" s="639" customFormat="1" ht="24">
      <c r="A695" s="647">
        <v>4040</v>
      </c>
      <c r="B695" s="828" t="s">
        <v>185</v>
      </c>
      <c r="C695" s="603">
        <v>36400</v>
      </c>
      <c r="D695" s="581">
        <f t="shared" si="79"/>
        <v>36400</v>
      </c>
      <c r="E695" s="581">
        <f t="shared" si="84"/>
        <v>25366</v>
      </c>
      <c r="F695" s="582">
        <f t="shared" si="82"/>
        <v>69.6868131868132</v>
      </c>
      <c r="G695" s="581"/>
      <c r="H695" s="586"/>
      <c r="I695" s="847"/>
      <c r="J695" s="586"/>
      <c r="K695" s="581"/>
      <c r="L695" s="587"/>
      <c r="M695" s="603">
        <v>36400</v>
      </c>
      <c r="N695" s="581">
        <v>25366</v>
      </c>
      <c r="O695" s="627">
        <f t="shared" si="83"/>
        <v>69.6868131868132</v>
      </c>
      <c r="P695" s="581"/>
      <c r="Q695" s="581"/>
      <c r="R695" s="653"/>
      <c r="S695" s="482"/>
      <c r="T695" s="482"/>
      <c r="U695" s="482"/>
      <c r="V695" s="482"/>
      <c r="W695" s="565"/>
      <c r="X695" s="565"/>
      <c r="Y695" s="565"/>
      <c r="Z695" s="565"/>
    </row>
    <row r="696" spans="1:26" s="639" customFormat="1" ht="24" customHeight="1">
      <c r="A696" s="647">
        <v>4110</v>
      </c>
      <c r="B696" s="828" t="s">
        <v>187</v>
      </c>
      <c r="C696" s="603">
        <v>77800</v>
      </c>
      <c r="D696" s="581">
        <f t="shared" si="79"/>
        <v>77800</v>
      </c>
      <c r="E696" s="581">
        <f t="shared" si="84"/>
        <v>15864</v>
      </c>
      <c r="F696" s="582">
        <f t="shared" si="82"/>
        <v>20.39074550128535</v>
      </c>
      <c r="G696" s="581"/>
      <c r="H696" s="586"/>
      <c r="I696" s="847"/>
      <c r="J696" s="586"/>
      <c r="K696" s="581"/>
      <c r="L696" s="587"/>
      <c r="M696" s="603">
        <v>77800</v>
      </c>
      <c r="N696" s="581">
        <v>15864</v>
      </c>
      <c r="O696" s="627">
        <f t="shared" si="83"/>
        <v>20.39074550128535</v>
      </c>
      <c r="P696" s="581"/>
      <c r="Q696" s="581"/>
      <c r="R696" s="653"/>
      <c r="S696" s="482"/>
      <c r="T696" s="482"/>
      <c r="U696" s="482"/>
      <c r="V696" s="482"/>
      <c r="W696" s="565"/>
      <c r="X696" s="565"/>
      <c r="Y696" s="565"/>
      <c r="Z696" s="565"/>
    </row>
    <row r="697" spans="1:26" s="639" customFormat="1" ht="12.75">
      <c r="A697" s="647">
        <v>4120</v>
      </c>
      <c r="B697" s="828" t="s">
        <v>619</v>
      </c>
      <c r="C697" s="603">
        <v>12700</v>
      </c>
      <c r="D697" s="581">
        <f t="shared" si="79"/>
        <v>12700</v>
      </c>
      <c r="E697" s="581">
        <f t="shared" si="84"/>
        <v>2336</v>
      </c>
      <c r="F697" s="582">
        <f t="shared" si="82"/>
        <v>18.393700787401574</v>
      </c>
      <c r="G697" s="581"/>
      <c r="H697" s="586"/>
      <c r="I697" s="847"/>
      <c r="J697" s="586"/>
      <c r="K697" s="581"/>
      <c r="L697" s="587"/>
      <c r="M697" s="603">
        <v>12700</v>
      </c>
      <c r="N697" s="581">
        <v>2336</v>
      </c>
      <c r="O697" s="627">
        <f t="shared" si="83"/>
        <v>18.393700787401574</v>
      </c>
      <c r="P697" s="581"/>
      <c r="Q697" s="581"/>
      <c r="R697" s="653"/>
      <c r="S697" s="482"/>
      <c r="T697" s="482"/>
      <c r="U697" s="482"/>
      <c r="V697" s="482"/>
      <c r="W697" s="565"/>
      <c r="X697" s="565"/>
      <c r="Y697" s="565"/>
      <c r="Z697" s="565"/>
    </row>
    <row r="698" spans="1:26" s="639" customFormat="1" ht="24">
      <c r="A698" s="647">
        <v>4210</v>
      </c>
      <c r="B698" s="828" t="s">
        <v>191</v>
      </c>
      <c r="C698" s="603">
        <v>8000</v>
      </c>
      <c r="D698" s="581">
        <f t="shared" si="79"/>
        <v>8000</v>
      </c>
      <c r="E698" s="581">
        <f t="shared" si="84"/>
        <v>1722</v>
      </c>
      <c r="F698" s="582">
        <f t="shared" si="82"/>
        <v>21.525</v>
      </c>
      <c r="G698" s="581"/>
      <c r="H698" s="586"/>
      <c r="I698" s="847"/>
      <c r="J698" s="586"/>
      <c r="K698" s="581"/>
      <c r="L698" s="587"/>
      <c r="M698" s="603">
        <v>8000</v>
      </c>
      <c r="N698" s="581">
        <v>1722</v>
      </c>
      <c r="O698" s="627">
        <f t="shared" si="83"/>
        <v>21.525</v>
      </c>
      <c r="P698" s="581"/>
      <c r="Q698" s="581"/>
      <c r="R698" s="653"/>
      <c r="S698" s="564"/>
      <c r="T698" s="564"/>
      <c r="U698" s="564"/>
      <c r="V698" s="564"/>
      <c r="W698" s="565"/>
      <c r="X698" s="565"/>
      <c r="Y698" s="565"/>
      <c r="Z698" s="565"/>
    </row>
    <row r="699" spans="1:26" s="639" customFormat="1" ht="27" customHeight="1">
      <c r="A699" s="647">
        <v>4240</v>
      </c>
      <c r="B699" s="828" t="s">
        <v>608</v>
      </c>
      <c r="C699" s="603">
        <v>1000</v>
      </c>
      <c r="D699" s="581">
        <f t="shared" si="79"/>
        <v>1000</v>
      </c>
      <c r="E699" s="581">
        <f t="shared" si="84"/>
        <v>80</v>
      </c>
      <c r="F699" s="582">
        <f t="shared" si="82"/>
        <v>8</v>
      </c>
      <c r="G699" s="581"/>
      <c r="H699" s="586"/>
      <c r="I699" s="847"/>
      <c r="J699" s="586"/>
      <c r="K699" s="581"/>
      <c r="L699" s="587"/>
      <c r="M699" s="603">
        <v>1000</v>
      </c>
      <c r="N699" s="581">
        <v>80</v>
      </c>
      <c r="O699" s="627">
        <f t="shared" si="83"/>
        <v>8</v>
      </c>
      <c r="P699" s="581"/>
      <c r="Q699" s="581"/>
      <c r="R699" s="653"/>
      <c r="S699" s="564"/>
      <c r="T699" s="564"/>
      <c r="U699" s="564"/>
      <c r="V699" s="564"/>
      <c r="W699" s="565"/>
      <c r="X699" s="565"/>
      <c r="Y699" s="565"/>
      <c r="Z699" s="565"/>
    </row>
    <row r="700" spans="1:26" s="639" customFormat="1" ht="12.75">
      <c r="A700" s="647">
        <v>4260</v>
      </c>
      <c r="B700" s="828" t="s">
        <v>195</v>
      </c>
      <c r="C700" s="603">
        <v>21500</v>
      </c>
      <c r="D700" s="581">
        <f t="shared" si="79"/>
        <v>21500</v>
      </c>
      <c r="E700" s="581">
        <f t="shared" si="84"/>
        <v>0</v>
      </c>
      <c r="F700" s="582">
        <f t="shared" si="82"/>
        <v>0</v>
      </c>
      <c r="G700" s="581"/>
      <c r="H700" s="586"/>
      <c r="I700" s="847"/>
      <c r="J700" s="586"/>
      <c r="K700" s="581"/>
      <c r="L700" s="587"/>
      <c r="M700" s="603">
        <v>21500</v>
      </c>
      <c r="N700" s="581"/>
      <c r="O700" s="627">
        <f t="shared" si="83"/>
        <v>0</v>
      </c>
      <c r="P700" s="581"/>
      <c r="Q700" s="581"/>
      <c r="R700" s="653"/>
      <c r="S700" s="564"/>
      <c r="T700" s="564"/>
      <c r="U700" s="564"/>
      <c r="V700" s="564"/>
      <c r="W700" s="565"/>
      <c r="X700" s="565"/>
      <c r="Y700" s="565"/>
      <c r="Z700" s="565"/>
    </row>
    <row r="701" spans="1:26" s="639" customFormat="1" ht="15" customHeight="1">
      <c r="A701" s="647">
        <v>4270</v>
      </c>
      <c r="B701" s="828" t="s">
        <v>197</v>
      </c>
      <c r="C701" s="603">
        <v>2000</v>
      </c>
      <c r="D701" s="581">
        <f t="shared" si="79"/>
        <v>2000</v>
      </c>
      <c r="E701" s="581">
        <f t="shared" si="84"/>
        <v>0</v>
      </c>
      <c r="F701" s="582">
        <f t="shared" si="82"/>
        <v>0</v>
      </c>
      <c r="G701" s="581"/>
      <c r="H701" s="586"/>
      <c r="I701" s="847"/>
      <c r="J701" s="586"/>
      <c r="K701" s="581"/>
      <c r="L701" s="587"/>
      <c r="M701" s="603">
        <v>2000</v>
      </c>
      <c r="N701" s="581"/>
      <c r="O701" s="627">
        <f t="shared" si="83"/>
        <v>0</v>
      </c>
      <c r="P701" s="581"/>
      <c r="Q701" s="581"/>
      <c r="R701" s="653"/>
      <c r="S701" s="564"/>
      <c r="T701" s="564"/>
      <c r="U701" s="564"/>
      <c r="V701" s="564"/>
      <c r="W701" s="565"/>
      <c r="X701" s="565"/>
      <c r="Y701" s="565"/>
      <c r="Z701" s="565"/>
    </row>
    <row r="702" spans="1:26" s="639" customFormat="1" ht="15" customHeight="1">
      <c r="A702" s="647">
        <v>4280</v>
      </c>
      <c r="B702" s="651" t="s">
        <v>582</v>
      </c>
      <c r="C702" s="603">
        <v>500</v>
      </c>
      <c r="D702" s="581">
        <f t="shared" si="79"/>
        <v>500</v>
      </c>
      <c r="E702" s="581">
        <f t="shared" si="84"/>
        <v>0</v>
      </c>
      <c r="F702" s="582">
        <f t="shared" si="82"/>
        <v>0</v>
      </c>
      <c r="G702" s="581"/>
      <c r="H702" s="586"/>
      <c r="I702" s="847"/>
      <c r="J702" s="586"/>
      <c r="K702" s="581"/>
      <c r="L702" s="587"/>
      <c r="M702" s="603">
        <v>500</v>
      </c>
      <c r="N702" s="581"/>
      <c r="O702" s="627">
        <f t="shared" si="83"/>
        <v>0</v>
      </c>
      <c r="P702" s="581"/>
      <c r="Q702" s="581"/>
      <c r="R702" s="653"/>
      <c r="S702" s="564"/>
      <c r="T702" s="564"/>
      <c r="U702" s="564"/>
      <c r="V702" s="564"/>
      <c r="W702" s="565"/>
      <c r="X702" s="565"/>
      <c r="Y702" s="565"/>
      <c r="Z702" s="565"/>
    </row>
    <row r="703" spans="1:26" s="639" customFormat="1" ht="15" customHeight="1">
      <c r="A703" s="647">
        <v>4300</v>
      </c>
      <c r="B703" s="828" t="s">
        <v>199</v>
      </c>
      <c r="C703" s="603">
        <v>3000</v>
      </c>
      <c r="D703" s="581">
        <f t="shared" si="79"/>
        <v>3000</v>
      </c>
      <c r="E703" s="581">
        <f t="shared" si="84"/>
        <v>64</v>
      </c>
      <c r="F703" s="582">
        <f t="shared" si="82"/>
        <v>2.1333333333333333</v>
      </c>
      <c r="G703" s="581"/>
      <c r="H703" s="586"/>
      <c r="I703" s="847"/>
      <c r="J703" s="586"/>
      <c r="K703" s="581"/>
      <c r="L703" s="587"/>
      <c r="M703" s="603">
        <v>3000</v>
      </c>
      <c r="N703" s="581">
        <v>64</v>
      </c>
      <c r="O703" s="627">
        <f t="shared" si="83"/>
        <v>2.1333333333333333</v>
      </c>
      <c r="P703" s="581"/>
      <c r="Q703" s="581"/>
      <c r="R703" s="653"/>
      <c r="S703" s="564"/>
      <c r="T703" s="564"/>
      <c r="U703" s="564"/>
      <c r="V703" s="564"/>
      <c r="W703" s="565"/>
      <c r="X703" s="565"/>
      <c r="Y703" s="565"/>
      <c r="Z703" s="565"/>
    </row>
    <row r="704" spans="1:26" s="639" customFormat="1" ht="65.25" customHeight="1">
      <c r="A704" s="647">
        <v>4370</v>
      </c>
      <c r="B704" s="712" t="s">
        <v>432</v>
      </c>
      <c r="C704" s="603">
        <v>1000</v>
      </c>
      <c r="D704" s="581">
        <f t="shared" si="79"/>
        <v>1000</v>
      </c>
      <c r="E704" s="581">
        <f>SUM(H704+K704+N704+Q704)</f>
        <v>0</v>
      </c>
      <c r="F704" s="582">
        <f t="shared" si="82"/>
        <v>0</v>
      </c>
      <c r="G704" s="581"/>
      <c r="H704" s="586"/>
      <c r="I704" s="847"/>
      <c r="J704" s="586"/>
      <c r="K704" s="581"/>
      <c r="L704" s="587"/>
      <c r="M704" s="603">
        <v>1000</v>
      </c>
      <c r="N704" s="581"/>
      <c r="O704" s="627">
        <f t="shared" si="83"/>
        <v>0</v>
      </c>
      <c r="P704" s="581"/>
      <c r="Q704" s="581"/>
      <c r="R704" s="653"/>
      <c r="S704" s="564"/>
      <c r="T704" s="564"/>
      <c r="U704" s="564"/>
      <c r="V704" s="564"/>
      <c r="W704" s="565"/>
      <c r="X704" s="565"/>
      <c r="Y704" s="565"/>
      <c r="Z704" s="565"/>
    </row>
    <row r="705" spans="1:26" s="639" customFormat="1" ht="15" customHeight="1">
      <c r="A705" s="647">
        <v>4440</v>
      </c>
      <c r="B705" s="712" t="s">
        <v>203</v>
      </c>
      <c r="C705" s="603">
        <v>19000</v>
      </c>
      <c r="D705" s="581">
        <f t="shared" si="79"/>
        <v>19000</v>
      </c>
      <c r="E705" s="581">
        <f>SUM(H705+K705+N705+Q705)</f>
        <v>9000</v>
      </c>
      <c r="F705" s="582">
        <f t="shared" si="82"/>
        <v>47.368421052631575</v>
      </c>
      <c r="G705" s="581"/>
      <c r="H705" s="586"/>
      <c r="I705" s="847"/>
      <c r="J705" s="586"/>
      <c r="K705" s="581"/>
      <c r="L705" s="587"/>
      <c r="M705" s="603">
        <v>19000</v>
      </c>
      <c r="N705" s="581">
        <v>9000</v>
      </c>
      <c r="O705" s="627">
        <f t="shared" si="83"/>
        <v>47.368421052631575</v>
      </c>
      <c r="P705" s="581"/>
      <c r="Q705" s="581"/>
      <c r="R705" s="653"/>
      <c r="S705" s="564"/>
      <c r="T705" s="564"/>
      <c r="U705" s="564"/>
      <c r="V705" s="564"/>
      <c r="W705" s="565"/>
      <c r="X705" s="565"/>
      <c r="Y705" s="565"/>
      <c r="Z705" s="565"/>
    </row>
    <row r="706" spans="1:26" s="639" customFormat="1" ht="38.25" customHeight="1">
      <c r="A706" s="647">
        <v>4700</v>
      </c>
      <c r="B706" s="712" t="s">
        <v>588</v>
      </c>
      <c r="C706" s="603">
        <v>800</v>
      </c>
      <c r="D706" s="581">
        <f t="shared" si="79"/>
        <v>800</v>
      </c>
      <c r="E706" s="581">
        <f>SUM(H706+K706+N706+Q706)</f>
        <v>0</v>
      </c>
      <c r="F706" s="582">
        <f t="shared" si="82"/>
        <v>0</v>
      </c>
      <c r="G706" s="581"/>
      <c r="H706" s="586"/>
      <c r="I706" s="847"/>
      <c r="J706" s="586"/>
      <c r="K706" s="581"/>
      <c r="L706" s="587"/>
      <c r="M706" s="603">
        <v>800</v>
      </c>
      <c r="N706" s="581"/>
      <c r="O706" s="627">
        <f t="shared" si="83"/>
        <v>0</v>
      </c>
      <c r="P706" s="581"/>
      <c r="Q706" s="581"/>
      <c r="R706" s="653"/>
      <c r="S706" s="564"/>
      <c r="T706" s="564"/>
      <c r="U706" s="564"/>
      <c r="V706" s="564"/>
      <c r="W706" s="565"/>
      <c r="X706" s="565"/>
      <c r="Y706" s="565"/>
      <c r="Z706" s="565"/>
    </row>
    <row r="707" spans="1:26" s="639" customFormat="1" ht="53.25" customHeight="1">
      <c r="A707" s="647">
        <v>4740</v>
      </c>
      <c r="B707" s="712" t="s">
        <v>215</v>
      </c>
      <c r="C707" s="603">
        <v>500</v>
      </c>
      <c r="D707" s="581">
        <f>G707+J707+P707+M707</f>
        <v>500</v>
      </c>
      <c r="E707" s="581">
        <f>SUM(H707+K707+N707+Q707)</f>
        <v>0</v>
      </c>
      <c r="F707" s="582">
        <f>E707/D707*100</f>
        <v>0</v>
      </c>
      <c r="G707" s="581"/>
      <c r="H707" s="586"/>
      <c r="I707" s="847"/>
      <c r="J707" s="586"/>
      <c r="K707" s="581"/>
      <c r="L707" s="587"/>
      <c r="M707" s="603">
        <v>500</v>
      </c>
      <c r="N707" s="581"/>
      <c r="O707" s="627">
        <f t="shared" si="83"/>
        <v>0</v>
      </c>
      <c r="P707" s="581"/>
      <c r="Q707" s="581"/>
      <c r="R707" s="653"/>
      <c r="S707" s="564"/>
      <c r="T707" s="564"/>
      <c r="U707" s="564"/>
      <c r="V707" s="564"/>
      <c r="W707" s="565"/>
      <c r="X707" s="565"/>
      <c r="Y707" s="565"/>
      <c r="Z707" s="565"/>
    </row>
    <row r="708" spans="1:26" s="639" customFormat="1" ht="36">
      <c r="A708" s="647">
        <v>4750</v>
      </c>
      <c r="B708" s="712" t="s">
        <v>589</v>
      </c>
      <c r="C708" s="674">
        <v>600</v>
      </c>
      <c r="D708" s="675">
        <f t="shared" si="79"/>
        <v>600</v>
      </c>
      <c r="E708" s="675">
        <f>SUM(H708+K708+N708+Q708)</f>
        <v>0</v>
      </c>
      <c r="F708" s="643">
        <f t="shared" si="82"/>
        <v>0</v>
      </c>
      <c r="G708" s="675"/>
      <c r="H708" s="676"/>
      <c r="I708" s="846"/>
      <c r="J708" s="676"/>
      <c r="K708" s="675"/>
      <c r="L708" s="677"/>
      <c r="M708" s="674">
        <v>600</v>
      </c>
      <c r="N708" s="675"/>
      <c r="O708" s="627">
        <f t="shared" si="83"/>
        <v>0</v>
      </c>
      <c r="P708" s="675"/>
      <c r="Q708" s="675"/>
      <c r="R708" s="680"/>
      <c r="S708" s="564"/>
      <c r="T708" s="564"/>
      <c r="U708" s="564"/>
      <c r="V708" s="564"/>
      <c r="W708" s="565"/>
      <c r="X708" s="565"/>
      <c r="Y708" s="565"/>
      <c r="Z708" s="565"/>
    </row>
    <row r="709" spans="1:18" ht="12.75">
      <c r="A709" s="640">
        <v>80110</v>
      </c>
      <c r="B709" s="742" t="s">
        <v>746</v>
      </c>
      <c r="C709" s="608">
        <f>SUM(C710:C736)</f>
        <v>25838900</v>
      </c>
      <c r="D709" s="595">
        <f t="shared" si="79"/>
        <v>25838900</v>
      </c>
      <c r="E709" s="595">
        <f>H709+K709+Q709+N709</f>
        <v>6932206</v>
      </c>
      <c r="F709" s="857">
        <f t="shared" si="82"/>
        <v>26.82856468348111</v>
      </c>
      <c r="G709" s="608">
        <f>SUM(G710:G736)</f>
        <v>25838900</v>
      </c>
      <c r="H709" s="600">
        <f>SUM(H710:H736)</f>
        <v>6932206</v>
      </c>
      <c r="I709" s="624">
        <f t="shared" si="81"/>
        <v>26.82856468348111</v>
      </c>
      <c r="J709" s="600"/>
      <c r="K709" s="595"/>
      <c r="L709" s="601"/>
      <c r="M709" s="595"/>
      <c r="N709" s="595"/>
      <c r="O709" s="645"/>
      <c r="P709" s="608"/>
      <c r="Q709" s="595"/>
      <c r="R709" s="731"/>
    </row>
    <row r="710" spans="1:26" s="639" customFormat="1" ht="38.25" customHeight="1">
      <c r="A710" s="647">
        <v>2540</v>
      </c>
      <c r="B710" s="651" t="s">
        <v>735</v>
      </c>
      <c r="C710" s="603">
        <v>580000</v>
      </c>
      <c r="D710" s="581">
        <f t="shared" si="79"/>
        <v>580000</v>
      </c>
      <c r="E710" s="581">
        <f>SUM(H710+K710+N710+Q710)</f>
        <v>148428</v>
      </c>
      <c r="F710" s="582">
        <f t="shared" si="82"/>
        <v>25.591034482758623</v>
      </c>
      <c r="G710" s="603">
        <v>580000</v>
      </c>
      <c r="H710" s="581">
        <v>148428</v>
      </c>
      <c r="I710" s="627">
        <f t="shared" si="81"/>
        <v>25.591034482758623</v>
      </c>
      <c r="J710" s="586"/>
      <c r="K710" s="581"/>
      <c r="L710" s="587"/>
      <c r="M710" s="581"/>
      <c r="N710" s="581"/>
      <c r="O710" s="649"/>
      <c r="P710" s="603"/>
      <c r="Q710" s="581"/>
      <c r="R710" s="653"/>
      <c r="S710" s="564"/>
      <c r="T710" s="564"/>
      <c r="U710" s="564"/>
      <c r="V710" s="564"/>
      <c r="W710" s="565"/>
      <c r="X710" s="565"/>
      <c r="Y710" s="565"/>
      <c r="Z710" s="565"/>
    </row>
    <row r="711" spans="1:18" ht="36">
      <c r="A711" s="647">
        <v>3020</v>
      </c>
      <c r="B711" s="651" t="s">
        <v>736</v>
      </c>
      <c r="C711" s="603">
        <v>79400</v>
      </c>
      <c r="D711" s="581">
        <f t="shared" si="79"/>
        <v>79400</v>
      </c>
      <c r="E711" s="581">
        <f>SUM(H711+K711+N711+Q711)</f>
        <v>10218</v>
      </c>
      <c r="F711" s="582">
        <f t="shared" si="82"/>
        <v>12.869017632241814</v>
      </c>
      <c r="G711" s="603">
        <v>79400</v>
      </c>
      <c r="H711" s="581">
        <v>10218</v>
      </c>
      <c r="I711" s="627">
        <f t="shared" si="81"/>
        <v>12.869017632241814</v>
      </c>
      <c r="J711" s="586"/>
      <c r="K711" s="581"/>
      <c r="L711" s="587"/>
      <c r="M711" s="581"/>
      <c r="N711" s="581"/>
      <c r="O711" s="649"/>
      <c r="P711" s="603"/>
      <c r="Q711" s="581"/>
      <c r="R711" s="653"/>
    </row>
    <row r="712" spans="1:18" ht="28.5" customHeight="1">
      <c r="A712" s="647">
        <v>4010</v>
      </c>
      <c r="B712" s="651" t="s">
        <v>181</v>
      </c>
      <c r="C712" s="603">
        <v>14978000</v>
      </c>
      <c r="D712" s="581">
        <f t="shared" si="79"/>
        <v>14978000</v>
      </c>
      <c r="E712" s="581">
        <f>SUM(H712+K712+N712+Q712)</f>
        <v>3668552</v>
      </c>
      <c r="F712" s="582">
        <f t="shared" si="82"/>
        <v>24.492936306582987</v>
      </c>
      <c r="G712" s="603">
        <v>14978000</v>
      </c>
      <c r="H712" s="581">
        <v>3668552</v>
      </c>
      <c r="I712" s="627">
        <f t="shared" si="81"/>
        <v>24.492936306582987</v>
      </c>
      <c r="J712" s="586"/>
      <c r="K712" s="581"/>
      <c r="L712" s="587"/>
      <c r="M712" s="581"/>
      <c r="N712" s="581"/>
      <c r="O712" s="649"/>
      <c r="P712" s="603"/>
      <c r="Q712" s="581"/>
      <c r="R712" s="653"/>
    </row>
    <row r="713" spans="1:18" ht="25.5" customHeight="1">
      <c r="A713" s="647">
        <v>4040</v>
      </c>
      <c r="B713" s="651" t="s">
        <v>249</v>
      </c>
      <c r="C713" s="603">
        <v>1237200</v>
      </c>
      <c r="D713" s="581">
        <f t="shared" si="79"/>
        <v>1237200</v>
      </c>
      <c r="E713" s="581">
        <f>SUM(H713+K713+N713+Q713)</f>
        <v>847989</v>
      </c>
      <c r="F713" s="582">
        <f t="shared" si="82"/>
        <v>68.5409796314258</v>
      </c>
      <c r="G713" s="603">
        <v>1237200</v>
      </c>
      <c r="H713" s="581">
        <v>847989</v>
      </c>
      <c r="I713" s="627">
        <f t="shared" si="81"/>
        <v>68.5409796314258</v>
      </c>
      <c r="J713" s="586"/>
      <c r="K713" s="581"/>
      <c r="L713" s="587"/>
      <c r="M713" s="581"/>
      <c r="N713" s="581"/>
      <c r="O713" s="649"/>
      <c r="P713" s="603"/>
      <c r="Q713" s="581"/>
      <c r="R713" s="653"/>
    </row>
    <row r="714" spans="1:18" ht="24" customHeight="1">
      <c r="A714" s="647">
        <v>4110</v>
      </c>
      <c r="B714" s="651" t="s">
        <v>187</v>
      </c>
      <c r="C714" s="603">
        <v>2418300</v>
      </c>
      <c r="D714" s="581">
        <f t="shared" si="79"/>
        <v>2418300</v>
      </c>
      <c r="E714" s="581">
        <f aca="true" t="shared" si="85" ref="E714:E735">SUM(H714+K714+N714+Q714)</f>
        <v>541915</v>
      </c>
      <c r="F714" s="582">
        <f t="shared" si="82"/>
        <v>22.40892362403341</v>
      </c>
      <c r="G714" s="603">
        <v>2418300</v>
      </c>
      <c r="H714" s="581">
        <v>541915</v>
      </c>
      <c r="I714" s="627">
        <f t="shared" si="81"/>
        <v>22.40892362403341</v>
      </c>
      <c r="J714" s="586"/>
      <c r="K714" s="581"/>
      <c r="L714" s="587"/>
      <c r="M714" s="581"/>
      <c r="N714" s="581"/>
      <c r="O714" s="649"/>
      <c r="P714" s="603"/>
      <c r="Q714" s="581"/>
      <c r="R714" s="653"/>
    </row>
    <row r="715" spans="1:18" ht="12.75">
      <c r="A715" s="647">
        <v>4120</v>
      </c>
      <c r="B715" s="651" t="s">
        <v>619</v>
      </c>
      <c r="C715" s="603">
        <v>396300</v>
      </c>
      <c r="D715" s="581">
        <f t="shared" si="79"/>
        <v>396300</v>
      </c>
      <c r="E715" s="581">
        <f t="shared" si="85"/>
        <v>80678</v>
      </c>
      <c r="F715" s="582">
        <f t="shared" si="82"/>
        <v>20.357809740095885</v>
      </c>
      <c r="G715" s="603">
        <v>396300</v>
      </c>
      <c r="H715" s="581">
        <v>80678</v>
      </c>
      <c r="I715" s="627">
        <f t="shared" si="81"/>
        <v>20.357809740095885</v>
      </c>
      <c r="J715" s="586"/>
      <c r="K715" s="581"/>
      <c r="L715" s="587"/>
      <c r="M715" s="581"/>
      <c r="N715" s="581"/>
      <c r="O715" s="649"/>
      <c r="P715" s="603"/>
      <c r="Q715" s="581"/>
      <c r="R715" s="653"/>
    </row>
    <row r="716" spans="1:26" s="639" customFormat="1" ht="12.75">
      <c r="A716" s="647">
        <v>4140</v>
      </c>
      <c r="B716" s="651" t="s">
        <v>252</v>
      </c>
      <c r="C716" s="603">
        <v>71100</v>
      </c>
      <c r="D716" s="581">
        <f t="shared" si="79"/>
        <v>71100</v>
      </c>
      <c r="E716" s="581">
        <f t="shared" si="85"/>
        <v>15116</v>
      </c>
      <c r="F716" s="582">
        <f t="shared" si="82"/>
        <v>21.260196905766527</v>
      </c>
      <c r="G716" s="603">
        <v>71100</v>
      </c>
      <c r="H716" s="581">
        <v>15116</v>
      </c>
      <c r="I716" s="627">
        <f t="shared" si="81"/>
        <v>21.260196905766527</v>
      </c>
      <c r="J716" s="586"/>
      <c r="K716" s="581"/>
      <c r="L716" s="587"/>
      <c r="M716" s="581"/>
      <c r="N716" s="581"/>
      <c r="O716" s="649"/>
      <c r="P716" s="603"/>
      <c r="Q716" s="581"/>
      <c r="R716" s="653"/>
      <c r="S716" s="564"/>
      <c r="T716" s="564"/>
      <c r="U716" s="564"/>
      <c r="V716" s="564"/>
      <c r="W716" s="565"/>
      <c r="X716" s="565"/>
      <c r="Y716" s="565"/>
      <c r="Z716" s="565"/>
    </row>
    <row r="717" spans="1:26" s="639" customFormat="1" ht="24">
      <c r="A717" s="647">
        <v>4170</v>
      </c>
      <c r="B717" s="651" t="s">
        <v>221</v>
      </c>
      <c r="C717" s="603">
        <v>6000</v>
      </c>
      <c r="D717" s="581">
        <f t="shared" si="79"/>
        <v>6000</v>
      </c>
      <c r="E717" s="581">
        <f>SUM(H717+K717+N717+Q717)</f>
        <v>934</v>
      </c>
      <c r="F717" s="582">
        <f t="shared" si="82"/>
        <v>15.566666666666668</v>
      </c>
      <c r="G717" s="603">
        <v>6000</v>
      </c>
      <c r="H717" s="581">
        <v>934</v>
      </c>
      <c r="I717" s="627">
        <f t="shared" si="81"/>
        <v>15.566666666666668</v>
      </c>
      <c r="J717" s="586"/>
      <c r="K717" s="581"/>
      <c r="L717" s="587"/>
      <c r="M717" s="581"/>
      <c r="N717" s="581"/>
      <c r="O717" s="649"/>
      <c r="P717" s="603"/>
      <c r="Q717" s="581"/>
      <c r="R717" s="653"/>
      <c r="S717" s="482"/>
      <c r="T717" s="482"/>
      <c r="U717" s="482"/>
      <c r="V717" s="482"/>
      <c r="W717" s="565"/>
      <c r="X717" s="565"/>
      <c r="Y717" s="565"/>
      <c r="Z717" s="565"/>
    </row>
    <row r="718" spans="1:18" ht="24">
      <c r="A718" s="647">
        <v>4210</v>
      </c>
      <c r="B718" s="651" t="s">
        <v>191</v>
      </c>
      <c r="C718" s="603">
        <v>369000</v>
      </c>
      <c r="D718" s="581">
        <f t="shared" si="79"/>
        <v>369000</v>
      </c>
      <c r="E718" s="581">
        <f t="shared" si="85"/>
        <v>115092</v>
      </c>
      <c r="F718" s="582">
        <f t="shared" si="82"/>
        <v>31.190243902439025</v>
      </c>
      <c r="G718" s="603">
        <v>369000</v>
      </c>
      <c r="H718" s="581">
        <v>115092</v>
      </c>
      <c r="I718" s="627">
        <f t="shared" si="81"/>
        <v>31.190243902439025</v>
      </c>
      <c r="J718" s="586"/>
      <c r="K718" s="581"/>
      <c r="L718" s="587"/>
      <c r="M718" s="581"/>
      <c r="N718" s="581"/>
      <c r="O718" s="649"/>
      <c r="P718" s="603"/>
      <c r="Q718" s="581"/>
      <c r="R718" s="653"/>
    </row>
    <row r="719" spans="1:18" ht="24" customHeight="1">
      <c r="A719" s="647">
        <v>4240</v>
      </c>
      <c r="B719" s="651" t="s">
        <v>737</v>
      </c>
      <c r="C719" s="603">
        <v>40100</v>
      </c>
      <c r="D719" s="581">
        <f t="shared" si="79"/>
        <v>40100</v>
      </c>
      <c r="E719" s="581">
        <f t="shared" si="85"/>
        <v>8285</v>
      </c>
      <c r="F719" s="582">
        <f t="shared" si="82"/>
        <v>20.66084788029925</v>
      </c>
      <c r="G719" s="603">
        <v>40100</v>
      </c>
      <c r="H719" s="581">
        <v>8285</v>
      </c>
      <c r="I719" s="627">
        <f t="shared" si="81"/>
        <v>20.66084788029925</v>
      </c>
      <c r="J719" s="586"/>
      <c r="K719" s="581"/>
      <c r="L719" s="587"/>
      <c r="M719" s="581"/>
      <c r="N719" s="581"/>
      <c r="O719" s="649"/>
      <c r="P719" s="603"/>
      <c r="Q719" s="581"/>
      <c r="R719" s="653"/>
    </row>
    <row r="720" spans="1:18" ht="12.75">
      <c r="A720" s="647">
        <v>4260</v>
      </c>
      <c r="B720" s="579" t="s">
        <v>195</v>
      </c>
      <c r="C720" s="603">
        <v>1099900</v>
      </c>
      <c r="D720" s="581">
        <f t="shared" si="79"/>
        <v>1099900</v>
      </c>
      <c r="E720" s="581">
        <f t="shared" si="85"/>
        <v>490262</v>
      </c>
      <c r="F720" s="582">
        <f t="shared" si="82"/>
        <v>44.57332484771343</v>
      </c>
      <c r="G720" s="603">
        <v>1099900</v>
      </c>
      <c r="H720" s="581">
        <f>490263-1</f>
        <v>490262</v>
      </c>
      <c r="I720" s="627">
        <f t="shared" si="81"/>
        <v>44.57332484771343</v>
      </c>
      <c r="J720" s="586"/>
      <c r="K720" s="581"/>
      <c r="L720" s="587"/>
      <c r="M720" s="581"/>
      <c r="N720" s="581"/>
      <c r="O720" s="649"/>
      <c r="P720" s="603"/>
      <c r="Q720" s="581"/>
      <c r="R720" s="653"/>
    </row>
    <row r="721" spans="1:18" ht="24">
      <c r="A721" s="647">
        <v>4270</v>
      </c>
      <c r="B721" s="651" t="s">
        <v>197</v>
      </c>
      <c r="C721" s="603">
        <v>60500</v>
      </c>
      <c r="D721" s="581">
        <f t="shared" si="79"/>
        <v>60500</v>
      </c>
      <c r="E721" s="581">
        <f t="shared" si="85"/>
        <v>7867</v>
      </c>
      <c r="F721" s="582">
        <f t="shared" si="82"/>
        <v>13.003305785123967</v>
      </c>
      <c r="G721" s="603">
        <v>60500</v>
      </c>
      <c r="H721" s="581">
        <v>7867</v>
      </c>
      <c r="I721" s="627">
        <f t="shared" si="81"/>
        <v>13.003305785123967</v>
      </c>
      <c r="J721" s="586"/>
      <c r="K721" s="581"/>
      <c r="L721" s="587"/>
      <c r="M721" s="581"/>
      <c r="N721" s="581"/>
      <c r="O721" s="649"/>
      <c r="P721" s="603"/>
      <c r="Q721" s="581"/>
      <c r="R721" s="653"/>
    </row>
    <row r="722" spans="1:18" ht="24">
      <c r="A722" s="647">
        <v>4280</v>
      </c>
      <c r="B722" s="651" t="s">
        <v>582</v>
      </c>
      <c r="C722" s="603">
        <v>15200</v>
      </c>
      <c r="D722" s="581">
        <f t="shared" si="79"/>
        <v>15200</v>
      </c>
      <c r="E722" s="581">
        <f t="shared" si="85"/>
        <v>1987</v>
      </c>
      <c r="F722" s="582">
        <f t="shared" si="82"/>
        <v>13.072368421052632</v>
      </c>
      <c r="G722" s="603">
        <v>15200</v>
      </c>
      <c r="H722" s="581">
        <v>1987</v>
      </c>
      <c r="I722" s="627">
        <f t="shared" si="81"/>
        <v>13.072368421052632</v>
      </c>
      <c r="J722" s="586"/>
      <c r="K722" s="581"/>
      <c r="L722" s="587"/>
      <c r="M722" s="581"/>
      <c r="N722" s="581"/>
      <c r="O722" s="649"/>
      <c r="P722" s="603"/>
      <c r="Q722" s="581"/>
      <c r="R722" s="653"/>
    </row>
    <row r="723" spans="1:18" ht="17.25" customHeight="1">
      <c r="A723" s="647">
        <v>4300</v>
      </c>
      <c r="B723" s="651" t="s">
        <v>199</v>
      </c>
      <c r="C723" s="603">
        <v>333300</v>
      </c>
      <c r="D723" s="581">
        <f t="shared" si="79"/>
        <v>332100</v>
      </c>
      <c r="E723" s="581">
        <f t="shared" si="85"/>
        <v>87566</v>
      </c>
      <c r="F723" s="582">
        <f t="shared" si="82"/>
        <v>26.367359229147848</v>
      </c>
      <c r="G723" s="603">
        <f>333300-1200</f>
        <v>332100</v>
      </c>
      <c r="H723" s="581">
        <v>87566</v>
      </c>
      <c r="I723" s="627">
        <f t="shared" si="81"/>
        <v>26.367359229147848</v>
      </c>
      <c r="J723" s="586"/>
      <c r="K723" s="581"/>
      <c r="L723" s="587"/>
      <c r="M723" s="581"/>
      <c r="N723" s="581"/>
      <c r="O723" s="649"/>
      <c r="P723" s="603"/>
      <c r="Q723" s="581"/>
      <c r="R723" s="653"/>
    </row>
    <row r="724" spans="1:18" ht="24">
      <c r="A724" s="647">
        <v>4350</v>
      </c>
      <c r="B724" s="651" t="s">
        <v>584</v>
      </c>
      <c r="C724" s="603">
        <v>8000</v>
      </c>
      <c r="D724" s="581">
        <f t="shared" si="79"/>
        <v>8000</v>
      </c>
      <c r="E724" s="581">
        <f t="shared" si="85"/>
        <v>1717</v>
      </c>
      <c r="F724" s="582">
        <f t="shared" si="82"/>
        <v>21.462500000000002</v>
      </c>
      <c r="G724" s="603">
        <v>8000</v>
      </c>
      <c r="H724" s="581">
        <v>1717</v>
      </c>
      <c r="I724" s="627">
        <f t="shared" si="81"/>
        <v>21.462500000000002</v>
      </c>
      <c r="J724" s="586"/>
      <c r="K724" s="581"/>
      <c r="L724" s="587"/>
      <c r="M724" s="581"/>
      <c r="N724" s="581"/>
      <c r="O724" s="649"/>
      <c r="P724" s="603"/>
      <c r="Q724" s="581"/>
      <c r="R724" s="653"/>
    </row>
    <row r="725" spans="1:18" ht="60" customHeight="1">
      <c r="A725" s="647">
        <v>4360</v>
      </c>
      <c r="B725" s="712" t="s">
        <v>431</v>
      </c>
      <c r="C725" s="603">
        <v>1800</v>
      </c>
      <c r="D725" s="581">
        <f t="shared" si="79"/>
        <v>1800</v>
      </c>
      <c r="E725" s="581">
        <f>SUM(H725+K725+N725+Q725)</f>
        <v>438</v>
      </c>
      <c r="F725" s="582">
        <f>E725/D725*100</f>
        <v>24.333333333333336</v>
      </c>
      <c r="G725" s="603">
        <v>1800</v>
      </c>
      <c r="H725" s="581">
        <f>439-1</f>
        <v>438</v>
      </c>
      <c r="I725" s="627">
        <f t="shared" si="81"/>
        <v>24.333333333333336</v>
      </c>
      <c r="J725" s="586"/>
      <c r="K725" s="581"/>
      <c r="L725" s="587"/>
      <c r="M725" s="581"/>
      <c r="N725" s="581"/>
      <c r="O725" s="649"/>
      <c r="P725" s="603"/>
      <c r="Q725" s="581"/>
      <c r="R725" s="653"/>
    </row>
    <row r="726" spans="1:18" ht="59.25" customHeight="1">
      <c r="A726" s="647">
        <v>4370</v>
      </c>
      <c r="B726" s="712" t="s">
        <v>432</v>
      </c>
      <c r="C726" s="603">
        <v>44400</v>
      </c>
      <c r="D726" s="581">
        <f t="shared" si="79"/>
        <v>44400</v>
      </c>
      <c r="E726" s="581">
        <f>SUM(H726+K726+N726+Q726)</f>
        <v>4403</v>
      </c>
      <c r="F726" s="582">
        <f>E726/D726*100</f>
        <v>9.916666666666666</v>
      </c>
      <c r="G726" s="603">
        <v>44400</v>
      </c>
      <c r="H726" s="581">
        <v>4403</v>
      </c>
      <c r="I726" s="627">
        <f t="shared" si="81"/>
        <v>9.916666666666666</v>
      </c>
      <c r="J726" s="586"/>
      <c r="K726" s="581"/>
      <c r="L726" s="587"/>
      <c r="M726" s="581"/>
      <c r="N726" s="581"/>
      <c r="O726" s="649"/>
      <c r="P726" s="603"/>
      <c r="Q726" s="581"/>
      <c r="R726" s="653"/>
    </row>
    <row r="727" spans="1:18" ht="40.5" customHeight="1">
      <c r="A727" s="647">
        <v>4390</v>
      </c>
      <c r="B727" s="651" t="s">
        <v>222</v>
      </c>
      <c r="C727" s="603">
        <v>32100</v>
      </c>
      <c r="D727" s="581">
        <f t="shared" si="79"/>
        <v>32100</v>
      </c>
      <c r="E727" s="581">
        <f>SUM(H727+K727+N727+Q727)</f>
        <v>1591</v>
      </c>
      <c r="F727" s="582">
        <f>E727/D727*100</f>
        <v>4.956386292834891</v>
      </c>
      <c r="G727" s="603">
        <v>32100</v>
      </c>
      <c r="H727" s="581">
        <v>1591</v>
      </c>
      <c r="I727" s="627">
        <f t="shared" si="81"/>
        <v>4.956386292834891</v>
      </c>
      <c r="J727" s="586"/>
      <c r="K727" s="581"/>
      <c r="L727" s="587"/>
      <c r="M727" s="581"/>
      <c r="N727" s="581"/>
      <c r="O727" s="649"/>
      <c r="P727" s="603"/>
      <c r="Q727" s="581"/>
      <c r="R727" s="653"/>
    </row>
    <row r="728" spans="1:18" ht="24">
      <c r="A728" s="647">
        <v>4410</v>
      </c>
      <c r="B728" s="651" t="s">
        <v>173</v>
      </c>
      <c r="C728" s="603">
        <v>25800</v>
      </c>
      <c r="D728" s="581">
        <f t="shared" si="79"/>
        <v>27000</v>
      </c>
      <c r="E728" s="581">
        <f t="shared" si="85"/>
        <v>5691</v>
      </c>
      <c r="F728" s="582">
        <f t="shared" si="82"/>
        <v>21.07777777777778</v>
      </c>
      <c r="G728" s="603">
        <f>25800+1200</f>
        <v>27000</v>
      </c>
      <c r="H728" s="581">
        <v>5691</v>
      </c>
      <c r="I728" s="627">
        <f t="shared" si="81"/>
        <v>21.07777777777778</v>
      </c>
      <c r="J728" s="586"/>
      <c r="K728" s="581"/>
      <c r="L728" s="587"/>
      <c r="M728" s="581"/>
      <c r="N728" s="581"/>
      <c r="O728" s="649"/>
      <c r="P728" s="603"/>
      <c r="Q728" s="581"/>
      <c r="R728" s="653"/>
    </row>
    <row r="729" spans="1:18" ht="24">
      <c r="A729" s="647">
        <v>4420</v>
      </c>
      <c r="B729" s="651" t="s">
        <v>596</v>
      </c>
      <c r="C729" s="603">
        <v>600</v>
      </c>
      <c r="D729" s="581">
        <f t="shared" si="79"/>
        <v>600</v>
      </c>
      <c r="E729" s="581">
        <f t="shared" si="85"/>
        <v>0</v>
      </c>
      <c r="F729" s="582">
        <f t="shared" si="82"/>
        <v>0</v>
      </c>
      <c r="G729" s="603">
        <v>600</v>
      </c>
      <c r="H729" s="581"/>
      <c r="I729" s="627">
        <f t="shared" si="81"/>
        <v>0</v>
      </c>
      <c r="J729" s="586"/>
      <c r="K729" s="581"/>
      <c r="L729" s="587"/>
      <c r="M729" s="581"/>
      <c r="N729" s="581"/>
      <c r="O729" s="649"/>
      <c r="P729" s="603"/>
      <c r="Q729" s="581"/>
      <c r="R729" s="653"/>
    </row>
    <row r="730" spans="1:18" ht="12.75">
      <c r="A730" s="647">
        <v>4430</v>
      </c>
      <c r="B730" s="651" t="s">
        <v>201</v>
      </c>
      <c r="C730" s="603">
        <v>1200</v>
      </c>
      <c r="D730" s="581">
        <f t="shared" si="79"/>
        <v>1200</v>
      </c>
      <c r="E730" s="581">
        <f>SUM(H730+K730+N730+Q730)</f>
        <v>206</v>
      </c>
      <c r="F730" s="582">
        <f>E730/D730*100</f>
        <v>17.166666666666668</v>
      </c>
      <c r="G730" s="603">
        <v>1200</v>
      </c>
      <c r="H730" s="581">
        <v>206</v>
      </c>
      <c r="I730" s="627">
        <f t="shared" si="81"/>
        <v>17.166666666666668</v>
      </c>
      <c r="J730" s="586"/>
      <c r="K730" s="581"/>
      <c r="L730" s="587"/>
      <c r="M730" s="581"/>
      <c r="N730" s="581"/>
      <c r="O730" s="649"/>
      <c r="P730" s="603"/>
      <c r="Q730" s="581"/>
      <c r="R730" s="653"/>
    </row>
    <row r="731" spans="1:18" ht="12.75">
      <c r="A731" s="647">
        <v>4440</v>
      </c>
      <c r="B731" s="651" t="s">
        <v>203</v>
      </c>
      <c r="C731" s="603">
        <v>857000</v>
      </c>
      <c r="D731" s="581">
        <f t="shared" si="79"/>
        <v>857000</v>
      </c>
      <c r="E731" s="581">
        <f>SUM(H731+K731+N731+Q731)</f>
        <v>285200</v>
      </c>
      <c r="F731" s="582">
        <f>E731/D731*100</f>
        <v>33.27887981330221</v>
      </c>
      <c r="G731" s="603">
        <v>857000</v>
      </c>
      <c r="H731" s="581">
        <v>285200</v>
      </c>
      <c r="I731" s="627">
        <f t="shared" si="81"/>
        <v>33.27887981330221</v>
      </c>
      <c r="J731" s="586"/>
      <c r="K731" s="581"/>
      <c r="L731" s="587"/>
      <c r="M731" s="581"/>
      <c r="N731" s="581"/>
      <c r="O731" s="649"/>
      <c r="P731" s="603"/>
      <c r="Q731" s="581"/>
      <c r="R731" s="653"/>
    </row>
    <row r="732" spans="1:26" s="639" customFormat="1" ht="37.5" customHeight="1">
      <c r="A732" s="647">
        <v>4700</v>
      </c>
      <c r="B732" s="712" t="s">
        <v>588</v>
      </c>
      <c r="C732" s="603">
        <v>21600</v>
      </c>
      <c r="D732" s="581">
        <f t="shared" si="79"/>
        <v>21600</v>
      </c>
      <c r="E732" s="581">
        <f t="shared" si="85"/>
        <v>3545</v>
      </c>
      <c r="F732" s="582">
        <f t="shared" si="82"/>
        <v>16.412037037037035</v>
      </c>
      <c r="G732" s="603">
        <v>21600</v>
      </c>
      <c r="H732" s="581">
        <v>3545</v>
      </c>
      <c r="I732" s="627">
        <f t="shared" si="81"/>
        <v>16.412037037037035</v>
      </c>
      <c r="J732" s="586"/>
      <c r="K732" s="581"/>
      <c r="L732" s="587"/>
      <c r="M732" s="581"/>
      <c r="N732" s="581"/>
      <c r="O732" s="649"/>
      <c r="P732" s="603"/>
      <c r="Q732" s="581"/>
      <c r="R732" s="653"/>
      <c r="S732" s="564"/>
      <c r="T732" s="564"/>
      <c r="U732" s="564"/>
      <c r="V732" s="564"/>
      <c r="W732" s="565"/>
      <c r="X732" s="565"/>
      <c r="Y732" s="565"/>
      <c r="Z732" s="565"/>
    </row>
    <row r="733" spans="1:26" s="639" customFormat="1" ht="49.5" customHeight="1">
      <c r="A733" s="647">
        <v>4740</v>
      </c>
      <c r="B733" s="712" t="s">
        <v>215</v>
      </c>
      <c r="C733" s="603">
        <v>19700</v>
      </c>
      <c r="D733" s="581">
        <f t="shared" si="79"/>
        <v>19700</v>
      </c>
      <c r="E733" s="581">
        <f>SUM(H733+K733+N733+Q733)</f>
        <v>1107</v>
      </c>
      <c r="F733" s="582">
        <f>E733/D733*100</f>
        <v>5.619289340101523</v>
      </c>
      <c r="G733" s="603">
        <v>19700</v>
      </c>
      <c r="H733" s="581">
        <v>1107</v>
      </c>
      <c r="I733" s="627">
        <f t="shared" si="81"/>
        <v>5.619289340101523</v>
      </c>
      <c r="J733" s="586"/>
      <c r="K733" s="581"/>
      <c r="L733" s="587"/>
      <c r="M733" s="581"/>
      <c r="N733" s="581"/>
      <c r="O733" s="649"/>
      <c r="P733" s="603"/>
      <c r="Q733" s="581"/>
      <c r="R733" s="653"/>
      <c r="S733" s="564"/>
      <c r="T733" s="564"/>
      <c r="U733" s="564"/>
      <c r="V733" s="564"/>
      <c r="W733" s="565"/>
      <c r="X733" s="565"/>
      <c r="Y733" s="565"/>
      <c r="Z733" s="565"/>
    </row>
    <row r="734" spans="1:26" s="639" customFormat="1" ht="36">
      <c r="A734" s="647">
        <v>4750</v>
      </c>
      <c r="B734" s="712" t="s">
        <v>589</v>
      </c>
      <c r="C734" s="603">
        <v>39700</v>
      </c>
      <c r="D734" s="581">
        <f t="shared" si="79"/>
        <v>39700</v>
      </c>
      <c r="E734" s="581">
        <f>SUM(H734+K734+N734+Q734)</f>
        <v>9905</v>
      </c>
      <c r="F734" s="582">
        <f>E734/D734*100</f>
        <v>24.94962216624685</v>
      </c>
      <c r="G734" s="603">
        <v>39700</v>
      </c>
      <c r="H734" s="581">
        <v>9905</v>
      </c>
      <c r="I734" s="627">
        <f t="shared" si="81"/>
        <v>24.94962216624685</v>
      </c>
      <c r="J734" s="586"/>
      <c r="K734" s="581"/>
      <c r="L734" s="587"/>
      <c r="M734" s="581"/>
      <c r="N734" s="581"/>
      <c r="O734" s="649"/>
      <c r="P734" s="603"/>
      <c r="Q734" s="581"/>
      <c r="R734" s="653"/>
      <c r="S734" s="564"/>
      <c r="T734" s="564"/>
      <c r="U734" s="564"/>
      <c r="V734" s="564"/>
      <c r="W734" s="565"/>
      <c r="X734" s="565"/>
      <c r="Y734" s="565"/>
      <c r="Z734" s="565"/>
    </row>
    <row r="735" spans="1:26" s="639" customFormat="1" ht="72">
      <c r="A735" s="647">
        <v>6050</v>
      </c>
      <c r="B735" s="651" t="s">
        <v>508</v>
      </c>
      <c r="C735" s="603">
        <f>102700+3000000</f>
        <v>3102700</v>
      </c>
      <c r="D735" s="581">
        <f t="shared" si="79"/>
        <v>3102700</v>
      </c>
      <c r="E735" s="581">
        <f t="shared" si="85"/>
        <v>593514</v>
      </c>
      <c r="F735" s="582">
        <f t="shared" si="82"/>
        <v>19.12895220292004</v>
      </c>
      <c r="G735" s="603">
        <f>102700+3000000</f>
        <v>3102700</v>
      </c>
      <c r="H735" s="581">
        <v>593514</v>
      </c>
      <c r="I735" s="627">
        <f t="shared" si="81"/>
        <v>19.12895220292004</v>
      </c>
      <c r="J735" s="586"/>
      <c r="K735" s="581"/>
      <c r="L735" s="587"/>
      <c r="M735" s="581"/>
      <c r="N735" s="581"/>
      <c r="O735" s="649"/>
      <c r="P735" s="603"/>
      <c r="Q735" s="581"/>
      <c r="R735" s="653"/>
      <c r="S735" s="564"/>
      <c r="T735" s="564"/>
      <c r="U735" s="564"/>
      <c r="V735" s="564"/>
      <c r="W735" s="565"/>
      <c r="X735" s="565"/>
      <c r="Y735" s="565"/>
      <c r="Z735" s="565"/>
    </row>
    <row r="736" spans="1:26" s="639" customFormat="1" ht="48" hidden="1">
      <c r="A736" s="647">
        <v>6060</v>
      </c>
      <c r="B736" s="651" t="s">
        <v>628</v>
      </c>
      <c r="C736" s="603"/>
      <c r="D736" s="581">
        <f t="shared" si="79"/>
        <v>0</v>
      </c>
      <c r="E736" s="581">
        <f>SUM(H736+K736+N736+Q736)</f>
        <v>0</v>
      </c>
      <c r="F736" s="582"/>
      <c r="G736" s="603"/>
      <c r="H736" s="581"/>
      <c r="I736" s="627"/>
      <c r="J736" s="586"/>
      <c r="K736" s="581"/>
      <c r="L736" s="587"/>
      <c r="M736" s="581"/>
      <c r="N736" s="581"/>
      <c r="O736" s="649"/>
      <c r="P736" s="603"/>
      <c r="Q736" s="581"/>
      <c r="R736" s="653"/>
      <c r="S736" s="564"/>
      <c r="T736" s="564"/>
      <c r="U736" s="564"/>
      <c r="V736" s="564"/>
      <c r="W736" s="565"/>
      <c r="X736" s="565"/>
      <c r="Y736" s="565"/>
      <c r="Z736" s="565"/>
    </row>
    <row r="737" spans="1:26" s="702" customFormat="1" ht="12.75">
      <c r="A737" s="640">
        <v>80111</v>
      </c>
      <c r="B737" s="742" t="s">
        <v>747</v>
      </c>
      <c r="C737" s="608">
        <f>SUM(C738:C759)</f>
        <v>2660400</v>
      </c>
      <c r="D737" s="595">
        <f t="shared" si="79"/>
        <v>2660400</v>
      </c>
      <c r="E737" s="595">
        <f>H737+K737+Q737+N737</f>
        <v>737302</v>
      </c>
      <c r="F737" s="596">
        <f t="shared" si="82"/>
        <v>27.71395278905428</v>
      </c>
      <c r="G737" s="734"/>
      <c r="H737" s="735"/>
      <c r="I737" s="845"/>
      <c r="J737" s="736"/>
      <c r="K737" s="735"/>
      <c r="L737" s="737"/>
      <c r="M737" s="595">
        <f>SUM(M738:M759)</f>
        <v>2660400</v>
      </c>
      <c r="N737" s="595">
        <f>SUM(N738:N759)</f>
        <v>737302</v>
      </c>
      <c r="O737" s="624">
        <f aca="true" t="shared" si="86" ref="O737:O759">N737/M737*100</f>
        <v>27.71395278905428</v>
      </c>
      <c r="P737" s="608"/>
      <c r="Q737" s="595"/>
      <c r="R737" s="731"/>
      <c r="S737" s="700"/>
      <c r="T737" s="700"/>
      <c r="U737" s="700"/>
      <c r="V737" s="700"/>
      <c r="W737" s="701"/>
      <c r="X737" s="701"/>
      <c r="Y737" s="701"/>
      <c r="Z737" s="701"/>
    </row>
    <row r="738" spans="1:26" s="702" customFormat="1" ht="36">
      <c r="A738" s="667">
        <v>3020</v>
      </c>
      <c r="B738" s="651" t="s">
        <v>736</v>
      </c>
      <c r="C738" s="606">
        <v>7300</v>
      </c>
      <c r="D738" s="615">
        <f aca="true" t="shared" si="87" ref="D738:D792">G738+J738+P738+M738</f>
        <v>7300</v>
      </c>
      <c r="E738" s="615">
        <f aca="true" t="shared" si="88" ref="E738:E792">SUM(H738+K738+N738+Q738)</f>
        <v>1271</v>
      </c>
      <c r="F738" s="604">
        <f t="shared" si="82"/>
        <v>17.410958904109588</v>
      </c>
      <c r="G738" s="606"/>
      <c r="H738" s="615"/>
      <c r="I738" s="858"/>
      <c r="J738" s="618"/>
      <c r="K738" s="615"/>
      <c r="L738" s="619"/>
      <c r="M738" s="606">
        <v>7300</v>
      </c>
      <c r="N738" s="615">
        <v>1271</v>
      </c>
      <c r="O738" s="669">
        <f t="shared" si="86"/>
        <v>17.410958904109588</v>
      </c>
      <c r="P738" s="606"/>
      <c r="Q738" s="615"/>
      <c r="R738" s="671"/>
      <c r="S738" s="700"/>
      <c r="T738" s="700"/>
      <c r="U738" s="700"/>
      <c r="V738" s="700"/>
      <c r="W738" s="701"/>
      <c r="X738" s="701"/>
      <c r="Y738" s="701"/>
      <c r="Z738" s="701"/>
    </row>
    <row r="739" spans="1:26" s="702" customFormat="1" ht="28.5" customHeight="1">
      <c r="A739" s="647">
        <v>4010</v>
      </c>
      <c r="B739" s="651" t="s">
        <v>181</v>
      </c>
      <c r="C739" s="603">
        <v>1862200</v>
      </c>
      <c r="D739" s="581">
        <f t="shared" si="87"/>
        <v>1862200</v>
      </c>
      <c r="E739" s="581">
        <f t="shared" si="88"/>
        <v>448924</v>
      </c>
      <c r="F739" s="582">
        <f t="shared" si="82"/>
        <v>24.10718504994093</v>
      </c>
      <c r="G739" s="603"/>
      <c r="H739" s="581"/>
      <c r="I739" s="847"/>
      <c r="J739" s="586"/>
      <c r="K739" s="581"/>
      <c r="L739" s="587"/>
      <c r="M739" s="603">
        <v>1862200</v>
      </c>
      <c r="N739" s="581">
        <v>448924</v>
      </c>
      <c r="O739" s="627">
        <f t="shared" si="86"/>
        <v>24.10718504994093</v>
      </c>
      <c r="P739" s="603"/>
      <c r="Q739" s="581"/>
      <c r="R739" s="653"/>
      <c r="S739" s="482"/>
      <c r="T739" s="482"/>
      <c r="U739" s="482"/>
      <c r="V739" s="482"/>
      <c r="W739" s="701"/>
      <c r="X739" s="701"/>
      <c r="Y739" s="701"/>
      <c r="Z739" s="701"/>
    </row>
    <row r="740" spans="1:26" s="702" customFormat="1" ht="24">
      <c r="A740" s="647">
        <v>4040</v>
      </c>
      <c r="B740" s="651" t="s">
        <v>185</v>
      </c>
      <c r="C740" s="603">
        <v>142300</v>
      </c>
      <c r="D740" s="581">
        <f t="shared" si="87"/>
        <v>142300</v>
      </c>
      <c r="E740" s="581">
        <f t="shared" si="88"/>
        <v>96378</v>
      </c>
      <c r="F740" s="582">
        <f t="shared" si="82"/>
        <v>67.72874209416725</v>
      </c>
      <c r="G740" s="603"/>
      <c r="H740" s="581"/>
      <c r="I740" s="847"/>
      <c r="J740" s="586"/>
      <c r="K740" s="581"/>
      <c r="L740" s="587"/>
      <c r="M740" s="603">
        <v>142300</v>
      </c>
      <c r="N740" s="581">
        <v>96378</v>
      </c>
      <c r="O740" s="627">
        <f t="shared" si="86"/>
        <v>67.72874209416725</v>
      </c>
      <c r="P740" s="603"/>
      <c r="Q740" s="581"/>
      <c r="R740" s="653"/>
      <c r="S740" s="482"/>
      <c r="T740" s="482"/>
      <c r="U740" s="482"/>
      <c r="V740" s="482"/>
      <c r="W740" s="701"/>
      <c r="X740" s="701"/>
      <c r="Y740" s="701"/>
      <c r="Z740" s="701"/>
    </row>
    <row r="741" spans="1:26" s="702" customFormat="1" ht="26.25" customHeight="1">
      <c r="A741" s="647">
        <v>4110</v>
      </c>
      <c r="B741" s="651" t="s">
        <v>187</v>
      </c>
      <c r="C741" s="603">
        <v>300200</v>
      </c>
      <c r="D741" s="581">
        <f t="shared" si="87"/>
        <v>300200</v>
      </c>
      <c r="E741" s="581">
        <f t="shared" si="88"/>
        <v>63995</v>
      </c>
      <c r="F741" s="582">
        <f t="shared" si="82"/>
        <v>21.31745502998001</v>
      </c>
      <c r="G741" s="603"/>
      <c r="H741" s="581"/>
      <c r="I741" s="847"/>
      <c r="J741" s="586"/>
      <c r="K741" s="581"/>
      <c r="L741" s="587"/>
      <c r="M741" s="603">
        <v>300200</v>
      </c>
      <c r="N741" s="581">
        <v>63995</v>
      </c>
      <c r="O741" s="627">
        <f t="shared" si="86"/>
        <v>21.31745502998001</v>
      </c>
      <c r="P741" s="603"/>
      <c r="Q741" s="581"/>
      <c r="R741" s="653"/>
      <c r="S741" s="482"/>
      <c r="T741" s="482"/>
      <c r="U741" s="482"/>
      <c r="V741" s="482"/>
      <c r="W741" s="701"/>
      <c r="X741" s="701"/>
      <c r="Y741" s="701"/>
      <c r="Z741" s="701"/>
    </row>
    <row r="742" spans="1:26" s="702" customFormat="1" ht="15.75" customHeight="1">
      <c r="A742" s="647">
        <v>4120</v>
      </c>
      <c r="B742" s="651" t="s">
        <v>619</v>
      </c>
      <c r="C742" s="603">
        <v>48900</v>
      </c>
      <c r="D742" s="581">
        <f t="shared" si="87"/>
        <v>48900</v>
      </c>
      <c r="E742" s="581">
        <f t="shared" si="88"/>
        <v>9261</v>
      </c>
      <c r="F742" s="582">
        <f t="shared" si="82"/>
        <v>18.938650306748468</v>
      </c>
      <c r="G742" s="603"/>
      <c r="H742" s="581"/>
      <c r="I742" s="847"/>
      <c r="J742" s="586"/>
      <c r="K742" s="581"/>
      <c r="L742" s="587"/>
      <c r="M742" s="603">
        <v>48900</v>
      </c>
      <c r="N742" s="581">
        <v>9261</v>
      </c>
      <c r="O742" s="627">
        <f t="shared" si="86"/>
        <v>18.938650306748468</v>
      </c>
      <c r="P742" s="603"/>
      <c r="Q742" s="581"/>
      <c r="R742" s="653"/>
      <c r="S742" s="482"/>
      <c r="T742" s="482"/>
      <c r="U742" s="482"/>
      <c r="V742" s="482"/>
      <c r="W742" s="701"/>
      <c r="X742" s="701"/>
      <c r="Y742" s="701"/>
      <c r="Z742" s="701"/>
    </row>
    <row r="743" spans="1:26" s="702" customFormat="1" ht="15.75" customHeight="1">
      <c r="A743" s="647">
        <v>4140</v>
      </c>
      <c r="B743" s="651" t="s">
        <v>252</v>
      </c>
      <c r="C743" s="603">
        <v>2200</v>
      </c>
      <c r="D743" s="581">
        <f t="shared" si="87"/>
        <v>2200</v>
      </c>
      <c r="E743" s="581">
        <f t="shared" si="88"/>
        <v>559</v>
      </c>
      <c r="F743" s="582">
        <f t="shared" si="82"/>
        <v>25.40909090909091</v>
      </c>
      <c r="G743" s="603"/>
      <c r="H743" s="581"/>
      <c r="I743" s="847"/>
      <c r="J743" s="586"/>
      <c r="K743" s="581"/>
      <c r="L743" s="587"/>
      <c r="M743" s="603">
        <v>2200</v>
      </c>
      <c r="N743" s="581">
        <v>559</v>
      </c>
      <c r="O743" s="627">
        <f t="shared" si="86"/>
        <v>25.40909090909091</v>
      </c>
      <c r="P743" s="586"/>
      <c r="Q743" s="581"/>
      <c r="R743" s="653"/>
      <c r="S743" s="700"/>
      <c r="T743" s="700"/>
      <c r="U743" s="700"/>
      <c r="V743" s="700"/>
      <c r="W743" s="701"/>
      <c r="X743" s="701"/>
      <c r="Y743" s="701"/>
      <c r="Z743" s="701"/>
    </row>
    <row r="744" spans="1:26" s="702" customFormat="1" ht="24">
      <c r="A744" s="647">
        <v>4210</v>
      </c>
      <c r="B744" s="651" t="s">
        <v>191</v>
      </c>
      <c r="C744" s="603">
        <v>29000</v>
      </c>
      <c r="D744" s="581">
        <f t="shared" si="87"/>
        <v>29000</v>
      </c>
      <c r="E744" s="581">
        <f t="shared" si="88"/>
        <v>10127</v>
      </c>
      <c r="F744" s="582">
        <f t="shared" si="82"/>
        <v>34.92068965517242</v>
      </c>
      <c r="G744" s="603"/>
      <c r="H744" s="581"/>
      <c r="I744" s="847"/>
      <c r="J744" s="586"/>
      <c r="K744" s="581"/>
      <c r="L744" s="587"/>
      <c r="M744" s="603">
        <v>29000</v>
      </c>
      <c r="N744" s="581">
        <v>10127</v>
      </c>
      <c r="O744" s="627">
        <f t="shared" si="86"/>
        <v>34.92068965517242</v>
      </c>
      <c r="P744" s="581"/>
      <c r="Q744" s="581"/>
      <c r="R744" s="653"/>
      <c r="S744" s="700"/>
      <c r="T744" s="700"/>
      <c r="U744" s="700"/>
      <c r="V744" s="700"/>
      <c r="W744" s="701"/>
      <c r="X744" s="701"/>
      <c r="Y744" s="701"/>
      <c r="Z744" s="701"/>
    </row>
    <row r="745" spans="1:26" s="702" customFormat="1" ht="24.75" customHeight="1">
      <c r="A745" s="647">
        <v>4240</v>
      </c>
      <c r="B745" s="651" t="s">
        <v>748</v>
      </c>
      <c r="C745" s="603">
        <v>4000</v>
      </c>
      <c r="D745" s="581">
        <f t="shared" si="87"/>
        <v>4000</v>
      </c>
      <c r="E745" s="581">
        <f t="shared" si="88"/>
        <v>80</v>
      </c>
      <c r="F745" s="582">
        <f t="shared" si="82"/>
        <v>2</v>
      </c>
      <c r="G745" s="603"/>
      <c r="H745" s="581"/>
      <c r="I745" s="847"/>
      <c r="J745" s="586"/>
      <c r="K745" s="581"/>
      <c r="L745" s="587"/>
      <c r="M745" s="603">
        <v>4000</v>
      </c>
      <c r="N745" s="581">
        <v>80</v>
      </c>
      <c r="O745" s="627">
        <f t="shared" si="86"/>
        <v>2</v>
      </c>
      <c r="P745" s="581"/>
      <c r="Q745" s="581"/>
      <c r="R745" s="653"/>
      <c r="S745" s="700"/>
      <c r="T745" s="700"/>
      <c r="U745" s="700"/>
      <c r="V745" s="700"/>
      <c r="W745" s="701"/>
      <c r="X745" s="701"/>
      <c r="Y745" s="701"/>
      <c r="Z745" s="701"/>
    </row>
    <row r="746" spans="1:26" s="702" customFormat="1" ht="15.75" customHeight="1">
      <c r="A746" s="647">
        <v>4260</v>
      </c>
      <c r="B746" s="651" t="s">
        <v>195</v>
      </c>
      <c r="C746" s="603">
        <v>101800</v>
      </c>
      <c r="D746" s="581">
        <f t="shared" si="87"/>
        <v>101800</v>
      </c>
      <c r="E746" s="581">
        <f t="shared" si="88"/>
        <v>58197</v>
      </c>
      <c r="F746" s="582">
        <f t="shared" si="82"/>
        <v>57.16797642436149</v>
      </c>
      <c r="G746" s="603"/>
      <c r="H746" s="581"/>
      <c r="I746" s="847"/>
      <c r="J746" s="586"/>
      <c r="K746" s="581"/>
      <c r="L746" s="587"/>
      <c r="M746" s="603">
        <v>101800</v>
      </c>
      <c r="N746" s="581">
        <v>58197</v>
      </c>
      <c r="O746" s="627">
        <f t="shared" si="86"/>
        <v>57.16797642436149</v>
      </c>
      <c r="P746" s="581"/>
      <c r="Q746" s="581"/>
      <c r="R746" s="653"/>
      <c r="S746" s="700"/>
      <c r="T746" s="700"/>
      <c r="U746" s="700"/>
      <c r="V746" s="700"/>
      <c r="W746" s="701"/>
      <c r="X746" s="701"/>
      <c r="Y746" s="701"/>
      <c r="Z746" s="701"/>
    </row>
    <row r="747" spans="1:26" s="702" customFormat="1" ht="18.75" customHeight="1">
      <c r="A747" s="647">
        <v>4270</v>
      </c>
      <c r="B747" s="651" t="s">
        <v>197</v>
      </c>
      <c r="C747" s="603">
        <v>4600</v>
      </c>
      <c r="D747" s="581">
        <f t="shared" si="87"/>
        <v>4600</v>
      </c>
      <c r="E747" s="581">
        <f t="shared" si="88"/>
        <v>202</v>
      </c>
      <c r="F747" s="582">
        <f t="shared" si="82"/>
        <v>4.391304347826087</v>
      </c>
      <c r="G747" s="603"/>
      <c r="H747" s="581"/>
      <c r="I747" s="847"/>
      <c r="J747" s="586"/>
      <c r="K747" s="581"/>
      <c r="L747" s="587"/>
      <c r="M747" s="603">
        <v>4600</v>
      </c>
      <c r="N747" s="581">
        <f>203-1</f>
        <v>202</v>
      </c>
      <c r="O747" s="627">
        <f t="shared" si="86"/>
        <v>4.391304347826087</v>
      </c>
      <c r="P747" s="581"/>
      <c r="Q747" s="581"/>
      <c r="R747" s="653"/>
      <c r="S747" s="700"/>
      <c r="T747" s="700"/>
      <c r="U747" s="700"/>
      <c r="V747" s="700"/>
      <c r="W747" s="701"/>
      <c r="X747" s="701"/>
      <c r="Y747" s="701"/>
      <c r="Z747" s="701"/>
    </row>
    <row r="748" spans="1:26" s="702" customFormat="1" ht="18.75" customHeight="1">
      <c r="A748" s="647">
        <v>4280</v>
      </c>
      <c r="B748" s="651" t="s">
        <v>582</v>
      </c>
      <c r="C748" s="603">
        <v>1800</v>
      </c>
      <c r="D748" s="581">
        <f t="shared" si="87"/>
        <v>1800</v>
      </c>
      <c r="E748" s="581">
        <f t="shared" si="88"/>
        <v>149</v>
      </c>
      <c r="F748" s="582">
        <f t="shared" si="82"/>
        <v>8.277777777777779</v>
      </c>
      <c r="G748" s="603"/>
      <c r="H748" s="581"/>
      <c r="I748" s="847"/>
      <c r="J748" s="586"/>
      <c r="K748" s="581"/>
      <c r="L748" s="587"/>
      <c r="M748" s="603">
        <v>1800</v>
      </c>
      <c r="N748" s="581">
        <v>149</v>
      </c>
      <c r="O748" s="627">
        <f t="shared" si="86"/>
        <v>8.277777777777779</v>
      </c>
      <c r="P748" s="581"/>
      <c r="Q748" s="581"/>
      <c r="R748" s="653"/>
      <c r="S748" s="700"/>
      <c r="T748" s="700"/>
      <c r="U748" s="700"/>
      <c r="V748" s="700"/>
      <c r="W748" s="701"/>
      <c r="X748" s="701"/>
      <c r="Y748" s="701"/>
      <c r="Z748" s="701"/>
    </row>
    <row r="749" spans="1:26" s="702" customFormat="1" ht="18.75" customHeight="1">
      <c r="A749" s="647">
        <v>4300</v>
      </c>
      <c r="B749" s="651" t="s">
        <v>199</v>
      </c>
      <c r="C749" s="603">
        <v>52200</v>
      </c>
      <c r="D749" s="581">
        <f t="shared" si="87"/>
        <v>52130</v>
      </c>
      <c r="E749" s="581">
        <f t="shared" si="88"/>
        <v>13015</v>
      </c>
      <c r="F749" s="582">
        <f t="shared" si="82"/>
        <v>24.96643007864953</v>
      </c>
      <c r="G749" s="603"/>
      <c r="H749" s="581"/>
      <c r="I749" s="847"/>
      <c r="J749" s="586"/>
      <c r="K749" s="581"/>
      <c r="L749" s="587"/>
      <c r="M749" s="603">
        <f>52200-70</f>
        <v>52130</v>
      </c>
      <c r="N749" s="581">
        <v>13015</v>
      </c>
      <c r="O749" s="627">
        <f t="shared" si="86"/>
        <v>24.96643007864953</v>
      </c>
      <c r="P749" s="581"/>
      <c r="Q749" s="581"/>
      <c r="R749" s="653"/>
      <c r="S749" s="700"/>
      <c r="T749" s="700"/>
      <c r="U749" s="700"/>
      <c r="V749" s="700"/>
      <c r="W749" s="701"/>
      <c r="X749" s="701"/>
      <c r="Y749" s="701"/>
      <c r="Z749" s="701"/>
    </row>
    <row r="750" spans="1:26" s="702" customFormat="1" ht="24">
      <c r="A750" s="647">
        <v>4350</v>
      </c>
      <c r="B750" s="651" t="s">
        <v>584</v>
      </c>
      <c r="C750" s="603">
        <v>1000</v>
      </c>
      <c r="D750" s="581">
        <f t="shared" si="87"/>
        <v>1000</v>
      </c>
      <c r="E750" s="581">
        <f t="shared" si="88"/>
        <v>257</v>
      </c>
      <c r="F750" s="582">
        <f t="shared" si="82"/>
        <v>25.7</v>
      </c>
      <c r="G750" s="603"/>
      <c r="H750" s="581"/>
      <c r="I750" s="847"/>
      <c r="J750" s="586"/>
      <c r="K750" s="581"/>
      <c r="L750" s="587"/>
      <c r="M750" s="603">
        <v>1000</v>
      </c>
      <c r="N750" s="581">
        <v>257</v>
      </c>
      <c r="O750" s="627">
        <f t="shared" si="86"/>
        <v>25.7</v>
      </c>
      <c r="P750" s="581"/>
      <c r="Q750" s="581"/>
      <c r="R750" s="653"/>
      <c r="S750" s="700"/>
      <c r="T750" s="700"/>
      <c r="U750" s="700"/>
      <c r="V750" s="700"/>
      <c r="W750" s="701"/>
      <c r="X750" s="701"/>
      <c r="Y750" s="701"/>
      <c r="Z750" s="701"/>
    </row>
    <row r="751" spans="1:26" s="702" customFormat="1" ht="60" customHeight="1">
      <c r="A751" s="647">
        <v>4360</v>
      </c>
      <c r="B751" s="712" t="s">
        <v>431</v>
      </c>
      <c r="C751" s="603">
        <v>300</v>
      </c>
      <c r="D751" s="581">
        <f t="shared" si="87"/>
        <v>300</v>
      </c>
      <c r="E751" s="581">
        <f>SUM(H751+K751+N751+Q751)</f>
        <v>112</v>
      </c>
      <c r="F751" s="582">
        <f>E751/D751*100</f>
        <v>37.333333333333336</v>
      </c>
      <c r="G751" s="603"/>
      <c r="H751" s="581"/>
      <c r="I751" s="847"/>
      <c r="J751" s="586"/>
      <c r="K751" s="581"/>
      <c r="L751" s="587"/>
      <c r="M751" s="603">
        <v>300</v>
      </c>
      <c r="N751" s="581">
        <v>112</v>
      </c>
      <c r="O751" s="627">
        <f t="shared" si="86"/>
        <v>37.333333333333336</v>
      </c>
      <c r="P751" s="581"/>
      <c r="Q751" s="581"/>
      <c r="R751" s="653"/>
      <c r="S751" s="700"/>
      <c r="T751" s="700"/>
      <c r="U751" s="700"/>
      <c r="V751" s="700"/>
      <c r="W751" s="701"/>
      <c r="X751" s="701"/>
      <c r="Y751" s="701"/>
      <c r="Z751" s="701"/>
    </row>
    <row r="752" spans="1:26" s="702" customFormat="1" ht="60" customHeight="1">
      <c r="A752" s="647">
        <v>4370</v>
      </c>
      <c r="B752" s="712" t="s">
        <v>432</v>
      </c>
      <c r="C752" s="603">
        <v>2200</v>
      </c>
      <c r="D752" s="581">
        <f t="shared" si="87"/>
        <v>2200</v>
      </c>
      <c r="E752" s="581">
        <f>SUM(H752+K752+N752+Q752)</f>
        <v>747</v>
      </c>
      <c r="F752" s="582">
        <f>E752/D752*100</f>
        <v>33.95454545454545</v>
      </c>
      <c r="G752" s="603"/>
      <c r="H752" s="581"/>
      <c r="I752" s="847"/>
      <c r="J752" s="586"/>
      <c r="K752" s="581"/>
      <c r="L752" s="587"/>
      <c r="M752" s="603">
        <v>2200</v>
      </c>
      <c r="N752" s="581">
        <v>747</v>
      </c>
      <c r="O752" s="627">
        <f t="shared" si="86"/>
        <v>33.95454545454545</v>
      </c>
      <c r="P752" s="581"/>
      <c r="Q752" s="581"/>
      <c r="R752" s="653"/>
      <c r="S752" s="700"/>
      <c r="T752" s="700"/>
      <c r="U752" s="700"/>
      <c r="V752" s="700"/>
      <c r="W752" s="701"/>
      <c r="X752" s="701"/>
      <c r="Y752" s="701"/>
      <c r="Z752" s="701"/>
    </row>
    <row r="753" spans="1:26" s="702" customFormat="1" ht="37.5" customHeight="1">
      <c r="A753" s="647">
        <v>4390</v>
      </c>
      <c r="B753" s="651" t="s">
        <v>222</v>
      </c>
      <c r="C753" s="603">
        <v>3600</v>
      </c>
      <c r="D753" s="581">
        <f t="shared" si="87"/>
        <v>3600</v>
      </c>
      <c r="E753" s="581">
        <f>SUM(H753+K753+N753+Q753)</f>
        <v>277</v>
      </c>
      <c r="F753" s="582">
        <f>E753/D753*100</f>
        <v>7.694444444444444</v>
      </c>
      <c r="G753" s="603"/>
      <c r="H753" s="581"/>
      <c r="I753" s="847"/>
      <c r="J753" s="586"/>
      <c r="K753" s="581"/>
      <c r="L753" s="587"/>
      <c r="M753" s="603">
        <v>3600</v>
      </c>
      <c r="N753" s="581">
        <f>278-1</f>
        <v>277</v>
      </c>
      <c r="O753" s="627">
        <f t="shared" si="86"/>
        <v>7.694444444444444</v>
      </c>
      <c r="P753" s="581"/>
      <c r="Q753" s="581"/>
      <c r="R753" s="653"/>
      <c r="S753" s="700"/>
      <c r="T753" s="700"/>
      <c r="U753" s="700"/>
      <c r="V753" s="700"/>
      <c r="W753" s="701"/>
      <c r="X753" s="701"/>
      <c r="Y753" s="701"/>
      <c r="Z753" s="701"/>
    </row>
    <row r="754" spans="1:26" s="702" customFormat="1" ht="18.75" customHeight="1">
      <c r="A754" s="647">
        <v>4410</v>
      </c>
      <c r="B754" s="651" t="s">
        <v>173</v>
      </c>
      <c r="C754" s="603">
        <v>1600</v>
      </c>
      <c r="D754" s="581">
        <f t="shared" si="87"/>
        <v>1600</v>
      </c>
      <c r="E754" s="581">
        <f t="shared" si="88"/>
        <v>177</v>
      </c>
      <c r="F754" s="582">
        <f t="shared" si="82"/>
        <v>11.0625</v>
      </c>
      <c r="G754" s="603"/>
      <c r="H754" s="581"/>
      <c r="I754" s="847"/>
      <c r="J754" s="586"/>
      <c r="K754" s="581"/>
      <c r="L754" s="587"/>
      <c r="M754" s="603">
        <v>1600</v>
      </c>
      <c r="N754" s="581">
        <v>177</v>
      </c>
      <c r="O754" s="627">
        <f t="shared" si="86"/>
        <v>11.0625</v>
      </c>
      <c r="P754" s="581"/>
      <c r="Q754" s="581"/>
      <c r="R754" s="653"/>
      <c r="S754" s="700"/>
      <c r="T754" s="700"/>
      <c r="U754" s="700"/>
      <c r="V754" s="700"/>
      <c r="W754" s="701"/>
      <c r="X754" s="701"/>
      <c r="Y754" s="701"/>
      <c r="Z754" s="701"/>
    </row>
    <row r="755" spans="1:26" s="702" customFormat="1" ht="14.25" customHeight="1">
      <c r="A755" s="647">
        <v>4430</v>
      </c>
      <c r="B755" s="651" t="s">
        <v>201</v>
      </c>
      <c r="C755" s="603"/>
      <c r="D755" s="581">
        <f>G755+J755+P755+M755</f>
        <v>70</v>
      </c>
      <c r="E755" s="581">
        <f>SUM(H755+K755+N755+Q755)</f>
        <v>0</v>
      </c>
      <c r="F755" s="582">
        <f>E755/D755*100</f>
        <v>0</v>
      </c>
      <c r="G755" s="603"/>
      <c r="H755" s="581"/>
      <c r="I755" s="847"/>
      <c r="J755" s="586"/>
      <c r="K755" s="581"/>
      <c r="L755" s="587"/>
      <c r="M755" s="603">
        <v>70</v>
      </c>
      <c r="N755" s="581"/>
      <c r="O755" s="627">
        <f t="shared" si="86"/>
        <v>0</v>
      </c>
      <c r="P755" s="581"/>
      <c r="Q755" s="581"/>
      <c r="R755" s="653"/>
      <c r="S755" s="700"/>
      <c r="T755" s="700"/>
      <c r="U755" s="700"/>
      <c r="V755" s="700"/>
      <c r="W755" s="701"/>
      <c r="X755" s="701"/>
      <c r="Y755" s="701"/>
      <c r="Z755" s="701"/>
    </row>
    <row r="756" spans="1:26" s="702" customFormat="1" ht="12.75">
      <c r="A756" s="647">
        <v>4440</v>
      </c>
      <c r="B756" s="712" t="s">
        <v>203</v>
      </c>
      <c r="C756" s="603">
        <v>87600</v>
      </c>
      <c r="D756" s="581">
        <f t="shared" si="87"/>
        <v>87600</v>
      </c>
      <c r="E756" s="581">
        <f t="shared" si="88"/>
        <v>31950</v>
      </c>
      <c r="F756" s="582">
        <f>E756/D756*100</f>
        <v>36.47260273972603</v>
      </c>
      <c r="G756" s="603"/>
      <c r="H756" s="581"/>
      <c r="I756" s="847"/>
      <c r="J756" s="586"/>
      <c r="K756" s="581"/>
      <c r="L756" s="587"/>
      <c r="M756" s="603">
        <v>87600</v>
      </c>
      <c r="N756" s="581">
        <v>31950</v>
      </c>
      <c r="O756" s="627">
        <f t="shared" si="86"/>
        <v>36.47260273972603</v>
      </c>
      <c r="P756" s="581"/>
      <c r="Q756" s="581"/>
      <c r="R756" s="653"/>
      <c r="S756" s="700"/>
      <c r="T756" s="700"/>
      <c r="U756" s="700"/>
      <c r="V756" s="700"/>
      <c r="W756" s="701"/>
      <c r="X756" s="701"/>
      <c r="Y756" s="701"/>
      <c r="Z756" s="701"/>
    </row>
    <row r="757" spans="1:26" s="702" customFormat="1" ht="38.25" customHeight="1">
      <c r="A757" s="647">
        <v>4700</v>
      </c>
      <c r="B757" s="712" t="s">
        <v>588</v>
      </c>
      <c r="C757" s="603">
        <v>2300</v>
      </c>
      <c r="D757" s="581">
        <f t="shared" si="87"/>
        <v>2300</v>
      </c>
      <c r="E757" s="581">
        <f>SUM(H757+K757+N757+Q757)</f>
        <v>432</v>
      </c>
      <c r="F757" s="582">
        <f>E757/D757*100</f>
        <v>18.782608695652172</v>
      </c>
      <c r="G757" s="603"/>
      <c r="H757" s="581"/>
      <c r="I757" s="847"/>
      <c r="J757" s="586"/>
      <c r="K757" s="581"/>
      <c r="L757" s="587"/>
      <c r="M757" s="603">
        <v>2300</v>
      </c>
      <c r="N757" s="581">
        <v>432</v>
      </c>
      <c r="O757" s="627">
        <f t="shared" si="86"/>
        <v>18.782608695652172</v>
      </c>
      <c r="P757" s="581"/>
      <c r="Q757" s="581"/>
      <c r="R757" s="653"/>
      <c r="S757" s="700"/>
      <c r="T757" s="700"/>
      <c r="U757" s="700"/>
      <c r="V757" s="700"/>
      <c r="W757" s="701"/>
      <c r="X757" s="701"/>
      <c r="Y757" s="701"/>
      <c r="Z757" s="701"/>
    </row>
    <row r="758" spans="1:26" s="702" customFormat="1" ht="51" customHeight="1">
      <c r="A758" s="647">
        <v>4740</v>
      </c>
      <c r="B758" s="712" t="s">
        <v>215</v>
      </c>
      <c r="C758" s="603">
        <v>1500</v>
      </c>
      <c r="D758" s="581">
        <f t="shared" si="87"/>
        <v>1500</v>
      </c>
      <c r="E758" s="581">
        <f>SUM(H758+K758+N758+Q758)</f>
        <v>532</v>
      </c>
      <c r="F758" s="582">
        <f>E758/D758*100</f>
        <v>35.46666666666667</v>
      </c>
      <c r="G758" s="603"/>
      <c r="H758" s="581"/>
      <c r="I758" s="847"/>
      <c r="J758" s="586"/>
      <c r="K758" s="581"/>
      <c r="L758" s="587"/>
      <c r="M758" s="603">
        <v>1500</v>
      </c>
      <c r="N758" s="581">
        <v>532</v>
      </c>
      <c r="O758" s="627">
        <f t="shared" si="86"/>
        <v>35.46666666666667</v>
      </c>
      <c r="P758" s="581"/>
      <c r="Q758" s="581"/>
      <c r="R758" s="653"/>
      <c r="S758" s="700"/>
      <c r="T758" s="700"/>
      <c r="U758" s="700"/>
      <c r="V758" s="700"/>
      <c r="W758" s="701"/>
      <c r="X758" s="701"/>
      <c r="Y758" s="701"/>
      <c r="Z758" s="701"/>
    </row>
    <row r="759" spans="1:26" s="702" customFormat="1" ht="36">
      <c r="A759" s="647">
        <v>4750</v>
      </c>
      <c r="B759" s="712" t="s">
        <v>589</v>
      </c>
      <c r="C759" s="603">
        <v>3800</v>
      </c>
      <c r="D759" s="581">
        <f t="shared" si="87"/>
        <v>3800</v>
      </c>
      <c r="E759" s="581">
        <f t="shared" si="88"/>
        <v>660</v>
      </c>
      <c r="F759" s="582">
        <f aca="true" t="shared" si="89" ref="F759:F822">E759/D759*100</f>
        <v>17.36842105263158</v>
      </c>
      <c r="G759" s="603"/>
      <c r="H759" s="581"/>
      <c r="I759" s="847"/>
      <c r="J759" s="586"/>
      <c r="K759" s="581"/>
      <c r="L759" s="587"/>
      <c r="M759" s="603">
        <v>3800</v>
      </c>
      <c r="N759" s="581">
        <v>660</v>
      </c>
      <c r="O759" s="627">
        <f t="shared" si="86"/>
        <v>17.36842105263158</v>
      </c>
      <c r="P759" s="581"/>
      <c r="Q759" s="581"/>
      <c r="R759" s="653"/>
      <c r="S759" s="700"/>
      <c r="T759" s="700"/>
      <c r="U759" s="700"/>
      <c r="V759" s="700"/>
      <c r="W759" s="701"/>
      <c r="X759" s="701"/>
      <c r="Y759" s="701"/>
      <c r="Z759" s="701"/>
    </row>
    <row r="760" spans="1:26" s="702" customFormat="1" ht="24">
      <c r="A760" s="640">
        <v>80113</v>
      </c>
      <c r="B760" s="742" t="s">
        <v>509</v>
      </c>
      <c r="C760" s="608"/>
      <c r="D760" s="595">
        <f t="shared" si="87"/>
        <v>99185</v>
      </c>
      <c r="E760" s="595">
        <f t="shared" si="88"/>
        <v>23205</v>
      </c>
      <c r="F760" s="609">
        <f t="shared" si="89"/>
        <v>23.39567474920603</v>
      </c>
      <c r="G760" s="608">
        <f>SUM(G761:G770)</f>
        <v>99185</v>
      </c>
      <c r="H760" s="595">
        <f>SUM(H761:H770)</f>
        <v>23205</v>
      </c>
      <c r="I760" s="859">
        <f aca="true" t="shared" si="90" ref="I760:I770">H760/G760*100</f>
        <v>23.39567474920603</v>
      </c>
      <c r="J760" s="600"/>
      <c r="K760" s="595"/>
      <c r="L760" s="601"/>
      <c r="M760" s="608"/>
      <c r="N760" s="595"/>
      <c r="O760" s="819"/>
      <c r="P760" s="595"/>
      <c r="Q760" s="595"/>
      <c r="R760" s="685"/>
      <c r="S760" s="700"/>
      <c r="T760" s="700"/>
      <c r="U760" s="700"/>
      <c r="V760" s="700"/>
      <c r="W760" s="701"/>
      <c r="X760" s="701"/>
      <c r="Y760" s="701"/>
      <c r="Z760" s="701"/>
    </row>
    <row r="761" spans="1:26" s="702" customFormat="1" ht="36">
      <c r="A761" s="647">
        <v>3020</v>
      </c>
      <c r="B761" s="651" t="s">
        <v>736</v>
      </c>
      <c r="C761" s="603"/>
      <c r="D761" s="581">
        <f t="shared" si="87"/>
        <v>120</v>
      </c>
      <c r="E761" s="581">
        <f t="shared" si="88"/>
        <v>0</v>
      </c>
      <c r="F761" s="582">
        <f t="shared" si="89"/>
        <v>0</v>
      </c>
      <c r="G761" s="603">
        <v>120</v>
      </c>
      <c r="H761" s="581"/>
      <c r="I761" s="858">
        <f t="shared" si="90"/>
        <v>0</v>
      </c>
      <c r="J761" s="586"/>
      <c r="K761" s="581"/>
      <c r="L761" s="587"/>
      <c r="M761" s="603"/>
      <c r="N761" s="581"/>
      <c r="O761" s="627"/>
      <c r="P761" s="581"/>
      <c r="Q761" s="581"/>
      <c r="R761" s="653"/>
      <c r="S761" s="700"/>
      <c r="T761" s="700"/>
      <c r="U761" s="700"/>
      <c r="V761" s="700"/>
      <c r="W761" s="701"/>
      <c r="X761" s="701"/>
      <c r="Y761" s="701"/>
      <c r="Z761" s="701"/>
    </row>
    <row r="762" spans="1:26" s="702" customFormat="1" ht="36">
      <c r="A762" s="647">
        <v>4010</v>
      </c>
      <c r="B762" s="651" t="s">
        <v>703</v>
      </c>
      <c r="C762" s="603"/>
      <c r="D762" s="581">
        <f t="shared" si="87"/>
        <v>36720</v>
      </c>
      <c r="E762" s="581">
        <f t="shared" si="88"/>
        <v>8160</v>
      </c>
      <c r="F762" s="582">
        <f t="shared" si="89"/>
        <v>22.22222222222222</v>
      </c>
      <c r="G762" s="603">
        <v>36720</v>
      </c>
      <c r="H762" s="581">
        <v>8160</v>
      </c>
      <c r="I762" s="847">
        <f t="shared" si="90"/>
        <v>22.22222222222222</v>
      </c>
      <c r="J762" s="586"/>
      <c r="K762" s="581"/>
      <c r="L762" s="587"/>
      <c r="M762" s="603"/>
      <c r="N762" s="581"/>
      <c r="O762" s="627"/>
      <c r="P762" s="581"/>
      <c r="Q762" s="581"/>
      <c r="R762" s="653"/>
      <c r="S762" s="700"/>
      <c r="T762" s="700"/>
      <c r="U762" s="700"/>
      <c r="V762" s="700"/>
      <c r="W762" s="701"/>
      <c r="X762" s="701"/>
      <c r="Y762" s="701"/>
      <c r="Z762" s="701"/>
    </row>
    <row r="763" spans="1:26" s="702" customFormat="1" ht="24">
      <c r="A763" s="647">
        <v>4040</v>
      </c>
      <c r="B763" s="651" t="s">
        <v>185</v>
      </c>
      <c r="C763" s="603"/>
      <c r="D763" s="581">
        <f t="shared" si="87"/>
        <v>3125</v>
      </c>
      <c r="E763" s="581">
        <f t="shared" si="88"/>
        <v>2956</v>
      </c>
      <c r="F763" s="582">
        <f t="shared" si="89"/>
        <v>94.592</v>
      </c>
      <c r="G763" s="603">
        <v>3125</v>
      </c>
      <c r="H763" s="581">
        <v>2956</v>
      </c>
      <c r="I763" s="847">
        <f t="shared" si="90"/>
        <v>94.592</v>
      </c>
      <c r="J763" s="586"/>
      <c r="K763" s="581"/>
      <c r="L763" s="587"/>
      <c r="M763" s="603"/>
      <c r="N763" s="581"/>
      <c r="O763" s="627"/>
      <c r="P763" s="581"/>
      <c r="Q763" s="581"/>
      <c r="R763" s="653"/>
      <c r="S763" s="700"/>
      <c r="T763" s="700"/>
      <c r="U763" s="700"/>
      <c r="V763" s="700"/>
      <c r="W763" s="701"/>
      <c r="X763" s="701"/>
      <c r="Y763" s="701"/>
      <c r="Z763" s="701"/>
    </row>
    <row r="764" spans="1:26" s="702" customFormat="1" ht="36">
      <c r="A764" s="647">
        <v>4110</v>
      </c>
      <c r="B764" s="651" t="s">
        <v>187</v>
      </c>
      <c r="C764" s="603"/>
      <c r="D764" s="581">
        <f t="shared" si="87"/>
        <v>6565</v>
      </c>
      <c r="E764" s="581">
        <f t="shared" si="88"/>
        <v>1831</v>
      </c>
      <c r="F764" s="582">
        <f t="shared" si="89"/>
        <v>27.89032749428789</v>
      </c>
      <c r="G764" s="603">
        <v>6565</v>
      </c>
      <c r="H764" s="581">
        <v>1831</v>
      </c>
      <c r="I764" s="847">
        <f t="shared" si="90"/>
        <v>27.89032749428789</v>
      </c>
      <c r="J764" s="586"/>
      <c r="K764" s="581"/>
      <c r="L764" s="587"/>
      <c r="M764" s="603"/>
      <c r="N764" s="581"/>
      <c r="O764" s="627"/>
      <c r="P764" s="581"/>
      <c r="Q764" s="581"/>
      <c r="R764" s="653"/>
      <c r="S764" s="700"/>
      <c r="T764" s="700"/>
      <c r="U764" s="700"/>
      <c r="V764" s="700"/>
      <c r="W764" s="701"/>
      <c r="X764" s="701"/>
      <c r="Y764" s="701"/>
      <c r="Z764" s="701"/>
    </row>
    <row r="765" spans="1:26" s="702" customFormat="1" ht="12.75">
      <c r="A765" s="647">
        <v>4120</v>
      </c>
      <c r="B765" s="651" t="s">
        <v>619</v>
      </c>
      <c r="C765" s="603"/>
      <c r="D765" s="581">
        <f t="shared" si="87"/>
        <v>650</v>
      </c>
      <c r="E765" s="581">
        <f t="shared" si="88"/>
        <v>198</v>
      </c>
      <c r="F765" s="582">
        <f t="shared" si="89"/>
        <v>30.461538461538463</v>
      </c>
      <c r="G765" s="603">
        <v>650</v>
      </c>
      <c r="H765" s="581">
        <v>198</v>
      </c>
      <c r="I765" s="847">
        <f t="shared" si="90"/>
        <v>30.461538461538463</v>
      </c>
      <c r="J765" s="586"/>
      <c r="K765" s="581"/>
      <c r="L765" s="587"/>
      <c r="M765" s="603"/>
      <c r="N765" s="581"/>
      <c r="O765" s="627"/>
      <c r="P765" s="581"/>
      <c r="Q765" s="581"/>
      <c r="R765" s="653"/>
      <c r="S765" s="700"/>
      <c r="T765" s="700"/>
      <c r="U765" s="700"/>
      <c r="V765" s="700"/>
      <c r="W765" s="701"/>
      <c r="X765" s="701"/>
      <c r="Y765" s="701"/>
      <c r="Z765" s="701"/>
    </row>
    <row r="766" spans="1:26" s="702" customFormat="1" ht="24">
      <c r="A766" s="647">
        <v>4210</v>
      </c>
      <c r="B766" s="651" t="s">
        <v>191</v>
      </c>
      <c r="C766" s="603"/>
      <c r="D766" s="581">
        <f t="shared" si="87"/>
        <v>12000</v>
      </c>
      <c r="E766" s="581">
        <f t="shared" si="88"/>
        <v>1727</v>
      </c>
      <c r="F766" s="582">
        <f t="shared" si="89"/>
        <v>14.391666666666666</v>
      </c>
      <c r="G766" s="603">
        <v>12000</v>
      </c>
      <c r="H766" s="581">
        <v>1727</v>
      </c>
      <c r="I766" s="847">
        <f t="shared" si="90"/>
        <v>14.391666666666666</v>
      </c>
      <c r="J766" s="586"/>
      <c r="K766" s="581"/>
      <c r="L766" s="587"/>
      <c r="M766" s="603"/>
      <c r="N766" s="581"/>
      <c r="O766" s="627"/>
      <c r="P766" s="581"/>
      <c r="Q766" s="581"/>
      <c r="R766" s="653"/>
      <c r="S766" s="700"/>
      <c r="T766" s="700"/>
      <c r="U766" s="700"/>
      <c r="V766" s="700"/>
      <c r="W766" s="701"/>
      <c r="X766" s="701"/>
      <c r="Y766" s="701"/>
      <c r="Z766" s="701"/>
    </row>
    <row r="767" spans="1:26" s="702" customFormat="1" ht="24">
      <c r="A767" s="647">
        <v>4270</v>
      </c>
      <c r="B767" s="651" t="s">
        <v>197</v>
      </c>
      <c r="C767" s="603"/>
      <c r="D767" s="581">
        <f t="shared" si="87"/>
        <v>5000</v>
      </c>
      <c r="E767" s="581">
        <f t="shared" si="88"/>
        <v>1986</v>
      </c>
      <c r="F767" s="582">
        <f t="shared" si="89"/>
        <v>39.72</v>
      </c>
      <c r="G767" s="603">
        <v>5000</v>
      </c>
      <c r="H767" s="581">
        <v>1986</v>
      </c>
      <c r="I767" s="847">
        <f t="shared" si="90"/>
        <v>39.72</v>
      </c>
      <c r="J767" s="586"/>
      <c r="K767" s="581"/>
      <c r="L767" s="587"/>
      <c r="M767" s="603"/>
      <c r="N767" s="581"/>
      <c r="O767" s="627"/>
      <c r="P767" s="581"/>
      <c r="Q767" s="581"/>
      <c r="R767" s="653"/>
      <c r="S767" s="700"/>
      <c r="T767" s="700"/>
      <c r="U767" s="700"/>
      <c r="V767" s="700"/>
      <c r="W767" s="701"/>
      <c r="X767" s="701"/>
      <c r="Y767" s="701"/>
      <c r="Z767" s="701"/>
    </row>
    <row r="768" spans="1:26" s="702" customFormat="1" ht="24">
      <c r="A768" s="647">
        <v>4300</v>
      </c>
      <c r="B768" s="651" t="s">
        <v>216</v>
      </c>
      <c r="C768" s="603"/>
      <c r="D768" s="581">
        <f t="shared" si="87"/>
        <v>29300</v>
      </c>
      <c r="E768" s="581">
        <f t="shared" si="88"/>
        <v>4310</v>
      </c>
      <c r="F768" s="582">
        <f t="shared" si="89"/>
        <v>14.709897610921502</v>
      </c>
      <c r="G768" s="603">
        <v>29300</v>
      </c>
      <c r="H768" s="581">
        <v>4310</v>
      </c>
      <c r="I768" s="847">
        <f t="shared" si="90"/>
        <v>14.709897610921502</v>
      </c>
      <c r="J768" s="586"/>
      <c r="K768" s="581"/>
      <c r="L768" s="587"/>
      <c r="M768" s="603"/>
      <c r="N768" s="581"/>
      <c r="O768" s="627"/>
      <c r="P768" s="581"/>
      <c r="Q768" s="581"/>
      <c r="R768" s="653"/>
      <c r="S768" s="700"/>
      <c r="T768" s="700"/>
      <c r="U768" s="700"/>
      <c r="V768" s="700"/>
      <c r="W768" s="701"/>
      <c r="X768" s="701"/>
      <c r="Y768" s="701"/>
      <c r="Z768" s="701"/>
    </row>
    <row r="769" spans="1:26" s="702" customFormat="1" ht="12.75">
      <c r="A769" s="647">
        <v>4430</v>
      </c>
      <c r="B769" s="651" t="s">
        <v>201</v>
      </c>
      <c r="C769" s="603"/>
      <c r="D769" s="581">
        <f t="shared" si="87"/>
        <v>4133</v>
      </c>
      <c r="E769" s="581">
        <f t="shared" si="88"/>
        <v>465</v>
      </c>
      <c r="F769" s="582">
        <f t="shared" si="89"/>
        <v>11.25090733123639</v>
      </c>
      <c r="G769" s="603">
        <v>4133</v>
      </c>
      <c r="H769" s="581">
        <v>465</v>
      </c>
      <c r="I769" s="847">
        <f t="shared" si="90"/>
        <v>11.25090733123639</v>
      </c>
      <c r="J769" s="586"/>
      <c r="K769" s="581"/>
      <c r="L769" s="587"/>
      <c r="M769" s="603"/>
      <c r="N769" s="581"/>
      <c r="O769" s="627"/>
      <c r="P769" s="581"/>
      <c r="Q769" s="581"/>
      <c r="R769" s="653"/>
      <c r="S769" s="700"/>
      <c r="T769" s="700"/>
      <c r="U769" s="700"/>
      <c r="V769" s="700"/>
      <c r="W769" s="701"/>
      <c r="X769" s="701"/>
      <c r="Y769" s="701"/>
      <c r="Z769" s="701"/>
    </row>
    <row r="770" spans="1:26" s="702" customFormat="1" ht="12.75">
      <c r="A770" s="647">
        <v>4440</v>
      </c>
      <c r="B770" s="651" t="s">
        <v>203</v>
      </c>
      <c r="C770" s="603"/>
      <c r="D770" s="581">
        <f t="shared" si="87"/>
        <v>1572</v>
      </c>
      <c r="E770" s="581">
        <f t="shared" si="88"/>
        <v>1572</v>
      </c>
      <c r="F770" s="582">
        <f t="shared" si="89"/>
        <v>100</v>
      </c>
      <c r="G770" s="603">
        <v>1572</v>
      </c>
      <c r="H770" s="581">
        <v>1572</v>
      </c>
      <c r="I770" s="846">
        <f t="shared" si="90"/>
        <v>100</v>
      </c>
      <c r="J770" s="586"/>
      <c r="K770" s="581"/>
      <c r="L770" s="587"/>
      <c r="M770" s="603"/>
      <c r="N770" s="581"/>
      <c r="O770" s="627"/>
      <c r="P770" s="581"/>
      <c r="Q770" s="581"/>
      <c r="R770" s="653"/>
      <c r="S770" s="700"/>
      <c r="T770" s="700"/>
      <c r="U770" s="700"/>
      <c r="V770" s="700"/>
      <c r="W770" s="701"/>
      <c r="X770" s="701"/>
      <c r="Y770" s="701"/>
      <c r="Z770" s="701"/>
    </row>
    <row r="771" spans="1:26" s="702" customFormat="1" ht="48">
      <c r="A771" s="640">
        <v>80114</v>
      </c>
      <c r="B771" s="742" t="s">
        <v>749</v>
      </c>
      <c r="C771" s="608">
        <f>SUM(C772:C792)</f>
        <v>1416500</v>
      </c>
      <c r="D771" s="595">
        <f t="shared" si="87"/>
        <v>1416500</v>
      </c>
      <c r="E771" s="595">
        <f t="shared" si="88"/>
        <v>448341</v>
      </c>
      <c r="F771" s="609">
        <f t="shared" si="89"/>
        <v>31.651323685139428</v>
      </c>
      <c r="G771" s="608">
        <f>SUM(G772:G792)</f>
        <v>1416500</v>
      </c>
      <c r="H771" s="595">
        <f>SUM(H772:H792)</f>
        <v>448341</v>
      </c>
      <c r="I771" s="859">
        <f>H771/G771*100</f>
        <v>31.651323685139428</v>
      </c>
      <c r="J771" s="600"/>
      <c r="K771" s="595"/>
      <c r="L771" s="601"/>
      <c r="M771" s="608"/>
      <c r="N771" s="595"/>
      <c r="O771" s="819"/>
      <c r="P771" s="595"/>
      <c r="Q771" s="595"/>
      <c r="R771" s="685"/>
      <c r="S771" s="700"/>
      <c r="T771" s="700"/>
      <c r="U771" s="700"/>
      <c r="V771" s="700"/>
      <c r="W771" s="701"/>
      <c r="X771" s="701"/>
      <c r="Y771" s="701"/>
      <c r="Z771" s="701"/>
    </row>
    <row r="772" spans="1:26" s="702" customFormat="1" ht="36">
      <c r="A772" s="647">
        <v>3020</v>
      </c>
      <c r="B772" s="651" t="s">
        <v>736</v>
      </c>
      <c r="C772" s="606">
        <v>500</v>
      </c>
      <c r="D772" s="581">
        <f t="shared" si="87"/>
        <v>500</v>
      </c>
      <c r="E772" s="581">
        <f t="shared" si="88"/>
        <v>0</v>
      </c>
      <c r="F772" s="582">
        <f t="shared" si="89"/>
        <v>0</v>
      </c>
      <c r="G772" s="606">
        <v>500</v>
      </c>
      <c r="H772" s="615"/>
      <c r="I772" s="847">
        <f>H772/G772*100</f>
        <v>0</v>
      </c>
      <c r="J772" s="618"/>
      <c r="K772" s="615"/>
      <c r="L772" s="619"/>
      <c r="M772" s="606"/>
      <c r="N772" s="615"/>
      <c r="O772" s="669"/>
      <c r="P772" s="615"/>
      <c r="Q772" s="615"/>
      <c r="R772" s="671"/>
      <c r="S772" s="700"/>
      <c r="T772" s="700"/>
      <c r="U772" s="700"/>
      <c r="V772" s="700"/>
      <c r="W772" s="701"/>
      <c r="X772" s="701"/>
      <c r="Y772" s="701"/>
      <c r="Z772" s="701"/>
    </row>
    <row r="773" spans="1:26" s="702" customFormat="1" ht="25.5" customHeight="1">
      <c r="A773" s="647">
        <v>4010</v>
      </c>
      <c r="B773" s="651" t="s">
        <v>703</v>
      </c>
      <c r="C773" s="603">
        <v>710200</v>
      </c>
      <c r="D773" s="581">
        <f t="shared" si="87"/>
        <v>710200</v>
      </c>
      <c r="E773" s="581">
        <f t="shared" si="88"/>
        <v>160970</v>
      </c>
      <c r="F773" s="582">
        <f t="shared" si="89"/>
        <v>22.665446353139963</v>
      </c>
      <c r="G773" s="603">
        <v>710200</v>
      </c>
      <c r="H773" s="581">
        <v>160970</v>
      </c>
      <c r="I773" s="847">
        <f>H773/G773*100</f>
        <v>22.665446353139963</v>
      </c>
      <c r="J773" s="586"/>
      <c r="K773" s="581"/>
      <c r="L773" s="587"/>
      <c r="M773" s="603"/>
      <c r="N773" s="581"/>
      <c r="O773" s="627"/>
      <c r="P773" s="581"/>
      <c r="Q773" s="581"/>
      <c r="R773" s="653"/>
      <c r="S773" s="482"/>
      <c r="T773" s="482"/>
      <c r="U773" s="482"/>
      <c r="V773" s="482"/>
      <c r="W773" s="701"/>
      <c r="X773" s="701"/>
      <c r="Y773" s="701"/>
      <c r="Z773" s="701"/>
    </row>
    <row r="774" spans="1:26" s="702" customFormat="1" ht="24">
      <c r="A774" s="647">
        <v>4040</v>
      </c>
      <c r="B774" s="651" t="s">
        <v>185</v>
      </c>
      <c r="C774" s="603">
        <v>55600</v>
      </c>
      <c r="D774" s="581">
        <f t="shared" si="87"/>
        <v>55600</v>
      </c>
      <c r="E774" s="581">
        <f t="shared" si="88"/>
        <v>54175</v>
      </c>
      <c r="F774" s="582">
        <f t="shared" si="89"/>
        <v>97.43705035971223</v>
      </c>
      <c r="G774" s="603">
        <v>55600</v>
      </c>
      <c r="H774" s="581">
        <v>54175</v>
      </c>
      <c r="I774" s="847">
        <f aca="true" t="shared" si="91" ref="I774:I792">H774/G774*100</f>
        <v>97.43705035971223</v>
      </c>
      <c r="J774" s="586"/>
      <c r="K774" s="581"/>
      <c r="L774" s="587"/>
      <c r="M774" s="603"/>
      <c r="N774" s="581"/>
      <c r="O774" s="627"/>
      <c r="P774" s="581"/>
      <c r="Q774" s="581"/>
      <c r="R774" s="653"/>
      <c r="S774" s="482"/>
      <c r="T774" s="482"/>
      <c r="U774" s="482"/>
      <c r="V774" s="482"/>
      <c r="W774" s="701"/>
      <c r="X774" s="701"/>
      <c r="Y774" s="701"/>
      <c r="Z774" s="701"/>
    </row>
    <row r="775" spans="1:26" s="702" customFormat="1" ht="27" customHeight="1">
      <c r="A775" s="647">
        <v>4110</v>
      </c>
      <c r="B775" s="651" t="s">
        <v>187</v>
      </c>
      <c r="C775" s="603">
        <v>114900</v>
      </c>
      <c r="D775" s="581">
        <f t="shared" si="87"/>
        <v>114900</v>
      </c>
      <c r="E775" s="581">
        <f t="shared" si="88"/>
        <v>34860</v>
      </c>
      <c r="F775" s="582">
        <f t="shared" si="89"/>
        <v>30.33942558746736</v>
      </c>
      <c r="G775" s="603">
        <v>114900</v>
      </c>
      <c r="H775" s="581">
        <v>34860</v>
      </c>
      <c r="I775" s="847">
        <f t="shared" si="91"/>
        <v>30.33942558746736</v>
      </c>
      <c r="J775" s="586"/>
      <c r="K775" s="581"/>
      <c r="L775" s="587"/>
      <c r="M775" s="603"/>
      <c r="N775" s="581"/>
      <c r="O775" s="627"/>
      <c r="P775" s="581"/>
      <c r="Q775" s="581"/>
      <c r="R775" s="653"/>
      <c r="S775" s="482"/>
      <c r="T775" s="482"/>
      <c r="U775" s="482"/>
      <c r="V775" s="482"/>
      <c r="W775" s="701"/>
      <c r="X775" s="701"/>
      <c r="Y775" s="701"/>
      <c r="Z775" s="701"/>
    </row>
    <row r="776" spans="1:26" s="702" customFormat="1" ht="12.75">
      <c r="A776" s="647">
        <v>4120</v>
      </c>
      <c r="B776" s="651" t="s">
        <v>619</v>
      </c>
      <c r="C776" s="603">
        <v>18800</v>
      </c>
      <c r="D776" s="581">
        <f t="shared" si="87"/>
        <v>18800</v>
      </c>
      <c r="E776" s="581">
        <f t="shared" si="88"/>
        <v>2641</v>
      </c>
      <c r="F776" s="582">
        <f t="shared" si="89"/>
        <v>14.047872340425533</v>
      </c>
      <c r="G776" s="603">
        <v>18800</v>
      </c>
      <c r="H776" s="581">
        <v>2641</v>
      </c>
      <c r="I776" s="847">
        <f t="shared" si="91"/>
        <v>14.047872340425533</v>
      </c>
      <c r="J776" s="586"/>
      <c r="K776" s="581"/>
      <c r="L776" s="587"/>
      <c r="M776" s="603"/>
      <c r="N776" s="581"/>
      <c r="O776" s="627"/>
      <c r="P776" s="581"/>
      <c r="Q776" s="581"/>
      <c r="R776" s="653"/>
      <c r="S776" s="482"/>
      <c r="T776" s="482"/>
      <c r="U776" s="482"/>
      <c r="V776" s="482"/>
      <c r="W776" s="701"/>
      <c r="X776" s="701"/>
      <c r="Y776" s="701"/>
      <c r="Z776" s="701"/>
    </row>
    <row r="777" spans="1:26" s="702" customFormat="1" ht="24" hidden="1">
      <c r="A777" s="647">
        <v>4170</v>
      </c>
      <c r="B777" s="651" t="s">
        <v>221</v>
      </c>
      <c r="C777" s="603"/>
      <c r="D777" s="581">
        <f t="shared" si="87"/>
        <v>0</v>
      </c>
      <c r="E777" s="581">
        <f t="shared" si="88"/>
        <v>0</v>
      </c>
      <c r="F777" s="582" t="e">
        <f t="shared" si="89"/>
        <v>#DIV/0!</v>
      </c>
      <c r="G777" s="603"/>
      <c r="H777" s="581"/>
      <c r="I777" s="847" t="e">
        <f t="shared" si="91"/>
        <v>#DIV/0!</v>
      </c>
      <c r="J777" s="586"/>
      <c r="K777" s="581"/>
      <c r="L777" s="587"/>
      <c r="M777" s="603"/>
      <c r="N777" s="581"/>
      <c r="O777" s="627"/>
      <c r="P777" s="581"/>
      <c r="Q777" s="581"/>
      <c r="R777" s="653"/>
      <c r="S777" s="700"/>
      <c r="T777" s="700"/>
      <c r="U777" s="700"/>
      <c r="V777" s="700"/>
      <c r="W777" s="701"/>
      <c r="X777" s="701"/>
      <c r="Y777" s="701"/>
      <c r="Z777" s="701"/>
    </row>
    <row r="778" spans="1:26" s="702" customFormat="1" ht="24">
      <c r="A778" s="647">
        <v>4210</v>
      </c>
      <c r="B778" s="651" t="s">
        <v>191</v>
      </c>
      <c r="C778" s="603">
        <v>41500</v>
      </c>
      <c r="D778" s="581">
        <f t="shared" si="87"/>
        <v>41500</v>
      </c>
      <c r="E778" s="581">
        <f t="shared" si="88"/>
        <v>6924</v>
      </c>
      <c r="F778" s="582">
        <f t="shared" si="89"/>
        <v>16.68433734939759</v>
      </c>
      <c r="G778" s="603">
        <v>41500</v>
      </c>
      <c r="H778" s="581">
        <v>6924</v>
      </c>
      <c r="I778" s="847">
        <f t="shared" si="91"/>
        <v>16.68433734939759</v>
      </c>
      <c r="J778" s="586"/>
      <c r="K778" s="581"/>
      <c r="L778" s="587"/>
      <c r="M778" s="603"/>
      <c r="N778" s="581"/>
      <c r="O778" s="627"/>
      <c r="P778" s="581"/>
      <c r="Q778" s="581"/>
      <c r="R778" s="653"/>
      <c r="S778" s="700"/>
      <c r="T778" s="700"/>
      <c r="U778" s="700"/>
      <c r="V778" s="700"/>
      <c r="W778" s="701"/>
      <c r="X778" s="701"/>
      <c r="Y778" s="701"/>
      <c r="Z778" s="701"/>
    </row>
    <row r="779" spans="1:26" s="702" customFormat="1" ht="12.75">
      <c r="A779" s="647">
        <v>4260</v>
      </c>
      <c r="B779" s="651" t="s">
        <v>195</v>
      </c>
      <c r="C779" s="603">
        <v>15300</v>
      </c>
      <c r="D779" s="581">
        <f t="shared" si="87"/>
        <v>15300</v>
      </c>
      <c r="E779" s="581">
        <f t="shared" si="88"/>
        <v>3647</v>
      </c>
      <c r="F779" s="582">
        <f t="shared" si="89"/>
        <v>23.836601307189543</v>
      </c>
      <c r="G779" s="603">
        <v>15300</v>
      </c>
      <c r="H779" s="581">
        <v>3647</v>
      </c>
      <c r="I779" s="847">
        <f t="shared" si="91"/>
        <v>23.836601307189543</v>
      </c>
      <c r="J779" s="586"/>
      <c r="K779" s="581"/>
      <c r="L779" s="587"/>
      <c r="M779" s="603"/>
      <c r="N779" s="581"/>
      <c r="O779" s="627"/>
      <c r="P779" s="581"/>
      <c r="Q779" s="581"/>
      <c r="R779" s="653"/>
      <c r="S779" s="700"/>
      <c r="T779" s="700"/>
      <c r="U779" s="700"/>
      <c r="V779" s="700"/>
      <c r="W779" s="701"/>
      <c r="X779" s="701"/>
      <c r="Y779" s="701"/>
      <c r="Z779" s="701"/>
    </row>
    <row r="780" spans="1:26" s="702" customFormat="1" ht="13.5" customHeight="1">
      <c r="A780" s="647">
        <v>4270</v>
      </c>
      <c r="B780" s="651" t="s">
        <v>197</v>
      </c>
      <c r="C780" s="603">
        <v>200000</v>
      </c>
      <c r="D780" s="581">
        <f t="shared" si="87"/>
        <v>200000</v>
      </c>
      <c r="E780" s="581">
        <f t="shared" si="88"/>
        <v>20627</v>
      </c>
      <c r="F780" s="582">
        <f t="shared" si="89"/>
        <v>10.313500000000001</v>
      </c>
      <c r="G780" s="603">
        <v>200000</v>
      </c>
      <c r="H780" s="581">
        <v>20627</v>
      </c>
      <c r="I780" s="847">
        <f t="shared" si="91"/>
        <v>10.313500000000001</v>
      </c>
      <c r="J780" s="586"/>
      <c r="K780" s="581"/>
      <c r="L780" s="587"/>
      <c r="M780" s="603"/>
      <c r="N780" s="581"/>
      <c r="O780" s="627"/>
      <c r="P780" s="581"/>
      <c r="Q780" s="581"/>
      <c r="R780" s="653"/>
      <c r="S780" s="700"/>
      <c r="T780" s="700"/>
      <c r="U780" s="700"/>
      <c r="V780" s="700"/>
      <c r="W780" s="701"/>
      <c r="X780" s="701"/>
      <c r="Y780" s="701"/>
      <c r="Z780" s="701"/>
    </row>
    <row r="781" spans="1:26" s="702" customFormat="1" ht="15.75" customHeight="1">
      <c r="A781" s="647">
        <v>4280</v>
      </c>
      <c r="B781" s="651" t="s">
        <v>582</v>
      </c>
      <c r="C781" s="603">
        <v>500</v>
      </c>
      <c r="D781" s="581">
        <f t="shared" si="87"/>
        <v>500</v>
      </c>
      <c r="E781" s="581">
        <f t="shared" si="88"/>
        <v>82</v>
      </c>
      <c r="F781" s="582">
        <f t="shared" si="89"/>
        <v>16.400000000000002</v>
      </c>
      <c r="G781" s="603">
        <v>500</v>
      </c>
      <c r="H781" s="581">
        <v>82</v>
      </c>
      <c r="I781" s="847">
        <f t="shared" si="91"/>
        <v>16.400000000000002</v>
      </c>
      <c r="J781" s="586"/>
      <c r="K781" s="581"/>
      <c r="L781" s="587"/>
      <c r="M781" s="603"/>
      <c r="N781" s="581"/>
      <c r="O781" s="627"/>
      <c r="P781" s="581"/>
      <c r="Q781" s="581"/>
      <c r="R781" s="653"/>
      <c r="S781" s="700"/>
      <c r="T781" s="700"/>
      <c r="U781" s="700"/>
      <c r="V781" s="700"/>
      <c r="W781" s="701"/>
      <c r="X781" s="701"/>
      <c r="Y781" s="701"/>
      <c r="Z781" s="701"/>
    </row>
    <row r="782" spans="1:26" s="702" customFormat="1" ht="15.75" customHeight="1">
      <c r="A782" s="647">
        <v>4300</v>
      </c>
      <c r="B782" s="651" t="s">
        <v>216</v>
      </c>
      <c r="C782" s="603">
        <v>38000</v>
      </c>
      <c r="D782" s="581">
        <f t="shared" si="87"/>
        <v>38000</v>
      </c>
      <c r="E782" s="581">
        <f t="shared" si="88"/>
        <v>9748</v>
      </c>
      <c r="F782" s="582">
        <f t="shared" si="89"/>
        <v>25.652631578947364</v>
      </c>
      <c r="G782" s="603">
        <v>38000</v>
      </c>
      <c r="H782" s="581">
        <v>9748</v>
      </c>
      <c r="I782" s="847">
        <f t="shared" si="91"/>
        <v>25.652631578947364</v>
      </c>
      <c r="J782" s="586"/>
      <c r="K782" s="581"/>
      <c r="L782" s="587"/>
      <c r="M782" s="603"/>
      <c r="N782" s="581"/>
      <c r="O782" s="627"/>
      <c r="P782" s="581"/>
      <c r="Q782" s="581"/>
      <c r="R782" s="653"/>
      <c r="S782" s="700"/>
      <c r="T782" s="700"/>
      <c r="U782" s="700"/>
      <c r="V782" s="700"/>
      <c r="W782" s="701"/>
      <c r="X782" s="701"/>
      <c r="Y782" s="701"/>
      <c r="Z782" s="701"/>
    </row>
    <row r="783" spans="1:26" s="702" customFormat="1" ht="24">
      <c r="A783" s="647">
        <v>4350</v>
      </c>
      <c r="B783" s="651" t="s">
        <v>584</v>
      </c>
      <c r="C783" s="603">
        <v>3300</v>
      </c>
      <c r="D783" s="581">
        <f t="shared" si="87"/>
        <v>3300</v>
      </c>
      <c r="E783" s="581">
        <f t="shared" si="88"/>
        <v>372</v>
      </c>
      <c r="F783" s="582">
        <f t="shared" si="89"/>
        <v>11.272727272727273</v>
      </c>
      <c r="G783" s="603">
        <v>3300</v>
      </c>
      <c r="H783" s="581">
        <v>372</v>
      </c>
      <c r="I783" s="847">
        <f t="shared" si="91"/>
        <v>11.272727272727273</v>
      </c>
      <c r="J783" s="586"/>
      <c r="K783" s="581"/>
      <c r="L783" s="587"/>
      <c r="M783" s="603"/>
      <c r="N783" s="581"/>
      <c r="O783" s="627"/>
      <c r="P783" s="581"/>
      <c r="Q783" s="581"/>
      <c r="R783" s="653"/>
      <c r="S783" s="700"/>
      <c r="T783" s="700"/>
      <c r="U783" s="700"/>
      <c r="V783" s="700"/>
      <c r="W783" s="701"/>
      <c r="X783" s="701"/>
      <c r="Y783" s="701"/>
      <c r="Z783" s="701"/>
    </row>
    <row r="784" spans="1:26" s="702" customFormat="1" ht="59.25" customHeight="1">
      <c r="A784" s="647">
        <v>4370</v>
      </c>
      <c r="B784" s="712" t="s">
        <v>432</v>
      </c>
      <c r="C784" s="603">
        <v>8000</v>
      </c>
      <c r="D784" s="581">
        <f t="shared" si="87"/>
        <v>8000</v>
      </c>
      <c r="E784" s="581">
        <f t="shared" si="88"/>
        <v>1149</v>
      </c>
      <c r="F784" s="582">
        <f t="shared" si="89"/>
        <v>14.3625</v>
      </c>
      <c r="G784" s="603">
        <v>8000</v>
      </c>
      <c r="H784" s="581">
        <v>1149</v>
      </c>
      <c r="I784" s="847">
        <f t="shared" si="91"/>
        <v>14.3625</v>
      </c>
      <c r="J784" s="586"/>
      <c r="K784" s="581"/>
      <c r="L784" s="587"/>
      <c r="M784" s="603"/>
      <c r="N784" s="581"/>
      <c r="O784" s="627"/>
      <c r="P784" s="581"/>
      <c r="Q784" s="581"/>
      <c r="R784" s="653"/>
      <c r="S784" s="700"/>
      <c r="T784" s="700"/>
      <c r="U784" s="700"/>
      <c r="V784" s="700"/>
      <c r="W784" s="701"/>
      <c r="X784" s="701"/>
      <c r="Y784" s="701"/>
      <c r="Z784" s="701"/>
    </row>
    <row r="785" spans="1:26" s="702" customFormat="1" ht="15.75" customHeight="1">
      <c r="A785" s="647">
        <v>4410</v>
      </c>
      <c r="B785" s="651" t="s">
        <v>173</v>
      </c>
      <c r="C785" s="603">
        <v>4300</v>
      </c>
      <c r="D785" s="581">
        <f t="shared" si="87"/>
        <v>4300</v>
      </c>
      <c r="E785" s="581">
        <f t="shared" si="88"/>
        <v>959</v>
      </c>
      <c r="F785" s="582">
        <f t="shared" si="89"/>
        <v>22.302325581395348</v>
      </c>
      <c r="G785" s="603">
        <v>4300</v>
      </c>
      <c r="H785" s="581">
        <v>959</v>
      </c>
      <c r="I785" s="847">
        <f t="shared" si="91"/>
        <v>22.302325581395348</v>
      </c>
      <c r="J785" s="586"/>
      <c r="K785" s="581"/>
      <c r="L785" s="587"/>
      <c r="M785" s="603"/>
      <c r="N785" s="581"/>
      <c r="O785" s="627"/>
      <c r="P785" s="581"/>
      <c r="Q785" s="581"/>
      <c r="R785" s="653"/>
      <c r="S785" s="700"/>
      <c r="T785" s="700"/>
      <c r="U785" s="700"/>
      <c r="V785" s="700"/>
      <c r="W785" s="701"/>
      <c r="X785" s="701"/>
      <c r="Y785" s="701"/>
      <c r="Z785" s="701"/>
    </row>
    <row r="786" spans="1:26" s="702" customFormat="1" ht="12.75">
      <c r="A786" s="647">
        <v>4430</v>
      </c>
      <c r="B786" s="651" t="s">
        <v>201</v>
      </c>
      <c r="C786" s="603">
        <v>900</v>
      </c>
      <c r="D786" s="581">
        <f t="shared" si="87"/>
        <v>900</v>
      </c>
      <c r="E786" s="581">
        <f t="shared" si="88"/>
        <v>90</v>
      </c>
      <c r="F786" s="582">
        <f t="shared" si="89"/>
        <v>10</v>
      </c>
      <c r="G786" s="603">
        <v>900</v>
      </c>
      <c r="H786" s="581">
        <v>90</v>
      </c>
      <c r="I786" s="847">
        <f t="shared" si="91"/>
        <v>10</v>
      </c>
      <c r="J786" s="586"/>
      <c r="K786" s="581"/>
      <c r="L786" s="587"/>
      <c r="M786" s="603"/>
      <c r="N786" s="581"/>
      <c r="O786" s="627"/>
      <c r="P786" s="581"/>
      <c r="Q786" s="581"/>
      <c r="R786" s="653"/>
      <c r="S786" s="700"/>
      <c r="T786" s="700"/>
      <c r="U786" s="700"/>
      <c r="V786" s="700"/>
      <c r="W786" s="701"/>
      <c r="X786" s="701"/>
      <c r="Y786" s="701"/>
      <c r="Z786" s="701"/>
    </row>
    <row r="787" spans="1:26" s="702" customFormat="1" ht="12.75">
      <c r="A787" s="647">
        <v>4440</v>
      </c>
      <c r="B787" s="651" t="s">
        <v>203</v>
      </c>
      <c r="C787" s="603">
        <v>20900</v>
      </c>
      <c r="D787" s="581">
        <f t="shared" si="87"/>
        <v>20900</v>
      </c>
      <c r="E787" s="581">
        <f t="shared" si="88"/>
        <v>0</v>
      </c>
      <c r="F787" s="582">
        <f t="shared" si="89"/>
        <v>0</v>
      </c>
      <c r="G787" s="603">
        <v>20900</v>
      </c>
      <c r="H787" s="581"/>
      <c r="I787" s="847">
        <f t="shared" si="91"/>
        <v>0</v>
      </c>
      <c r="J787" s="586"/>
      <c r="K787" s="581"/>
      <c r="L787" s="587"/>
      <c r="M787" s="603"/>
      <c r="N787" s="581"/>
      <c r="O787" s="627"/>
      <c r="P787" s="581"/>
      <c r="Q787" s="581"/>
      <c r="R787" s="653"/>
      <c r="S787" s="700"/>
      <c r="T787" s="700"/>
      <c r="U787" s="700"/>
      <c r="V787" s="700"/>
      <c r="W787" s="701"/>
      <c r="X787" s="701"/>
      <c r="Y787" s="701"/>
      <c r="Z787" s="701"/>
    </row>
    <row r="788" spans="1:26" s="702" customFormat="1" ht="38.25" customHeight="1">
      <c r="A788" s="647">
        <v>4700</v>
      </c>
      <c r="B788" s="712" t="s">
        <v>588</v>
      </c>
      <c r="C788" s="603">
        <v>4000</v>
      </c>
      <c r="D788" s="581">
        <f t="shared" si="87"/>
        <v>4000</v>
      </c>
      <c r="E788" s="581">
        <f t="shared" si="88"/>
        <v>610</v>
      </c>
      <c r="F788" s="582">
        <f t="shared" si="89"/>
        <v>15.25</v>
      </c>
      <c r="G788" s="603">
        <v>4000</v>
      </c>
      <c r="H788" s="581">
        <v>610</v>
      </c>
      <c r="I788" s="847">
        <f t="shared" si="91"/>
        <v>15.25</v>
      </c>
      <c r="J788" s="586"/>
      <c r="K788" s="581"/>
      <c r="L788" s="587"/>
      <c r="M788" s="603"/>
      <c r="N788" s="581"/>
      <c r="O788" s="627"/>
      <c r="P788" s="581"/>
      <c r="Q788" s="581"/>
      <c r="R788" s="653"/>
      <c r="S788" s="700"/>
      <c r="T788" s="700"/>
      <c r="U788" s="700"/>
      <c r="V788" s="700"/>
      <c r="W788" s="701"/>
      <c r="X788" s="701"/>
      <c r="Y788" s="701"/>
      <c r="Z788" s="701"/>
    </row>
    <row r="789" spans="1:26" s="702" customFormat="1" ht="51.75" customHeight="1">
      <c r="A789" s="647">
        <v>4740</v>
      </c>
      <c r="B789" s="712" t="s">
        <v>215</v>
      </c>
      <c r="C789" s="603">
        <v>3500</v>
      </c>
      <c r="D789" s="581">
        <f t="shared" si="87"/>
        <v>3500</v>
      </c>
      <c r="E789" s="581">
        <f t="shared" si="88"/>
        <v>373</v>
      </c>
      <c r="F789" s="582">
        <f t="shared" si="89"/>
        <v>10.657142857142857</v>
      </c>
      <c r="G789" s="603">
        <v>3500</v>
      </c>
      <c r="H789" s="581">
        <v>373</v>
      </c>
      <c r="I789" s="847">
        <f t="shared" si="91"/>
        <v>10.657142857142857</v>
      </c>
      <c r="J789" s="586"/>
      <c r="K789" s="581"/>
      <c r="L789" s="587"/>
      <c r="M789" s="603"/>
      <c r="N789" s="581"/>
      <c r="O789" s="627"/>
      <c r="P789" s="581"/>
      <c r="Q789" s="581"/>
      <c r="R789" s="653"/>
      <c r="S789" s="700"/>
      <c r="T789" s="700"/>
      <c r="U789" s="700"/>
      <c r="V789" s="700"/>
      <c r="W789" s="701"/>
      <c r="X789" s="701"/>
      <c r="Y789" s="701"/>
      <c r="Z789" s="701"/>
    </row>
    <row r="790" spans="1:26" s="702" customFormat="1" ht="36">
      <c r="A790" s="647">
        <v>4750</v>
      </c>
      <c r="B790" s="712" t="s">
        <v>589</v>
      </c>
      <c r="C790" s="603">
        <v>21300</v>
      </c>
      <c r="D790" s="581">
        <f t="shared" si="87"/>
        <v>21300</v>
      </c>
      <c r="E790" s="581">
        <f t="shared" si="88"/>
        <v>0</v>
      </c>
      <c r="F790" s="582">
        <f t="shared" si="89"/>
        <v>0</v>
      </c>
      <c r="G790" s="603">
        <v>21300</v>
      </c>
      <c r="H790" s="581"/>
      <c r="I790" s="847">
        <f t="shared" si="91"/>
        <v>0</v>
      </c>
      <c r="J790" s="586"/>
      <c r="K790" s="581"/>
      <c r="L790" s="587"/>
      <c r="M790" s="603"/>
      <c r="N790" s="581"/>
      <c r="O790" s="627"/>
      <c r="P790" s="581"/>
      <c r="Q790" s="581"/>
      <c r="R790" s="653"/>
      <c r="S790" s="700"/>
      <c r="T790" s="700"/>
      <c r="U790" s="700"/>
      <c r="V790" s="700"/>
      <c r="W790" s="701"/>
      <c r="X790" s="701"/>
      <c r="Y790" s="701"/>
      <c r="Z790" s="701"/>
    </row>
    <row r="791" spans="1:26" s="702" customFormat="1" ht="39.75" customHeight="1">
      <c r="A791" s="647">
        <v>6050</v>
      </c>
      <c r="B791" s="712" t="s">
        <v>510</v>
      </c>
      <c r="C791" s="603">
        <v>150000</v>
      </c>
      <c r="D791" s="581">
        <f>G791+J791+P791+M791</f>
        <v>150000</v>
      </c>
      <c r="E791" s="581">
        <f>SUM(H791+K791+N791+Q791)</f>
        <v>146114</v>
      </c>
      <c r="F791" s="582">
        <f>E791/D791*100</f>
        <v>97.40933333333334</v>
      </c>
      <c r="G791" s="603">
        <v>150000</v>
      </c>
      <c r="H791" s="581">
        <v>146114</v>
      </c>
      <c r="I791" s="847">
        <f t="shared" si="91"/>
        <v>97.40933333333334</v>
      </c>
      <c r="J791" s="586"/>
      <c r="K791" s="581"/>
      <c r="L791" s="587"/>
      <c r="M791" s="603"/>
      <c r="N791" s="581"/>
      <c r="O791" s="627"/>
      <c r="P791" s="581"/>
      <c r="Q791" s="581"/>
      <c r="R791" s="653"/>
      <c r="S791" s="700"/>
      <c r="T791" s="700"/>
      <c r="U791" s="700"/>
      <c r="V791" s="700"/>
      <c r="W791" s="701"/>
      <c r="X791" s="701"/>
      <c r="Y791" s="701"/>
      <c r="Z791" s="701"/>
    </row>
    <row r="792" spans="1:26" s="702" customFormat="1" ht="43.5" customHeight="1">
      <c r="A792" s="647">
        <v>6060</v>
      </c>
      <c r="B792" s="712" t="s">
        <v>511</v>
      </c>
      <c r="C792" s="674">
        <v>5000</v>
      </c>
      <c r="D792" s="581">
        <f t="shared" si="87"/>
        <v>5000</v>
      </c>
      <c r="E792" s="581">
        <f t="shared" si="88"/>
        <v>5000</v>
      </c>
      <c r="F792" s="582">
        <f t="shared" si="89"/>
        <v>100</v>
      </c>
      <c r="G792" s="674">
        <v>5000</v>
      </c>
      <c r="H792" s="675">
        <v>5000</v>
      </c>
      <c r="I792" s="847">
        <f t="shared" si="91"/>
        <v>100</v>
      </c>
      <c r="J792" s="676"/>
      <c r="K792" s="675"/>
      <c r="L792" s="677"/>
      <c r="M792" s="674"/>
      <c r="N792" s="675"/>
      <c r="O792" s="644"/>
      <c r="P792" s="675"/>
      <c r="Q792" s="675"/>
      <c r="R792" s="680"/>
      <c r="S792" s="700"/>
      <c r="T792" s="700"/>
      <c r="U792" s="700"/>
      <c r="V792" s="700"/>
      <c r="W792" s="701"/>
      <c r="X792" s="701"/>
      <c r="Y792" s="701"/>
      <c r="Z792" s="701"/>
    </row>
    <row r="793" spans="1:26" s="702" customFormat="1" ht="15.75" customHeight="1">
      <c r="A793" s="640">
        <v>80120</v>
      </c>
      <c r="B793" s="742" t="s">
        <v>750</v>
      </c>
      <c r="C793" s="608">
        <f>SUM(C794:C821)</f>
        <v>16406000</v>
      </c>
      <c r="D793" s="595">
        <f>G793+J793+P793+M793</f>
        <v>16443600</v>
      </c>
      <c r="E793" s="595">
        <f>H793+K793+Q793+N793</f>
        <v>4485945</v>
      </c>
      <c r="F793" s="596">
        <f t="shared" si="89"/>
        <v>27.28079617601985</v>
      </c>
      <c r="G793" s="734"/>
      <c r="H793" s="735"/>
      <c r="I793" s="845"/>
      <c r="J793" s="736"/>
      <c r="K793" s="735"/>
      <c r="L793" s="737"/>
      <c r="M793" s="608">
        <f>SUM(M794:M821)</f>
        <v>16443600</v>
      </c>
      <c r="N793" s="595">
        <f>SUM(N794:N821)</f>
        <v>4485945</v>
      </c>
      <c r="O793" s="624">
        <f>N793/M793*100</f>
        <v>27.28079617601985</v>
      </c>
      <c r="P793" s="595"/>
      <c r="Q793" s="595"/>
      <c r="R793" s="731"/>
      <c r="S793" s="700"/>
      <c r="T793" s="700"/>
      <c r="U793" s="700"/>
      <c r="V793" s="700"/>
      <c r="W793" s="701"/>
      <c r="X793" s="701"/>
      <c r="Y793" s="701"/>
      <c r="Z793" s="701"/>
    </row>
    <row r="794" spans="1:26" s="702" customFormat="1" ht="40.5" customHeight="1">
      <c r="A794" s="647">
        <v>2540</v>
      </c>
      <c r="B794" s="651" t="s">
        <v>735</v>
      </c>
      <c r="C794" s="603">
        <v>2300000</v>
      </c>
      <c r="D794" s="581">
        <f>G794+J794+P794+M794</f>
        <v>2300000</v>
      </c>
      <c r="E794" s="581">
        <f aca="true" t="shared" si="92" ref="E794:E821">SUM(H794+K794+N794+Q794)</f>
        <v>630992</v>
      </c>
      <c r="F794" s="582">
        <f t="shared" si="89"/>
        <v>27.434434782608697</v>
      </c>
      <c r="G794" s="603"/>
      <c r="H794" s="581"/>
      <c r="I794" s="847"/>
      <c r="J794" s="586"/>
      <c r="K794" s="581"/>
      <c r="L794" s="587"/>
      <c r="M794" s="603">
        <v>2300000</v>
      </c>
      <c r="N794" s="581">
        <v>630992</v>
      </c>
      <c r="O794" s="627">
        <f>N794/M794*100</f>
        <v>27.434434782608697</v>
      </c>
      <c r="P794" s="581"/>
      <c r="Q794" s="581"/>
      <c r="R794" s="653"/>
      <c r="S794" s="700"/>
      <c r="T794" s="700"/>
      <c r="U794" s="700"/>
      <c r="V794" s="700"/>
      <c r="W794" s="701"/>
      <c r="X794" s="701"/>
      <c r="Y794" s="701"/>
      <c r="Z794" s="701"/>
    </row>
    <row r="795" spans="1:26" s="702" customFormat="1" ht="36">
      <c r="A795" s="647">
        <v>3020</v>
      </c>
      <c r="B795" s="651" t="s">
        <v>736</v>
      </c>
      <c r="C795" s="603">
        <v>39300</v>
      </c>
      <c r="D795" s="581">
        <f>G795+J795+P795+M795</f>
        <v>39300</v>
      </c>
      <c r="E795" s="581">
        <f t="shared" si="92"/>
        <v>5766</v>
      </c>
      <c r="F795" s="582">
        <f t="shared" si="89"/>
        <v>14.671755725190842</v>
      </c>
      <c r="G795" s="603"/>
      <c r="H795" s="581"/>
      <c r="I795" s="847"/>
      <c r="J795" s="586"/>
      <c r="K795" s="581"/>
      <c r="L795" s="587"/>
      <c r="M795" s="603">
        <v>39300</v>
      </c>
      <c r="N795" s="581">
        <v>5766</v>
      </c>
      <c r="O795" s="627">
        <f>N795/M795*100</f>
        <v>14.671755725190842</v>
      </c>
      <c r="P795" s="581"/>
      <c r="Q795" s="581"/>
      <c r="R795" s="653"/>
      <c r="S795" s="700"/>
      <c r="T795" s="700"/>
      <c r="U795" s="700"/>
      <c r="V795" s="700"/>
      <c r="W795" s="701"/>
      <c r="X795" s="701"/>
      <c r="Y795" s="701"/>
      <c r="Z795" s="701"/>
    </row>
    <row r="796" spans="1:26" s="702" customFormat="1" ht="24" hidden="1">
      <c r="A796" s="647">
        <v>3030</v>
      </c>
      <c r="B796" s="651" t="s">
        <v>179</v>
      </c>
      <c r="C796" s="603"/>
      <c r="D796" s="581"/>
      <c r="E796" s="581" t="s">
        <v>631</v>
      </c>
      <c r="F796" s="582" t="s">
        <v>631</v>
      </c>
      <c r="G796" s="603"/>
      <c r="H796" s="581"/>
      <c r="I796" s="847"/>
      <c r="J796" s="586"/>
      <c r="K796" s="581"/>
      <c r="L796" s="587"/>
      <c r="M796" s="603"/>
      <c r="N796" s="581"/>
      <c r="O796" s="627"/>
      <c r="P796" s="581"/>
      <c r="Q796" s="581"/>
      <c r="R796" s="653"/>
      <c r="S796" s="700"/>
      <c r="T796" s="700"/>
      <c r="U796" s="700"/>
      <c r="V796" s="700"/>
      <c r="W796" s="701"/>
      <c r="X796" s="701"/>
      <c r="Y796" s="701"/>
      <c r="Z796" s="701"/>
    </row>
    <row r="797" spans="1:26" s="702" customFormat="1" ht="28.5" customHeight="1">
      <c r="A797" s="647">
        <v>4010</v>
      </c>
      <c r="B797" s="651" t="s">
        <v>181</v>
      </c>
      <c r="C797" s="603">
        <v>9616100</v>
      </c>
      <c r="D797" s="581">
        <f aca="true" t="shared" si="93" ref="D797:D821">G797+J797+P797+M797</f>
        <v>9616100</v>
      </c>
      <c r="E797" s="581">
        <f t="shared" si="92"/>
        <v>2355135</v>
      </c>
      <c r="F797" s="582">
        <f t="shared" si="89"/>
        <v>24.49158182631212</v>
      </c>
      <c r="G797" s="603"/>
      <c r="H797" s="581"/>
      <c r="I797" s="847"/>
      <c r="J797" s="586"/>
      <c r="K797" s="581"/>
      <c r="L797" s="587"/>
      <c r="M797" s="603">
        <v>9616100</v>
      </c>
      <c r="N797" s="581">
        <v>2355135</v>
      </c>
      <c r="O797" s="627">
        <f aca="true" t="shared" si="94" ref="O797:O860">N797/M797*100</f>
        <v>24.49158182631212</v>
      </c>
      <c r="P797" s="581"/>
      <c r="Q797" s="581"/>
      <c r="R797" s="653"/>
      <c r="S797" s="482"/>
      <c r="T797" s="482"/>
      <c r="U797" s="482"/>
      <c r="V797" s="482"/>
      <c r="W797" s="701"/>
      <c r="X797" s="701"/>
      <c r="Y797" s="701"/>
      <c r="Z797" s="701"/>
    </row>
    <row r="798" spans="1:26" s="702" customFormat="1" ht="24">
      <c r="A798" s="647">
        <v>4040</v>
      </c>
      <c r="B798" s="651" t="s">
        <v>185</v>
      </c>
      <c r="C798" s="603">
        <v>763200</v>
      </c>
      <c r="D798" s="581">
        <f t="shared" si="93"/>
        <v>763200</v>
      </c>
      <c r="E798" s="581">
        <f t="shared" si="92"/>
        <v>512080</v>
      </c>
      <c r="F798" s="582">
        <f t="shared" si="89"/>
        <v>67.09643605870022</v>
      </c>
      <c r="G798" s="603"/>
      <c r="H798" s="581"/>
      <c r="I798" s="847"/>
      <c r="J798" s="586"/>
      <c r="K798" s="581"/>
      <c r="L798" s="587"/>
      <c r="M798" s="603">
        <v>763200</v>
      </c>
      <c r="N798" s="581">
        <v>512080</v>
      </c>
      <c r="O798" s="627">
        <f t="shared" si="94"/>
        <v>67.09643605870022</v>
      </c>
      <c r="P798" s="581"/>
      <c r="Q798" s="581"/>
      <c r="R798" s="653"/>
      <c r="S798" s="482"/>
      <c r="T798" s="482"/>
      <c r="U798" s="482"/>
      <c r="V798" s="482"/>
      <c r="W798" s="701"/>
      <c r="X798" s="701"/>
      <c r="Y798" s="701"/>
      <c r="Z798" s="701"/>
    </row>
    <row r="799" spans="1:26" s="702" customFormat="1" ht="28.5" customHeight="1">
      <c r="A799" s="647">
        <v>4110</v>
      </c>
      <c r="B799" s="651" t="s">
        <v>187</v>
      </c>
      <c r="C799" s="603">
        <v>1554600</v>
      </c>
      <c r="D799" s="581">
        <f t="shared" si="93"/>
        <v>1554600</v>
      </c>
      <c r="E799" s="581">
        <f t="shared" si="92"/>
        <v>329972</v>
      </c>
      <c r="F799" s="582">
        <f t="shared" si="89"/>
        <v>21.225524250611087</v>
      </c>
      <c r="G799" s="603"/>
      <c r="H799" s="581"/>
      <c r="I799" s="847"/>
      <c r="J799" s="586"/>
      <c r="K799" s="581"/>
      <c r="L799" s="587"/>
      <c r="M799" s="603">
        <v>1554600</v>
      </c>
      <c r="N799" s="581">
        <v>329972</v>
      </c>
      <c r="O799" s="627">
        <f t="shared" si="94"/>
        <v>21.225524250611087</v>
      </c>
      <c r="P799" s="581"/>
      <c r="Q799" s="581"/>
      <c r="R799" s="653"/>
      <c r="S799" s="482"/>
      <c r="T799" s="482"/>
      <c r="U799" s="482"/>
      <c r="V799" s="482"/>
      <c r="W799" s="701"/>
      <c r="X799" s="701"/>
      <c r="Y799" s="701"/>
      <c r="Z799" s="701"/>
    </row>
    <row r="800" spans="1:26" s="702" customFormat="1" ht="12.75">
      <c r="A800" s="647">
        <v>4120</v>
      </c>
      <c r="B800" s="651" t="s">
        <v>619</v>
      </c>
      <c r="C800" s="603">
        <v>253900</v>
      </c>
      <c r="D800" s="581">
        <f t="shared" si="93"/>
        <v>253900</v>
      </c>
      <c r="E800" s="581">
        <f t="shared" si="92"/>
        <v>47256</v>
      </c>
      <c r="F800" s="582">
        <f t="shared" si="89"/>
        <v>18.612051988972038</v>
      </c>
      <c r="G800" s="603"/>
      <c r="H800" s="581"/>
      <c r="I800" s="847"/>
      <c r="J800" s="586"/>
      <c r="K800" s="581"/>
      <c r="L800" s="587"/>
      <c r="M800" s="603">
        <v>253900</v>
      </c>
      <c r="N800" s="581">
        <v>47256</v>
      </c>
      <c r="O800" s="627">
        <f t="shared" si="94"/>
        <v>18.612051988972038</v>
      </c>
      <c r="P800" s="581"/>
      <c r="Q800" s="581"/>
      <c r="R800" s="653"/>
      <c r="S800" s="482"/>
      <c r="T800" s="482"/>
      <c r="U800" s="482"/>
      <c r="V800" s="482"/>
      <c r="W800" s="701"/>
      <c r="X800" s="701"/>
      <c r="Y800" s="701"/>
      <c r="Z800" s="701"/>
    </row>
    <row r="801" spans="1:26" s="702" customFormat="1" ht="12.75">
      <c r="A801" s="647">
        <v>4140</v>
      </c>
      <c r="B801" s="651" t="s">
        <v>252</v>
      </c>
      <c r="C801" s="603">
        <v>21000</v>
      </c>
      <c r="D801" s="581">
        <f>G801+J801+P801+M801</f>
        <v>21000</v>
      </c>
      <c r="E801" s="581">
        <f>SUM(H801+K801+N801+Q801)</f>
        <v>4137</v>
      </c>
      <c r="F801" s="582">
        <f>E801/D801*100</f>
        <v>19.7</v>
      </c>
      <c r="G801" s="603"/>
      <c r="H801" s="581"/>
      <c r="I801" s="847"/>
      <c r="J801" s="586"/>
      <c r="K801" s="581"/>
      <c r="L801" s="587"/>
      <c r="M801" s="603">
        <v>21000</v>
      </c>
      <c r="N801" s="581">
        <v>4137</v>
      </c>
      <c r="O801" s="627">
        <f t="shared" si="94"/>
        <v>19.7</v>
      </c>
      <c r="P801" s="581"/>
      <c r="Q801" s="581"/>
      <c r="R801" s="653"/>
      <c r="S801" s="700"/>
      <c r="T801" s="700"/>
      <c r="U801" s="700"/>
      <c r="V801" s="700"/>
      <c r="W801" s="701"/>
      <c r="X801" s="701"/>
      <c r="Y801" s="701"/>
      <c r="Z801" s="701"/>
    </row>
    <row r="802" spans="1:26" s="702" customFormat="1" ht="24">
      <c r="A802" s="647">
        <v>4210</v>
      </c>
      <c r="B802" s="651" t="s">
        <v>191</v>
      </c>
      <c r="C802" s="603">
        <v>204900</v>
      </c>
      <c r="D802" s="581">
        <f t="shared" si="93"/>
        <v>217100</v>
      </c>
      <c r="E802" s="581">
        <f t="shared" si="92"/>
        <v>50819</v>
      </c>
      <c r="F802" s="582">
        <f t="shared" si="89"/>
        <v>23.408106863196686</v>
      </c>
      <c r="G802" s="603"/>
      <c r="H802" s="581"/>
      <c r="I802" s="847"/>
      <c r="J802" s="586"/>
      <c r="K802" s="581"/>
      <c r="L802" s="587"/>
      <c r="M802" s="603">
        <f>204900+12200</f>
        <v>217100</v>
      </c>
      <c r="N802" s="581">
        <v>50819</v>
      </c>
      <c r="O802" s="627">
        <f t="shared" si="94"/>
        <v>23.408106863196686</v>
      </c>
      <c r="P802" s="581"/>
      <c r="Q802" s="581"/>
      <c r="R802" s="653"/>
      <c r="S802" s="700"/>
      <c r="T802" s="700"/>
      <c r="U802" s="700"/>
      <c r="V802" s="700"/>
      <c r="W802" s="701"/>
      <c r="X802" s="701"/>
      <c r="Y802" s="701"/>
      <c r="Z802" s="701"/>
    </row>
    <row r="803" spans="1:26" s="702" customFormat="1" ht="28.5" customHeight="1">
      <c r="A803" s="647">
        <v>4240</v>
      </c>
      <c r="B803" s="651" t="s">
        <v>608</v>
      </c>
      <c r="C803" s="603">
        <v>10000</v>
      </c>
      <c r="D803" s="581">
        <f t="shared" si="93"/>
        <v>10000</v>
      </c>
      <c r="E803" s="581">
        <f>H803+K803+Q803+N803</f>
        <v>3023</v>
      </c>
      <c r="F803" s="582">
        <f t="shared" si="89"/>
        <v>30.23</v>
      </c>
      <c r="G803" s="603"/>
      <c r="H803" s="581"/>
      <c r="I803" s="847"/>
      <c r="J803" s="586"/>
      <c r="K803" s="581"/>
      <c r="L803" s="587"/>
      <c r="M803" s="603">
        <v>10000</v>
      </c>
      <c r="N803" s="581">
        <v>3023</v>
      </c>
      <c r="O803" s="627">
        <f t="shared" si="94"/>
        <v>30.23</v>
      </c>
      <c r="P803" s="581"/>
      <c r="Q803" s="581"/>
      <c r="R803" s="653"/>
      <c r="S803" s="700"/>
      <c r="T803" s="700"/>
      <c r="U803" s="700"/>
      <c r="V803" s="700"/>
      <c r="W803" s="701"/>
      <c r="X803" s="701"/>
      <c r="Y803" s="701"/>
      <c r="Z803" s="701"/>
    </row>
    <row r="804" spans="1:26" s="702" customFormat="1" ht="12.75" customHeight="1">
      <c r="A804" s="647">
        <v>4260</v>
      </c>
      <c r="B804" s="651" t="s">
        <v>195</v>
      </c>
      <c r="C804" s="603">
        <v>666200</v>
      </c>
      <c r="D804" s="581">
        <f t="shared" si="93"/>
        <v>666200</v>
      </c>
      <c r="E804" s="581">
        <f t="shared" si="92"/>
        <v>340475</v>
      </c>
      <c r="F804" s="582">
        <f t="shared" si="89"/>
        <v>51.10702491744221</v>
      </c>
      <c r="G804" s="603"/>
      <c r="H804" s="581"/>
      <c r="I804" s="847"/>
      <c r="J804" s="586"/>
      <c r="K804" s="581"/>
      <c r="L804" s="587"/>
      <c r="M804" s="603">
        <v>666200</v>
      </c>
      <c r="N804" s="581">
        <v>340475</v>
      </c>
      <c r="O804" s="627">
        <f t="shared" si="94"/>
        <v>51.10702491744221</v>
      </c>
      <c r="P804" s="581"/>
      <c r="Q804" s="581"/>
      <c r="R804" s="653"/>
      <c r="S804" s="700"/>
      <c r="T804" s="700"/>
      <c r="U804" s="700"/>
      <c r="V804" s="700"/>
      <c r="W804" s="701"/>
      <c r="X804" s="701"/>
      <c r="Y804" s="701"/>
      <c r="Z804" s="701"/>
    </row>
    <row r="805" spans="1:26" s="702" customFormat="1" ht="18" customHeight="1">
      <c r="A805" s="647">
        <v>4270</v>
      </c>
      <c r="B805" s="651" t="s">
        <v>197</v>
      </c>
      <c r="C805" s="603">
        <v>35100</v>
      </c>
      <c r="D805" s="581">
        <f t="shared" si="93"/>
        <v>38300</v>
      </c>
      <c r="E805" s="581">
        <f t="shared" si="92"/>
        <v>5032</v>
      </c>
      <c r="F805" s="582">
        <f t="shared" si="89"/>
        <v>13.138381201044385</v>
      </c>
      <c r="G805" s="603"/>
      <c r="H805" s="581"/>
      <c r="I805" s="847"/>
      <c r="J805" s="586"/>
      <c r="K805" s="581"/>
      <c r="L805" s="587"/>
      <c r="M805" s="603">
        <f>35100+3200</f>
        <v>38300</v>
      </c>
      <c r="N805" s="581">
        <v>5032</v>
      </c>
      <c r="O805" s="627">
        <f t="shared" si="94"/>
        <v>13.138381201044385</v>
      </c>
      <c r="P805" s="581"/>
      <c r="Q805" s="581"/>
      <c r="R805" s="653"/>
      <c r="S805" s="700"/>
      <c r="T805" s="700"/>
      <c r="U805" s="700"/>
      <c r="V805" s="700"/>
      <c r="W805" s="701"/>
      <c r="X805" s="701"/>
      <c r="Y805" s="701"/>
      <c r="Z805" s="701"/>
    </row>
    <row r="806" spans="1:26" s="702" customFormat="1" ht="18" customHeight="1" hidden="1">
      <c r="A806" s="647">
        <v>4270</v>
      </c>
      <c r="B806" s="651" t="s">
        <v>751</v>
      </c>
      <c r="C806" s="603"/>
      <c r="D806" s="581">
        <f t="shared" si="93"/>
        <v>0</v>
      </c>
      <c r="E806" s="581">
        <f t="shared" si="92"/>
        <v>0</v>
      </c>
      <c r="F806" s="582" t="e">
        <f t="shared" si="89"/>
        <v>#DIV/0!</v>
      </c>
      <c r="G806" s="603"/>
      <c r="H806" s="581"/>
      <c r="I806" s="847"/>
      <c r="J806" s="586"/>
      <c r="K806" s="581"/>
      <c r="L806" s="587"/>
      <c r="M806" s="603"/>
      <c r="N806" s="581"/>
      <c r="O806" s="627" t="e">
        <f t="shared" si="94"/>
        <v>#DIV/0!</v>
      </c>
      <c r="P806" s="581"/>
      <c r="Q806" s="581"/>
      <c r="R806" s="653"/>
      <c r="S806" s="700"/>
      <c r="T806" s="700"/>
      <c r="U806" s="700"/>
      <c r="V806" s="700"/>
      <c r="W806" s="701"/>
      <c r="X806" s="701"/>
      <c r="Y806" s="701"/>
      <c r="Z806" s="701"/>
    </row>
    <row r="807" spans="1:26" s="702" customFormat="1" ht="18" customHeight="1">
      <c r="A807" s="647">
        <v>4280</v>
      </c>
      <c r="B807" s="651" t="s">
        <v>582</v>
      </c>
      <c r="C807" s="603">
        <v>7800</v>
      </c>
      <c r="D807" s="581">
        <f t="shared" si="93"/>
        <v>7800</v>
      </c>
      <c r="E807" s="581">
        <f t="shared" si="92"/>
        <v>1576</v>
      </c>
      <c r="F807" s="582">
        <f t="shared" si="89"/>
        <v>20.205128205128204</v>
      </c>
      <c r="G807" s="603"/>
      <c r="H807" s="581"/>
      <c r="I807" s="847"/>
      <c r="J807" s="586"/>
      <c r="K807" s="581"/>
      <c r="L807" s="587"/>
      <c r="M807" s="603">
        <v>7800</v>
      </c>
      <c r="N807" s="581">
        <v>1576</v>
      </c>
      <c r="O807" s="627">
        <f t="shared" si="94"/>
        <v>20.205128205128204</v>
      </c>
      <c r="P807" s="581"/>
      <c r="Q807" s="581"/>
      <c r="R807" s="653"/>
      <c r="S807" s="700"/>
      <c r="T807" s="700"/>
      <c r="U807" s="700"/>
      <c r="V807" s="700"/>
      <c r="W807" s="701"/>
      <c r="X807" s="701"/>
      <c r="Y807" s="701"/>
      <c r="Z807" s="701"/>
    </row>
    <row r="808" spans="1:26" s="702" customFormat="1" ht="13.5" customHeight="1">
      <c r="A808" s="647">
        <v>4300</v>
      </c>
      <c r="B808" s="651" t="s">
        <v>199</v>
      </c>
      <c r="C808" s="603">
        <v>155000</v>
      </c>
      <c r="D808" s="581">
        <f t="shared" si="93"/>
        <v>155000</v>
      </c>
      <c r="E808" s="581">
        <f t="shared" si="92"/>
        <v>47592</v>
      </c>
      <c r="F808" s="582">
        <f t="shared" si="89"/>
        <v>30.704516129032257</v>
      </c>
      <c r="G808" s="603"/>
      <c r="H808" s="581"/>
      <c r="I808" s="847"/>
      <c r="J808" s="586"/>
      <c r="K808" s="581"/>
      <c r="L808" s="587"/>
      <c r="M808" s="603">
        <v>155000</v>
      </c>
      <c r="N808" s="581">
        <v>47592</v>
      </c>
      <c r="O808" s="627">
        <f t="shared" si="94"/>
        <v>30.704516129032257</v>
      </c>
      <c r="P808" s="581"/>
      <c r="Q808" s="581"/>
      <c r="R808" s="653"/>
      <c r="S808" s="700"/>
      <c r="T808" s="700"/>
      <c r="U808" s="700"/>
      <c r="V808" s="700"/>
      <c r="W808" s="701"/>
      <c r="X808" s="701"/>
      <c r="Y808" s="701"/>
      <c r="Z808" s="701"/>
    </row>
    <row r="809" spans="1:26" s="702" customFormat="1" ht="24">
      <c r="A809" s="647">
        <v>4350</v>
      </c>
      <c r="B809" s="651" t="s">
        <v>584</v>
      </c>
      <c r="C809" s="603">
        <v>9500</v>
      </c>
      <c r="D809" s="581">
        <f t="shared" si="93"/>
        <v>9500</v>
      </c>
      <c r="E809" s="581">
        <f t="shared" si="92"/>
        <v>2277</v>
      </c>
      <c r="F809" s="582">
        <f t="shared" si="89"/>
        <v>23.968421052631577</v>
      </c>
      <c r="G809" s="603"/>
      <c r="H809" s="581"/>
      <c r="I809" s="847"/>
      <c r="J809" s="586"/>
      <c r="K809" s="581"/>
      <c r="L809" s="587"/>
      <c r="M809" s="603">
        <v>9500</v>
      </c>
      <c r="N809" s="581">
        <v>2277</v>
      </c>
      <c r="O809" s="627">
        <f t="shared" si="94"/>
        <v>23.968421052631577</v>
      </c>
      <c r="P809" s="581"/>
      <c r="Q809" s="581"/>
      <c r="R809" s="653"/>
      <c r="S809" s="700"/>
      <c r="T809" s="700"/>
      <c r="U809" s="700"/>
      <c r="V809" s="700"/>
      <c r="W809" s="701"/>
      <c r="X809" s="701"/>
      <c r="Y809" s="701"/>
      <c r="Z809" s="701"/>
    </row>
    <row r="810" spans="1:26" s="702" customFormat="1" ht="60" customHeight="1">
      <c r="A810" s="647">
        <v>4360</v>
      </c>
      <c r="B810" s="712" t="s">
        <v>431</v>
      </c>
      <c r="C810" s="603">
        <v>1100</v>
      </c>
      <c r="D810" s="581">
        <f t="shared" si="93"/>
        <v>1100</v>
      </c>
      <c r="E810" s="581">
        <f>SUM(H810+K810+N810+Q810)</f>
        <v>322</v>
      </c>
      <c r="F810" s="582">
        <f t="shared" si="89"/>
        <v>29.272727272727273</v>
      </c>
      <c r="G810" s="603"/>
      <c r="H810" s="581"/>
      <c r="I810" s="847"/>
      <c r="J810" s="586"/>
      <c r="K810" s="581"/>
      <c r="L810" s="587"/>
      <c r="M810" s="603">
        <v>1100</v>
      </c>
      <c r="N810" s="581">
        <v>322</v>
      </c>
      <c r="O810" s="627">
        <f t="shared" si="94"/>
        <v>29.272727272727273</v>
      </c>
      <c r="P810" s="581"/>
      <c r="Q810" s="581"/>
      <c r="R810" s="653"/>
      <c r="S810" s="700"/>
      <c r="T810" s="700"/>
      <c r="U810" s="700"/>
      <c r="V810" s="700"/>
      <c r="W810" s="701"/>
      <c r="X810" s="701"/>
      <c r="Y810" s="701"/>
      <c r="Z810" s="701"/>
    </row>
    <row r="811" spans="1:26" s="702" customFormat="1" ht="57.75" customHeight="1">
      <c r="A811" s="647">
        <v>4370</v>
      </c>
      <c r="B811" s="712" t="s">
        <v>432</v>
      </c>
      <c r="C811" s="603">
        <v>31900</v>
      </c>
      <c r="D811" s="581">
        <f t="shared" si="93"/>
        <v>31900</v>
      </c>
      <c r="E811" s="581">
        <f>SUM(H811+K811+N811+Q811)</f>
        <v>4550</v>
      </c>
      <c r="F811" s="582">
        <f t="shared" si="89"/>
        <v>14.263322884012538</v>
      </c>
      <c r="G811" s="603"/>
      <c r="H811" s="581"/>
      <c r="I811" s="847"/>
      <c r="J811" s="586"/>
      <c r="K811" s="581"/>
      <c r="L811" s="587"/>
      <c r="M811" s="603">
        <v>31900</v>
      </c>
      <c r="N811" s="581">
        <v>4550</v>
      </c>
      <c r="O811" s="627">
        <f t="shared" si="94"/>
        <v>14.263322884012538</v>
      </c>
      <c r="P811" s="581"/>
      <c r="Q811" s="581"/>
      <c r="R811" s="653"/>
      <c r="S811" s="700"/>
      <c r="T811" s="700"/>
      <c r="U811" s="700"/>
      <c r="V811" s="700"/>
      <c r="W811" s="701"/>
      <c r="X811" s="701"/>
      <c r="Y811" s="701"/>
      <c r="Z811" s="701"/>
    </row>
    <row r="812" spans="1:26" s="702" customFormat="1" ht="38.25" customHeight="1">
      <c r="A812" s="647">
        <v>4390</v>
      </c>
      <c r="B812" s="651" t="s">
        <v>222</v>
      </c>
      <c r="C812" s="603">
        <v>18100</v>
      </c>
      <c r="D812" s="581">
        <f t="shared" si="93"/>
        <v>18100</v>
      </c>
      <c r="E812" s="581">
        <f>SUM(H812+K812+N812+Q812)</f>
        <v>1800</v>
      </c>
      <c r="F812" s="582">
        <f t="shared" si="89"/>
        <v>9.94475138121547</v>
      </c>
      <c r="G812" s="603"/>
      <c r="H812" s="581"/>
      <c r="I812" s="847"/>
      <c r="J812" s="586"/>
      <c r="K812" s="581"/>
      <c r="L812" s="587"/>
      <c r="M812" s="603">
        <v>18100</v>
      </c>
      <c r="N812" s="581">
        <v>1800</v>
      </c>
      <c r="O812" s="627">
        <f t="shared" si="94"/>
        <v>9.94475138121547</v>
      </c>
      <c r="P812" s="581"/>
      <c r="Q812" s="581"/>
      <c r="R812" s="653"/>
      <c r="S812" s="700"/>
      <c r="T812" s="700"/>
      <c r="U812" s="700"/>
      <c r="V812" s="700"/>
      <c r="W812" s="701"/>
      <c r="X812" s="701"/>
      <c r="Y812" s="701"/>
      <c r="Z812" s="701"/>
    </row>
    <row r="813" spans="1:26" s="702" customFormat="1" ht="15.75" customHeight="1">
      <c r="A813" s="647">
        <v>4410</v>
      </c>
      <c r="B813" s="651" t="s">
        <v>173</v>
      </c>
      <c r="C813" s="603">
        <v>30500</v>
      </c>
      <c r="D813" s="581">
        <f t="shared" si="93"/>
        <v>30500</v>
      </c>
      <c r="E813" s="581">
        <f t="shared" si="92"/>
        <v>9952</v>
      </c>
      <c r="F813" s="582">
        <f t="shared" si="89"/>
        <v>32.62950819672131</v>
      </c>
      <c r="G813" s="603"/>
      <c r="H813" s="581"/>
      <c r="I813" s="847"/>
      <c r="J813" s="586"/>
      <c r="K813" s="581"/>
      <c r="L813" s="587"/>
      <c r="M813" s="603">
        <v>30500</v>
      </c>
      <c r="N813" s="581">
        <v>9952</v>
      </c>
      <c r="O813" s="627">
        <f t="shared" si="94"/>
        <v>32.62950819672131</v>
      </c>
      <c r="P813" s="581"/>
      <c r="Q813" s="581"/>
      <c r="R813" s="653"/>
      <c r="S813" s="700"/>
      <c r="T813" s="700"/>
      <c r="U813" s="700"/>
      <c r="V813" s="700"/>
      <c r="W813" s="701"/>
      <c r="X813" s="701"/>
      <c r="Y813" s="701"/>
      <c r="Z813" s="701"/>
    </row>
    <row r="814" spans="1:26" s="702" customFormat="1" ht="27" customHeight="1">
      <c r="A814" s="647">
        <v>4420</v>
      </c>
      <c r="B814" s="651" t="s">
        <v>596</v>
      </c>
      <c r="C814" s="603">
        <v>500</v>
      </c>
      <c r="D814" s="581">
        <f t="shared" si="93"/>
        <v>500</v>
      </c>
      <c r="E814" s="581">
        <f t="shared" si="92"/>
        <v>0</v>
      </c>
      <c r="F814" s="582">
        <f t="shared" si="89"/>
        <v>0</v>
      </c>
      <c r="G814" s="603"/>
      <c r="H814" s="581"/>
      <c r="I814" s="847"/>
      <c r="J814" s="586"/>
      <c r="K814" s="581"/>
      <c r="L814" s="587"/>
      <c r="M814" s="603">
        <v>500</v>
      </c>
      <c r="N814" s="581"/>
      <c r="O814" s="627">
        <f t="shared" si="94"/>
        <v>0</v>
      </c>
      <c r="P814" s="581"/>
      <c r="Q814" s="581"/>
      <c r="R814" s="653"/>
      <c r="S814" s="700"/>
      <c r="T814" s="700"/>
      <c r="U814" s="700"/>
      <c r="V814" s="700"/>
      <c r="W814" s="701"/>
      <c r="X814" s="701"/>
      <c r="Y814" s="701"/>
      <c r="Z814" s="701"/>
    </row>
    <row r="815" spans="1:26" s="702" customFormat="1" ht="12.75" hidden="1">
      <c r="A815" s="647">
        <v>4430</v>
      </c>
      <c r="B815" s="651" t="s">
        <v>201</v>
      </c>
      <c r="C815" s="603"/>
      <c r="D815" s="581">
        <f>G815+J815+P815+M815</f>
        <v>0</v>
      </c>
      <c r="E815" s="581">
        <f>SUM(H815+K815+N815+Q815)</f>
        <v>0</v>
      </c>
      <c r="F815" s="582"/>
      <c r="G815" s="603"/>
      <c r="H815" s="581"/>
      <c r="I815" s="847"/>
      <c r="J815" s="586"/>
      <c r="K815" s="581"/>
      <c r="L815" s="587"/>
      <c r="M815" s="603"/>
      <c r="N815" s="581"/>
      <c r="O815" s="627"/>
      <c r="P815" s="581"/>
      <c r="Q815" s="581"/>
      <c r="R815" s="653"/>
      <c r="S815" s="700"/>
      <c r="T815" s="700"/>
      <c r="U815" s="700"/>
      <c r="V815" s="700"/>
      <c r="W815" s="701"/>
      <c r="X815" s="701"/>
      <c r="Y815" s="701"/>
      <c r="Z815" s="701"/>
    </row>
    <row r="816" spans="1:26" s="702" customFormat="1" ht="12.75">
      <c r="A816" s="647">
        <v>4440</v>
      </c>
      <c r="B816" s="651" t="s">
        <v>203</v>
      </c>
      <c r="C816" s="603">
        <v>532300</v>
      </c>
      <c r="D816" s="581">
        <f t="shared" si="93"/>
        <v>532300</v>
      </c>
      <c r="E816" s="581">
        <f t="shared" si="92"/>
        <v>78460</v>
      </c>
      <c r="F816" s="582">
        <f t="shared" si="89"/>
        <v>14.739808378733796</v>
      </c>
      <c r="G816" s="603"/>
      <c r="H816" s="581"/>
      <c r="I816" s="847"/>
      <c r="J816" s="586"/>
      <c r="K816" s="581"/>
      <c r="L816" s="587"/>
      <c r="M816" s="603">
        <v>532300</v>
      </c>
      <c r="N816" s="581">
        <v>78460</v>
      </c>
      <c r="O816" s="627">
        <f t="shared" si="94"/>
        <v>14.739808378733796</v>
      </c>
      <c r="P816" s="581"/>
      <c r="Q816" s="581"/>
      <c r="R816" s="653"/>
      <c r="S816" s="700"/>
      <c r="T816" s="700"/>
      <c r="U816" s="700"/>
      <c r="V816" s="700"/>
      <c r="W816" s="701"/>
      <c r="X816" s="701"/>
      <c r="Y816" s="701"/>
      <c r="Z816" s="701"/>
    </row>
    <row r="817" spans="1:26" s="702" customFormat="1" ht="39.75" customHeight="1">
      <c r="A817" s="647">
        <v>4700</v>
      </c>
      <c r="B817" s="712" t="s">
        <v>588</v>
      </c>
      <c r="C817" s="603">
        <v>14500</v>
      </c>
      <c r="D817" s="581">
        <f t="shared" si="93"/>
        <v>14500</v>
      </c>
      <c r="E817" s="581">
        <f>SUM(H817+K817+N817+Q817)</f>
        <v>3046</v>
      </c>
      <c r="F817" s="582">
        <f t="shared" si="89"/>
        <v>21.00689655172414</v>
      </c>
      <c r="G817" s="603"/>
      <c r="H817" s="581"/>
      <c r="I817" s="847"/>
      <c r="J817" s="586"/>
      <c r="K817" s="581"/>
      <c r="L817" s="587"/>
      <c r="M817" s="603">
        <v>14500</v>
      </c>
      <c r="N817" s="581">
        <v>3046</v>
      </c>
      <c r="O817" s="627">
        <f t="shared" si="94"/>
        <v>21.00689655172414</v>
      </c>
      <c r="P817" s="581"/>
      <c r="Q817" s="581"/>
      <c r="R817" s="653"/>
      <c r="S817" s="700"/>
      <c r="T817" s="700"/>
      <c r="U817" s="700"/>
      <c r="V817" s="700"/>
      <c r="W817" s="701"/>
      <c r="X817" s="701"/>
      <c r="Y817" s="701"/>
      <c r="Z817" s="701"/>
    </row>
    <row r="818" spans="1:26" s="702" customFormat="1" ht="51" customHeight="1">
      <c r="A818" s="647">
        <v>4740</v>
      </c>
      <c r="B818" s="712" t="s">
        <v>215</v>
      </c>
      <c r="C818" s="603">
        <v>14200</v>
      </c>
      <c r="D818" s="581">
        <f t="shared" si="93"/>
        <v>14200</v>
      </c>
      <c r="E818" s="581">
        <f>SUM(H818+K818+N818+Q818)</f>
        <v>4620</v>
      </c>
      <c r="F818" s="582">
        <f t="shared" si="89"/>
        <v>32.53521126760563</v>
      </c>
      <c r="G818" s="603"/>
      <c r="H818" s="581"/>
      <c r="I818" s="847"/>
      <c r="J818" s="586"/>
      <c r="K818" s="581"/>
      <c r="L818" s="587"/>
      <c r="M818" s="603">
        <v>14200</v>
      </c>
      <c r="N818" s="581">
        <v>4620</v>
      </c>
      <c r="O818" s="627">
        <f t="shared" si="94"/>
        <v>32.53521126760563</v>
      </c>
      <c r="P818" s="581"/>
      <c r="Q818" s="581"/>
      <c r="R818" s="653"/>
      <c r="S818" s="700"/>
      <c r="T818" s="700"/>
      <c r="U818" s="700"/>
      <c r="V818" s="700"/>
      <c r="W818" s="701"/>
      <c r="X818" s="701"/>
      <c r="Y818" s="701"/>
      <c r="Z818" s="701"/>
    </row>
    <row r="819" spans="1:26" s="702" customFormat="1" ht="36">
      <c r="A819" s="647">
        <v>4750</v>
      </c>
      <c r="B819" s="712" t="s">
        <v>589</v>
      </c>
      <c r="C819" s="603">
        <v>28000</v>
      </c>
      <c r="D819" s="581">
        <f t="shared" si="93"/>
        <v>28000</v>
      </c>
      <c r="E819" s="581">
        <f t="shared" si="92"/>
        <v>4211</v>
      </c>
      <c r="F819" s="582">
        <f t="shared" si="89"/>
        <v>15.039285714285713</v>
      </c>
      <c r="G819" s="603"/>
      <c r="H819" s="581"/>
      <c r="I819" s="847"/>
      <c r="J819" s="586"/>
      <c r="K819" s="581"/>
      <c r="L819" s="587"/>
      <c r="M819" s="603">
        <v>28000</v>
      </c>
      <c r="N819" s="581">
        <v>4211</v>
      </c>
      <c r="O819" s="627">
        <f t="shared" si="94"/>
        <v>15.039285714285713</v>
      </c>
      <c r="P819" s="581"/>
      <c r="Q819" s="581"/>
      <c r="R819" s="653"/>
      <c r="S819" s="700"/>
      <c r="T819" s="700"/>
      <c r="U819" s="700"/>
      <c r="V819" s="700"/>
      <c r="W819" s="701"/>
      <c r="X819" s="701"/>
      <c r="Y819" s="701"/>
      <c r="Z819" s="701"/>
    </row>
    <row r="820" spans="1:26" s="702" customFormat="1" ht="26.25" customHeight="1">
      <c r="A820" s="647">
        <v>6050</v>
      </c>
      <c r="B820" s="712" t="s">
        <v>225</v>
      </c>
      <c r="C820" s="603">
        <v>98300</v>
      </c>
      <c r="D820" s="581">
        <f t="shared" si="93"/>
        <v>120500</v>
      </c>
      <c r="E820" s="581">
        <f t="shared" si="92"/>
        <v>42852</v>
      </c>
      <c r="F820" s="582">
        <f t="shared" si="89"/>
        <v>35.56182572614108</v>
      </c>
      <c r="G820" s="603"/>
      <c r="H820" s="581"/>
      <c r="I820" s="847"/>
      <c r="J820" s="586"/>
      <c r="K820" s="581"/>
      <c r="L820" s="587"/>
      <c r="M820" s="603">
        <f>98300+22200</f>
        <v>120500</v>
      </c>
      <c r="N820" s="581">
        <v>42852</v>
      </c>
      <c r="O820" s="627">
        <f t="shared" si="94"/>
        <v>35.56182572614108</v>
      </c>
      <c r="P820" s="581"/>
      <c r="Q820" s="581"/>
      <c r="R820" s="653"/>
      <c r="S820" s="700"/>
      <c r="T820" s="700"/>
      <c r="U820" s="700"/>
      <c r="V820" s="700"/>
      <c r="W820" s="701"/>
      <c r="X820" s="701"/>
      <c r="Y820" s="701"/>
      <c r="Z820" s="701"/>
    </row>
    <row r="821" spans="1:26" s="702" customFormat="1" ht="48" hidden="1">
      <c r="A821" s="672">
        <v>6060</v>
      </c>
      <c r="B821" s="673" t="s">
        <v>628</v>
      </c>
      <c r="C821" s="674"/>
      <c r="D821" s="675">
        <f t="shared" si="93"/>
        <v>0</v>
      </c>
      <c r="E821" s="675">
        <f t="shared" si="92"/>
        <v>0</v>
      </c>
      <c r="F821" s="643" t="e">
        <f t="shared" si="89"/>
        <v>#DIV/0!</v>
      </c>
      <c r="G821" s="674"/>
      <c r="H821" s="675"/>
      <c r="I821" s="846"/>
      <c r="J821" s="676"/>
      <c r="K821" s="675"/>
      <c r="L821" s="677"/>
      <c r="M821" s="674"/>
      <c r="N821" s="675"/>
      <c r="O821" s="627" t="e">
        <f t="shared" si="94"/>
        <v>#DIV/0!</v>
      </c>
      <c r="P821" s="675"/>
      <c r="Q821" s="675"/>
      <c r="R821" s="680"/>
      <c r="S821" s="700"/>
      <c r="T821" s="700"/>
      <c r="U821" s="700"/>
      <c r="V821" s="700"/>
      <c r="W821" s="701"/>
      <c r="X821" s="701"/>
      <c r="Y821" s="701"/>
      <c r="Z821" s="701"/>
    </row>
    <row r="822" spans="1:26" s="760" customFormat="1" ht="16.5" customHeight="1">
      <c r="A822" s="640">
        <v>80123</v>
      </c>
      <c r="B822" s="742" t="s">
        <v>752</v>
      </c>
      <c r="C822" s="608">
        <f>SUM(C823:C843)</f>
        <v>2007100</v>
      </c>
      <c r="D822" s="595">
        <f>G822+J822+P822+M822</f>
        <v>2007100</v>
      </c>
      <c r="E822" s="595">
        <f>H822+K822+Q822+N822</f>
        <v>567794</v>
      </c>
      <c r="F822" s="596">
        <f t="shared" si="89"/>
        <v>28.289273080563998</v>
      </c>
      <c r="G822" s="608"/>
      <c r="H822" s="595"/>
      <c r="I822" s="845"/>
      <c r="J822" s="600"/>
      <c r="K822" s="595"/>
      <c r="L822" s="601"/>
      <c r="M822" s="608">
        <f>SUM(M823:M843)</f>
        <v>2007100</v>
      </c>
      <c r="N822" s="595">
        <f>SUM(N823:N843)</f>
        <v>567794</v>
      </c>
      <c r="O822" s="624">
        <f t="shared" si="94"/>
        <v>28.289273080563998</v>
      </c>
      <c r="P822" s="595"/>
      <c r="Q822" s="595"/>
      <c r="R822" s="685"/>
      <c r="S822" s="758"/>
      <c r="T822" s="758"/>
      <c r="U822" s="758"/>
      <c r="V822" s="758"/>
      <c r="W822" s="759"/>
      <c r="X822" s="759"/>
      <c r="Y822" s="759"/>
      <c r="Z822" s="759"/>
    </row>
    <row r="823" spans="1:26" s="702" customFormat="1" ht="36">
      <c r="A823" s="667">
        <v>3020</v>
      </c>
      <c r="B823" s="651" t="s">
        <v>736</v>
      </c>
      <c r="C823" s="606">
        <v>8300</v>
      </c>
      <c r="D823" s="615">
        <f aca="true" t="shared" si="95" ref="D823:D874">G823+J823+P823+M823</f>
        <v>8300</v>
      </c>
      <c r="E823" s="615">
        <f aca="true" t="shared" si="96" ref="E823:E843">SUM(H823+K823+N823+Q823)</f>
        <v>842</v>
      </c>
      <c r="F823" s="604">
        <f aca="true" t="shared" si="97" ref="F823:F874">E823/D823*100</f>
        <v>10.144578313253012</v>
      </c>
      <c r="G823" s="606"/>
      <c r="H823" s="615"/>
      <c r="I823" s="858"/>
      <c r="J823" s="618"/>
      <c r="K823" s="615"/>
      <c r="L823" s="619"/>
      <c r="M823" s="606">
        <v>8300</v>
      </c>
      <c r="N823" s="615">
        <v>842</v>
      </c>
      <c r="O823" s="604">
        <f>N823/M823*100</f>
        <v>10.144578313253012</v>
      </c>
      <c r="P823" s="606"/>
      <c r="Q823" s="615"/>
      <c r="R823" s="671"/>
      <c r="S823" s="700"/>
      <c r="T823" s="700"/>
      <c r="U823" s="700"/>
      <c r="V823" s="700"/>
      <c r="W823" s="701"/>
      <c r="X823" s="701"/>
      <c r="Y823" s="701"/>
      <c r="Z823" s="701"/>
    </row>
    <row r="824" spans="1:26" s="702" customFormat="1" ht="26.25" customHeight="1">
      <c r="A824" s="647">
        <v>4010</v>
      </c>
      <c r="B824" s="651" t="s">
        <v>181</v>
      </c>
      <c r="C824" s="603">
        <v>1382200</v>
      </c>
      <c r="D824" s="581">
        <f t="shared" si="95"/>
        <v>1382200</v>
      </c>
      <c r="E824" s="581">
        <f t="shared" si="96"/>
        <v>350048</v>
      </c>
      <c r="F824" s="582">
        <f t="shared" si="97"/>
        <v>25.325423238315732</v>
      </c>
      <c r="G824" s="603"/>
      <c r="H824" s="581"/>
      <c r="I824" s="847"/>
      <c r="J824" s="586"/>
      <c r="K824" s="581"/>
      <c r="L824" s="587"/>
      <c r="M824" s="603">
        <v>1382200</v>
      </c>
      <c r="N824" s="581">
        <v>350048</v>
      </c>
      <c r="O824" s="582">
        <f aca="true" t="shared" si="98" ref="O824:O843">N824/M824*100</f>
        <v>25.325423238315732</v>
      </c>
      <c r="P824" s="581"/>
      <c r="Q824" s="581"/>
      <c r="R824" s="653"/>
      <c r="S824" s="482"/>
      <c r="T824" s="482"/>
      <c r="U824" s="482"/>
      <c r="V824" s="482"/>
      <c r="W824" s="701"/>
      <c r="X824" s="701"/>
      <c r="Y824" s="701"/>
      <c r="Z824" s="701"/>
    </row>
    <row r="825" spans="1:26" s="702" customFormat="1" ht="24">
      <c r="A825" s="647">
        <v>4040</v>
      </c>
      <c r="B825" s="651" t="s">
        <v>185</v>
      </c>
      <c r="C825" s="603">
        <v>120600</v>
      </c>
      <c r="D825" s="581">
        <f t="shared" si="95"/>
        <v>120600</v>
      </c>
      <c r="E825" s="581">
        <f t="shared" si="96"/>
        <v>83897</v>
      </c>
      <c r="F825" s="582">
        <f t="shared" si="97"/>
        <v>69.56633499170812</v>
      </c>
      <c r="G825" s="603"/>
      <c r="H825" s="581"/>
      <c r="I825" s="847"/>
      <c r="J825" s="586"/>
      <c r="K825" s="581"/>
      <c r="L825" s="587"/>
      <c r="M825" s="603">
        <v>120600</v>
      </c>
      <c r="N825" s="581">
        <v>83897</v>
      </c>
      <c r="O825" s="582">
        <f t="shared" si="98"/>
        <v>69.56633499170812</v>
      </c>
      <c r="P825" s="581"/>
      <c r="Q825" s="581"/>
      <c r="R825" s="653"/>
      <c r="S825" s="482"/>
      <c r="T825" s="482"/>
      <c r="U825" s="482"/>
      <c r="V825" s="482"/>
      <c r="W825" s="701"/>
      <c r="X825" s="701"/>
      <c r="Y825" s="701"/>
      <c r="Z825" s="701"/>
    </row>
    <row r="826" spans="1:26" s="702" customFormat="1" ht="27.75" customHeight="1">
      <c r="A826" s="647">
        <v>4110</v>
      </c>
      <c r="B826" s="651" t="s">
        <v>187</v>
      </c>
      <c r="C826" s="603">
        <v>225100</v>
      </c>
      <c r="D826" s="581">
        <f t="shared" si="95"/>
        <v>225100</v>
      </c>
      <c r="E826" s="581">
        <f t="shared" si="96"/>
        <v>54244</v>
      </c>
      <c r="F826" s="582">
        <f t="shared" si="97"/>
        <v>24.097734340293204</v>
      </c>
      <c r="G826" s="603"/>
      <c r="H826" s="581"/>
      <c r="I826" s="847"/>
      <c r="J826" s="586"/>
      <c r="K826" s="581"/>
      <c r="L826" s="587"/>
      <c r="M826" s="603">
        <v>225100</v>
      </c>
      <c r="N826" s="581">
        <v>54244</v>
      </c>
      <c r="O826" s="582">
        <f t="shared" si="98"/>
        <v>24.097734340293204</v>
      </c>
      <c r="P826" s="581"/>
      <c r="Q826" s="581"/>
      <c r="R826" s="653"/>
      <c r="S826" s="482"/>
      <c r="T826" s="482"/>
      <c r="U826" s="482"/>
      <c r="V826" s="482"/>
      <c r="W826" s="701"/>
      <c r="X826" s="701"/>
      <c r="Y826" s="701"/>
      <c r="Z826" s="701"/>
    </row>
    <row r="827" spans="1:26" s="702" customFormat="1" ht="12.75">
      <c r="A827" s="647">
        <v>4120</v>
      </c>
      <c r="B827" s="651" t="s">
        <v>619</v>
      </c>
      <c r="C827" s="603">
        <v>36700</v>
      </c>
      <c r="D827" s="581">
        <f t="shared" si="95"/>
        <v>36700</v>
      </c>
      <c r="E827" s="581">
        <f t="shared" si="96"/>
        <v>7253</v>
      </c>
      <c r="F827" s="582">
        <f t="shared" si="97"/>
        <v>19.762942779291553</v>
      </c>
      <c r="G827" s="603"/>
      <c r="H827" s="581"/>
      <c r="I827" s="847"/>
      <c r="J827" s="586"/>
      <c r="K827" s="581"/>
      <c r="L827" s="587"/>
      <c r="M827" s="603">
        <v>36700</v>
      </c>
      <c r="N827" s="581">
        <v>7253</v>
      </c>
      <c r="O827" s="582">
        <f t="shared" si="98"/>
        <v>19.762942779291553</v>
      </c>
      <c r="P827" s="581"/>
      <c r="Q827" s="581"/>
      <c r="R827" s="653"/>
      <c r="S827" s="482"/>
      <c r="T827" s="482"/>
      <c r="U827" s="482"/>
      <c r="V827" s="482"/>
      <c r="W827" s="701"/>
      <c r="X827" s="701"/>
      <c r="Y827" s="701"/>
      <c r="Z827" s="701"/>
    </row>
    <row r="828" spans="1:26" s="702" customFormat="1" ht="12.75">
      <c r="A828" s="647">
        <v>4140</v>
      </c>
      <c r="B828" s="651" t="s">
        <v>252</v>
      </c>
      <c r="C828" s="603">
        <v>6000</v>
      </c>
      <c r="D828" s="581">
        <f t="shared" si="95"/>
        <v>6000</v>
      </c>
      <c r="E828" s="581">
        <f t="shared" si="96"/>
        <v>1020</v>
      </c>
      <c r="F828" s="582">
        <f t="shared" si="97"/>
        <v>17</v>
      </c>
      <c r="G828" s="603"/>
      <c r="H828" s="581"/>
      <c r="I828" s="847"/>
      <c r="J828" s="586"/>
      <c r="K828" s="581"/>
      <c r="L828" s="587"/>
      <c r="M828" s="603">
        <v>6000</v>
      </c>
      <c r="N828" s="581">
        <v>1020</v>
      </c>
      <c r="O828" s="582">
        <f t="shared" si="98"/>
        <v>17</v>
      </c>
      <c r="P828" s="581"/>
      <c r="Q828" s="581"/>
      <c r="R828" s="653"/>
      <c r="S828" s="700"/>
      <c r="T828" s="700"/>
      <c r="U828" s="700"/>
      <c r="V828" s="700"/>
      <c r="W828" s="701"/>
      <c r="X828" s="701"/>
      <c r="Y828" s="701"/>
      <c r="Z828" s="701"/>
    </row>
    <row r="829" spans="1:26" s="702" customFormat="1" ht="24">
      <c r="A829" s="647">
        <v>4210</v>
      </c>
      <c r="B829" s="651" t="s">
        <v>191</v>
      </c>
      <c r="C829" s="603">
        <v>29000</v>
      </c>
      <c r="D829" s="581">
        <f t="shared" si="95"/>
        <v>29000</v>
      </c>
      <c r="E829" s="581">
        <f t="shared" si="96"/>
        <v>5826</v>
      </c>
      <c r="F829" s="582">
        <f t="shared" si="97"/>
        <v>20.089655172413792</v>
      </c>
      <c r="G829" s="603"/>
      <c r="H829" s="581"/>
      <c r="I829" s="847"/>
      <c r="J829" s="586"/>
      <c r="K829" s="581"/>
      <c r="L829" s="587"/>
      <c r="M829" s="603">
        <v>29000</v>
      </c>
      <c r="N829" s="581">
        <v>5826</v>
      </c>
      <c r="O829" s="582">
        <f t="shared" si="98"/>
        <v>20.089655172413792</v>
      </c>
      <c r="P829" s="581"/>
      <c r="Q829" s="581"/>
      <c r="R829" s="653"/>
      <c r="S829" s="700"/>
      <c r="T829" s="700"/>
      <c r="U829" s="700"/>
      <c r="V829" s="700"/>
      <c r="W829" s="701"/>
      <c r="X829" s="701"/>
      <c r="Y829" s="701"/>
      <c r="Z829" s="701"/>
    </row>
    <row r="830" spans="1:26" s="702" customFormat="1" ht="29.25" customHeight="1">
      <c r="A830" s="647">
        <v>4240</v>
      </c>
      <c r="B830" s="651" t="s">
        <v>696</v>
      </c>
      <c r="C830" s="603">
        <v>8000</v>
      </c>
      <c r="D830" s="581">
        <f t="shared" si="95"/>
        <v>8000</v>
      </c>
      <c r="E830" s="581">
        <f t="shared" si="96"/>
        <v>1139</v>
      </c>
      <c r="F830" s="582">
        <f t="shared" si="97"/>
        <v>14.2375</v>
      </c>
      <c r="G830" s="603"/>
      <c r="H830" s="581"/>
      <c r="I830" s="847"/>
      <c r="J830" s="586"/>
      <c r="K830" s="581"/>
      <c r="L830" s="587"/>
      <c r="M830" s="603">
        <v>8000</v>
      </c>
      <c r="N830" s="581">
        <v>1139</v>
      </c>
      <c r="O830" s="582">
        <f t="shared" si="98"/>
        <v>14.2375</v>
      </c>
      <c r="P830" s="581"/>
      <c r="Q830" s="581"/>
      <c r="R830" s="653"/>
      <c r="S830" s="700"/>
      <c r="T830" s="700"/>
      <c r="U830" s="700"/>
      <c r="V830" s="700"/>
      <c r="W830" s="701"/>
      <c r="X830" s="701"/>
      <c r="Y830" s="701"/>
      <c r="Z830" s="701"/>
    </row>
    <row r="831" spans="1:26" s="702" customFormat="1" ht="12.75">
      <c r="A831" s="647">
        <v>4260</v>
      </c>
      <c r="B831" s="651" t="s">
        <v>195</v>
      </c>
      <c r="C831" s="603">
        <v>56600</v>
      </c>
      <c r="D831" s="581">
        <f t="shared" si="95"/>
        <v>56600</v>
      </c>
      <c r="E831" s="581">
        <f t="shared" si="96"/>
        <v>40374</v>
      </c>
      <c r="F831" s="582">
        <f t="shared" si="97"/>
        <v>71.3321554770318</v>
      </c>
      <c r="G831" s="603"/>
      <c r="H831" s="581"/>
      <c r="I831" s="847"/>
      <c r="J831" s="586"/>
      <c r="K831" s="581"/>
      <c r="L831" s="587"/>
      <c r="M831" s="603">
        <v>56600</v>
      </c>
      <c r="N831" s="581">
        <v>40374</v>
      </c>
      <c r="O831" s="582">
        <f t="shared" si="98"/>
        <v>71.3321554770318</v>
      </c>
      <c r="P831" s="581"/>
      <c r="Q831" s="581"/>
      <c r="R831" s="653"/>
      <c r="S831" s="700"/>
      <c r="T831" s="700"/>
      <c r="U831" s="700"/>
      <c r="V831" s="700"/>
      <c r="W831" s="701"/>
      <c r="X831" s="701"/>
      <c r="Y831" s="701"/>
      <c r="Z831" s="701"/>
    </row>
    <row r="832" spans="1:26" s="702" customFormat="1" ht="13.5" customHeight="1">
      <c r="A832" s="647">
        <v>4270</v>
      </c>
      <c r="B832" s="651" t="s">
        <v>197</v>
      </c>
      <c r="C832" s="603">
        <v>4500</v>
      </c>
      <c r="D832" s="581">
        <f t="shared" si="95"/>
        <v>4500</v>
      </c>
      <c r="E832" s="581">
        <f t="shared" si="96"/>
        <v>0</v>
      </c>
      <c r="F832" s="582">
        <f t="shared" si="97"/>
        <v>0</v>
      </c>
      <c r="G832" s="603"/>
      <c r="H832" s="581"/>
      <c r="I832" s="847"/>
      <c r="J832" s="586"/>
      <c r="K832" s="581"/>
      <c r="L832" s="587"/>
      <c r="M832" s="603">
        <v>4500</v>
      </c>
      <c r="N832" s="581"/>
      <c r="O832" s="582">
        <f t="shared" si="98"/>
        <v>0</v>
      </c>
      <c r="P832" s="581"/>
      <c r="Q832" s="581"/>
      <c r="R832" s="653"/>
      <c r="S832" s="700"/>
      <c r="T832" s="700"/>
      <c r="U832" s="700"/>
      <c r="V832" s="700"/>
      <c r="W832" s="701"/>
      <c r="X832" s="701"/>
      <c r="Y832" s="701"/>
      <c r="Z832" s="701"/>
    </row>
    <row r="833" spans="1:26" s="702" customFormat="1" ht="14.25" customHeight="1">
      <c r="A833" s="647">
        <v>4280</v>
      </c>
      <c r="B833" s="651" t="s">
        <v>582</v>
      </c>
      <c r="C833" s="603">
        <v>1400</v>
      </c>
      <c r="D833" s="581">
        <f t="shared" si="95"/>
        <v>1400</v>
      </c>
      <c r="E833" s="581">
        <f t="shared" si="96"/>
        <v>497</v>
      </c>
      <c r="F833" s="582">
        <f t="shared" si="97"/>
        <v>35.5</v>
      </c>
      <c r="G833" s="603"/>
      <c r="H833" s="581"/>
      <c r="I833" s="847"/>
      <c r="J833" s="586"/>
      <c r="K833" s="581"/>
      <c r="L833" s="587"/>
      <c r="M833" s="603">
        <v>1400</v>
      </c>
      <c r="N833" s="581">
        <v>497</v>
      </c>
      <c r="O833" s="582">
        <f t="shared" si="98"/>
        <v>35.5</v>
      </c>
      <c r="P833" s="581"/>
      <c r="Q833" s="581"/>
      <c r="R833" s="653"/>
      <c r="S833" s="700"/>
      <c r="T833" s="700"/>
      <c r="U833" s="700"/>
      <c r="V833" s="700"/>
      <c r="W833" s="701"/>
      <c r="X833" s="701"/>
      <c r="Y833" s="701"/>
      <c r="Z833" s="701"/>
    </row>
    <row r="834" spans="1:26" s="702" customFormat="1" ht="16.5" customHeight="1">
      <c r="A834" s="647">
        <v>4300</v>
      </c>
      <c r="B834" s="651" t="s">
        <v>199</v>
      </c>
      <c r="C834" s="603">
        <v>25000</v>
      </c>
      <c r="D834" s="581">
        <f t="shared" si="95"/>
        <v>25000</v>
      </c>
      <c r="E834" s="581">
        <f t="shared" si="96"/>
        <v>3338</v>
      </c>
      <c r="F834" s="582">
        <f t="shared" si="97"/>
        <v>13.352</v>
      </c>
      <c r="G834" s="603"/>
      <c r="H834" s="581"/>
      <c r="I834" s="847"/>
      <c r="J834" s="586"/>
      <c r="K834" s="581"/>
      <c r="L834" s="587"/>
      <c r="M834" s="603">
        <v>25000</v>
      </c>
      <c r="N834" s="581">
        <v>3338</v>
      </c>
      <c r="O834" s="582">
        <f t="shared" si="98"/>
        <v>13.352</v>
      </c>
      <c r="P834" s="581"/>
      <c r="Q834" s="581"/>
      <c r="R834" s="653"/>
      <c r="S834" s="700"/>
      <c r="T834" s="700"/>
      <c r="U834" s="700"/>
      <c r="V834" s="700"/>
      <c r="W834" s="701"/>
      <c r="X834" s="701"/>
      <c r="Y834" s="701"/>
      <c r="Z834" s="701"/>
    </row>
    <row r="835" spans="1:26" s="702" customFormat="1" ht="24">
      <c r="A835" s="647">
        <v>4350</v>
      </c>
      <c r="B835" s="651" t="s">
        <v>584</v>
      </c>
      <c r="C835" s="603">
        <v>1700</v>
      </c>
      <c r="D835" s="581">
        <f t="shared" si="95"/>
        <v>1700</v>
      </c>
      <c r="E835" s="581">
        <f t="shared" si="96"/>
        <v>165</v>
      </c>
      <c r="F835" s="582">
        <f t="shared" si="97"/>
        <v>9.705882352941178</v>
      </c>
      <c r="G835" s="586"/>
      <c r="H835" s="586"/>
      <c r="I835" s="847"/>
      <c r="J835" s="586"/>
      <c r="K835" s="581"/>
      <c r="L835" s="587"/>
      <c r="M835" s="603">
        <v>1700</v>
      </c>
      <c r="N835" s="581">
        <v>165</v>
      </c>
      <c r="O835" s="582">
        <f t="shared" si="98"/>
        <v>9.705882352941178</v>
      </c>
      <c r="P835" s="581"/>
      <c r="Q835" s="581"/>
      <c r="R835" s="653"/>
      <c r="S835" s="700"/>
      <c r="T835" s="700"/>
      <c r="U835" s="700"/>
      <c r="V835" s="700"/>
      <c r="W835" s="701"/>
      <c r="X835" s="701"/>
      <c r="Y835" s="701"/>
      <c r="Z835" s="701"/>
    </row>
    <row r="836" spans="1:26" s="702" customFormat="1" ht="57.75" customHeight="1">
      <c r="A836" s="647">
        <v>4360</v>
      </c>
      <c r="B836" s="712" t="s">
        <v>431</v>
      </c>
      <c r="C836" s="603">
        <v>600</v>
      </c>
      <c r="D836" s="581">
        <f>G836+J836+P836+M836</f>
        <v>600</v>
      </c>
      <c r="E836" s="581">
        <f>SUM(H836+K836+N836+Q836)</f>
        <v>193</v>
      </c>
      <c r="F836" s="582">
        <f t="shared" si="97"/>
        <v>32.166666666666664</v>
      </c>
      <c r="G836" s="586"/>
      <c r="H836" s="586"/>
      <c r="I836" s="847"/>
      <c r="J836" s="586"/>
      <c r="K836" s="581"/>
      <c r="L836" s="587"/>
      <c r="M836" s="603">
        <v>600</v>
      </c>
      <c r="N836" s="581">
        <v>193</v>
      </c>
      <c r="O836" s="582">
        <f t="shared" si="98"/>
        <v>32.166666666666664</v>
      </c>
      <c r="P836" s="581"/>
      <c r="Q836" s="581"/>
      <c r="R836" s="653"/>
      <c r="S836" s="700"/>
      <c r="T836" s="700"/>
      <c r="U836" s="700"/>
      <c r="V836" s="700"/>
      <c r="W836" s="701"/>
      <c r="X836" s="701"/>
      <c r="Y836" s="701"/>
      <c r="Z836" s="701"/>
    </row>
    <row r="837" spans="1:26" s="702" customFormat="1" ht="60" customHeight="1">
      <c r="A837" s="647">
        <v>4370</v>
      </c>
      <c r="B837" s="712" t="s">
        <v>432</v>
      </c>
      <c r="C837" s="603">
        <v>3500</v>
      </c>
      <c r="D837" s="581">
        <f>G837+J837+P837+M837</f>
        <v>3500</v>
      </c>
      <c r="E837" s="581">
        <f>SUM(H837+K837+N837+Q837)</f>
        <v>1262</v>
      </c>
      <c r="F837" s="582">
        <f t="shared" si="97"/>
        <v>36.05714285714286</v>
      </c>
      <c r="G837" s="586"/>
      <c r="H837" s="586"/>
      <c r="I837" s="847"/>
      <c r="J837" s="586"/>
      <c r="K837" s="581"/>
      <c r="L837" s="587"/>
      <c r="M837" s="603">
        <v>3500</v>
      </c>
      <c r="N837" s="581">
        <v>1262</v>
      </c>
      <c r="O837" s="582">
        <f t="shared" si="98"/>
        <v>36.05714285714286</v>
      </c>
      <c r="P837" s="581"/>
      <c r="Q837" s="581"/>
      <c r="R837" s="653"/>
      <c r="S837" s="700"/>
      <c r="T837" s="700"/>
      <c r="U837" s="700"/>
      <c r="V837" s="700"/>
      <c r="W837" s="701"/>
      <c r="X837" s="701"/>
      <c r="Y837" s="701"/>
      <c r="Z837" s="701"/>
    </row>
    <row r="838" spans="1:26" s="702" customFormat="1" ht="35.25" customHeight="1">
      <c r="A838" s="647">
        <v>4390</v>
      </c>
      <c r="B838" s="651" t="s">
        <v>222</v>
      </c>
      <c r="C838" s="603">
        <v>3300</v>
      </c>
      <c r="D838" s="581">
        <f>G838+J838+P838+M838</f>
        <v>3300</v>
      </c>
      <c r="E838" s="581">
        <f>SUM(H838+K838+N838+Q838)</f>
        <v>0</v>
      </c>
      <c r="F838" s="582">
        <f t="shared" si="97"/>
        <v>0</v>
      </c>
      <c r="G838" s="586"/>
      <c r="H838" s="586"/>
      <c r="I838" s="847"/>
      <c r="J838" s="586"/>
      <c r="K838" s="581"/>
      <c r="L838" s="587"/>
      <c r="M838" s="603">
        <v>3300</v>
      </c>
      <c r="N838" s="581"/>
      <c r="O838" s="582">
        <f t="shared" si="98"/>
        <v>0</v>
      </c>
      <c r="P838" s="581"/>
      <c r="Q838" s="581"/>
      <c r="R838" s="653"/>
      <c r="S838" s="700"/>
      <c r="T838" s="700"/>
      <c r="U838" s="700"/>
      <c r="V838" s="700"/>
      <c r="W838" s="701"/>
      <c r="X838" s="701"/>
      <c r="Y838" s="701"/>
      <c r="Z838" s="701"/>
    </row>
    <row r="839" spans="1:26" s="702" customFormat="1" ht="14.25" customHeight="1">
      <c r="A839" s="647">
        <v>4410</v>
      </c>
      <c r="B839" s="651" t="s">
        <v>173</v>
      </c>
      <c r="C839" s="603">
        <v>2000</v>
      </c>
      <c r="D839" s="581">
        <f t="shared" si="95"/>
        <v>2000</v>
      </c>
      <c r="E839" s="581">
        <f t="shared" si="96"/>
        <v>249</v>
      </c>
      <c r="F839" s="582">
        <f t="shared" si="97"/>
        <v>12.45</v>
      </c>
      <c r="G839" s="581"/>
      <c r="H839" s="586"/>
      <c r="I839" s="847"/>
      <c r="J839" s="586"/>
      <c r="K839" s="581"/>
      <c r="L839" s="587"/>
      <c r="M839" s="603">
        <v>2000</v>
      </c>
      <c r="N839" s="581">
        <v>249</v>
      </c>
      <c r="O839" s="582">
        <f t="shared" si="98"/>
        <v>12.45</v>
      </c>
      <c r="P839" s="581"/>
      <c r="Q839" s="581"/>
      <c r="R839" s="653"/>
      <c r="S839" s="700"/>
      <c r="T839" s="700"/>
      <c r="U839" s="700"/>
      <c r="V839" s="700"/>
      <c r="W839" s="701"/>
      <c r="X839" s="701"/>
      <c r="Y839" s="701"/>
      <c r="Z839" s="701"/>
    </row>
    <row r="840" spans="1:26" s="702" customFormat="1" ht="12.75">
      <c r="A840" s="647">
        <v>4440</v>
      </c>
      <c r="B840" s="651" t="s">
        <v>203</v>
      </c>
      <c r="C840" s="603">
        <v>80100</v>
      </c>
      <c r="D840" s="581">
        <f t="shared" si="95"/>
        <v>80100</v>
      </c>
      <c r="E840" s="581">
        <f>SUM(H840+K840+N840+Q840)</f>
        <v>15906</v>
      </c>
      <c r="F840" s="582">
        <f t="shared" si="97"/>
        <v>19.857677902621724</v>
      </c>
      <c r="G840" s="581"/>
      <c r="H840" s="586"/>
      <c r="I840" s="847"/>
      <c r="J840" s="586"/>
      <c r="K840" s="581"/>
      <c r="L840" s="587"/>
      <c r="M840" s="603">
        <v>80100</v>
      </c>
      <c r="N840" s="581">
        <v>15906</v>
      </c>
      <c r="O840" s="582">
        <f t="shared" si="98"/>
        <v>19.857677902621724</v>
      </c>
      <c r="P840" s="581"/>
      <c r="Q840" s="581"/>
      <c r="R840" s="653"/>
      <c r="S840" s="700"/>
      <c r="T840" s="700"/>
      <c r="U840" s="700"/>
      <c r="V840" s="700"/>
      <c r="W840" s="701"/>
      <c r="X840" s="701"/>
      <c r="Y840" s="701"/>
      <c r="Z840" s="701"/>
    </row>
    <row r="841" spans="1:26" s="702" customFormat="1" ht="36.75" customHeight="1">
      <c r="A841" s="647">
        <v>4700</v>
      </c>
      <c r="B841" s="712" t="s">
        <v>588</v>
      </c>
      <c r="C841" s="603">
        <v>3100</v>
      </c>
      <c r="D841" s="581">
        <f t="shared" si="95"/>
        <v>3100</v>
      </c>
      <c r="E841" s="581">
        <f>SUM(H841+K841+N841+Q841)</f>
        <v>126</v>
      </c>
      <c r="F841" s="582">
        <f t="shared" si="97"/>
        <v>4.064516129032258</v>
      </c>
      <c r="G841" s="581"/>
      <c r="H841" s="586"/>
      <c r="I841" s="847"/>
      <c r="J841" s="586"/>
      <c r="K841" s="581"/>
      <c r="L841" s="587"/>
      <c r="M841" s="603">
        <v>3100</v>
      </c>
      <c r="N841" s="581">
        <v>126</v>
      </c>
      <c r="O841" s="582">
        <f t="shared" si="98"/>
        <v>4.064516129032258</v>
      </c>
      <c r="P841" s="581"/>
      <c r="Q841" s="581"/>
      <c r="R841" s="653"/>
      <c r="S841" s="700"/>
      <c r="T841" s="700"/>
      <c r="U841" s="700"/>
      <c r="V841" s="700"/>
      <c r="W841" s="701"/>
      <c r="X841" s="701"/>
      <c r="Y841" s="701"/>
      <c r="Z841" s="701"/>
    </row>
    <row r="842" spans="1:26" s="702" customFormat="1" ht="54" customHeight="1">
      <c r="A842" s="647">
        <v>4740</v>
      </c>
      <c r="B842" s="712" t="s">
        <v>215</v>
      </c>
      <c r="C842" s="603">
        <v>4100</v>
      </c>
      <c r="D842" s="581">
        <f t="shared" si="95"/>
        <v>4100</v>
      </c>
      <c r="E842" s="581">
        <f t="shared" si="96"/>
        <v>241</v>
      </c>
      <c r="F842" s="582">
        <f t="shared" si="97"/>
        <v>5.878048780487805</v>
      </c>
      <c r="G842" s="581"/>
      <c r="H842" s="586"/>
      <c r="I842" s="847"/>
      <c r="J842" s="586"/>
      <c r="K842" s="581"/>
      <c r="L842" s="587"/>
      <c r="M842" s="603">
        <v>4100</v>
      </c>
      <c r="N842" s="581">
        <v>241</v>
      </c>
      <c r="O842" s="582">
        <f t="shared" si="98"/>
        <v>5.878048780487805</v>
      </c>
      <c r="P842" s="581"/>
      <c r="Q842" s="581"/>
      <c r="R842" s="653"/>
      <c r="S842" s="700"/>
      <c r="T842" s="700"/>
      <c r="U842" s="700"/>
      <c r="V842" s="700"/>
      <c r="W842" s="701"/>
      <c r="X842" s="701"/>
      <c r="Y842" s="701"/>
      <c r="Z842" s="701"/>
    </row>
    <row r="843" spans="1:26" s="702" customFormat="1" ht="36">
      <c r="A843" s="647">
        <v>4750</v>
      </c>
      <c r="B843" s="712" t="s">
        <v>589</v>
      </c>
      <c r="C843" s="674">
        <v>5300</v>
      </c>
      <c r="D843" s="581">
        <f t="shared" si="95"/>
        <v>5300</v>
      </c>
      <c r="E843" s="581">
        <f t="shared" si="96"/>
        <v>1174</v>
      </c>
      <c r="F843" s="582">
        <f t="shared" si="97"/>
        <v>22.150943396226417</v>
      </c>
      <c r="G843" s="675"/>
      <c r="H843" s="676"/>
      <c r="I843" s="846"/>
      <c r="J843" s="676"/>
      <c r="K843" s="675"/>
      <c r="L843" s="677"/>
      <c r="M843" s="674">
        <v>5300</v>
      </c>
      <c r="N843" s="675">
        <f>1175-1</f>
        <v>1174</v>
      </c>
      <c r="O843" s="582">
        <f t="shared" si="98"/>
        <v>22.150943396226417</v>
      </c>
      <c r="P843" s="675"/>
      <c r="Q843" s="675"/>
      <c r="R843" s="680"/>
      <c r="S843" s="700"/>
      <c r="T843" s="700"/>
      <c r="U843" s="700"/>
      <c r="V843" s="700"/>
      <c r="W843" s="701"/>
      <c r="X843" s="701"/>
      <c r="Y843" s="701"/>
      <c r="Z843" s="701"/>
    </row>
    <row r="844" spans="1:26" s="702" customFormat="1" ht="17.25" customHeight="1">
      <c r="A844" s="640">
        <v>80130</v>
      </c>
      <c r="B844" s="742" t="s">
        <v>753</v>
      </c>
      <c r="C844" s="608">
        <f>SUM(C845:C874)</f>
        <v>22955000</v>
      </c>
      <c r="D844" s="595">
        <f t="shared" si="95"/>
        <v>22955000</v>
      </c>
      <c r="E844" s="595">
        <f>H844+K844+Q844+N844</f>
        <v>5952652</v>
      </c>
      <c r="F844" s="596">
        <f t="shared" si="97"/>
        <v>25.93183184491396</v>
      </c>
      <c r="G844" s="735"/>
      <c r="H844" s="736"/>
      <c r="I844" s="845"/>
      <c r="J844" s="736"/>
      <c r="K844" s="735"/>
      <c r="L844" s="737"/>
      <c r="M844" s="608">
        <f>SUM(M845:M874)</f>
        <v>22955000</v>
      </c>
      <c r="N844" s="595">
        <f>SUM(N845:N874)</f>
        <v>5952652</v>
      </c>
      <c r="O844" s="624">
        <f t="shared" si="94"/>
        <v>25.93183184491396</v>
      </c>
      <c r="P844" s="595"/>
      <c r="Q844" s="595"/>
      <c r="R844" s="731"/>
      <c r="S844" s="700"/>
      <c r="T844" s="700"/>
      <c r="U844" s="700"/>
      <c r="V844" s="700"/>
      <c r="W844" s="701"/>
      <c r="X844" s="701"/>
      <c r="Y844" s="701"/>
      <c r="Z844" s="701"/>
    </row>
    <row r="845" spans="1:26" s="702" customFormat="1" ht="41.25" customHeight="1">
      <c r="A845" s="667">
        <v>2540</v>
      </c>
      <c r="B845" s="668" t="s">
        <v>735</v>
      </c>
      <c r="C845" s="606">
        <v>4800000</v>
      </c>
      <c r="D845" s="615">
        <f t="shared" si="95"/>
        <v>4800000</v>
      </c>
      <c r="E845" s="615">
        <f>SUM(H845+K845+N845+Q845)</f>
        <v>1037672</v>
      </c>
      <c r="F845" s="604">
        <f t="shared" si="97"/>
        <v>21.618166666666667</v>
      </c>
      <c r="G845" s="615"/>
      <c r="H845" s="618"/>
      <c r="I845" s="858"/>
      <c r="J845" s="618"/>
      <c r="K845" s="615"/>
      <c r="L845" s="619"/>
      <c r="M845" s="606">
        <v>4800000</v>
      </c>
      <c r="N845" s="615">
        <v>1037672</v>
      </c>
      <c r="O845" s="669">
        <f t="shared" si="94"/>
        <v>21.618166666666667</v>
      </c>
      <c r="P845" s="615"/>
      <c r="Q845" s="615"/>
      <c r="R845" s="671"/>
      <c r="S845" s="700"/>
      <c r="T845" s="700"/>
      <c r="U845" s="700"/>
      <c r="V845" s="700"/>
      <c r="W845" s="701"/>
      <c r="X845" s="701"/>
      <c r="Y845" s="701"/>
      <c r="Z845" s="701"/>
    </row>
    <row r="846" spans="1:26" s="702" customFormat="1" ht="79.5" customHeight="1">
      <c r="A846" s="647">
        <v>2590</v>
      </c>
      <c r="B846" s="651" t="s">
        <v>754</v>
      </c>
      <c r="C846" s="603">
        <v>560000</v>
      </c>
      <c r="D846" s="581">
        <f>G846+J846+P846+M846</f>
        <v>560000</v>
      </c>
      <c r="E846" s="581">
        <f>SUM(H846+K846+N846+Q846)</f>
        <v>151345</v>
      </c>
      <c r="F846" s="582">
        <f>E846/D846*100</f>
        <v>27.025892857142857</v>
      </c>
      <c r="G846" s="581"/>
      <c r="H846" s="586"/>
      <c r="I846" s="847"/>
      <c r="J846" s="586"/>
      <c r="K846" s="581"/>
      <c r="L846" s="587"/>
      <c r="M846" s="603">
        <v>560000</v>
      </c>
      <c r="N846" s="581">
        <v>151345</v>
      </c>
      <c r="O846" s="627">
        <f t="shared" si="94"/>
        <v>27.025892857142857</v>
      </c>
      <c r="P846" s="581"/>
      <c r="Q846" s="581"/>
      <c r="R846" s="653"/>
      <c r="S846" s="700"/>
      <c r="T846" s="700"/>
      <c r="U846" s="700"/>
      <c r="V846" s="700"/>
      <c r="W846" s="701"/>
      <c r="X846" s="701"/>
      <c r="Y846" s="701"/>
      <c r="Z846" s="701"/>
    </row>
    <row r="847" spans="1:26" s="702" customFormat="1" ht="36">
      <c r="A847" s="647">
        <v>3020</v>
      </c>
      <c r="B847" s="651" t="s">
        <v>736</v>
      </c>
      <c r="C847" s="603">
        <v>88200</v>
      </c>
      <c r="D847" s="581">
        <f t="shared" si="95"/>
        <v>88200</v>
      </c>
      <c r="E847" s="581">
        <f aca="true" t="shared" si="99" ref="E847:E874">SUM(H847+K847+N847+Q847)</f>
        <v>8232</v>
      </c>
      <c r="F847" s="582">
        <f t="shared" si="97"/>
        <v>9.333333333333334</v>
      </c>
      <c r="G847" s="581"/>
      <c r="H847" s="586"/>
      <c r="I847" s="847"/>
      <c r="J847" s="586"/>
      <c r="K847" s="581"/>
      <c r="L847" s="587"/>
      <c r="M847" s="603">
        <v>88200</v>
      </c>
      <c r="N847" s="581">
        <v>8232</v>
      </c>
      <c r="O847" s="627">
        <f t="shared" si="94"/>
        <v>9.333333333333334</v>
      </c>
      <c r="P847" s="581"/>
      <c r="Q847" s="581"/>
      <c r="R847" s="653"/>
      <c r="S847" s="700"/>
      <c r="T847" s="700"/>
      <c r="U847" s="700"/>
      <c r="V847" s="700"/>
      <c r="W847" s="701"/>
      <c r="X847" s="701"/>
      <c r="Y847" s="701"/>
      <c r="Z847" s="701"/>
    </row>
    <row r="848" spans="1:26" s="702" customFormat="1" ht="12.75">
      <c r="A848" s="647">
        <v>3050</v>
      </c>
      <c r="B848" s="651" t="s">
        <v>755</v>
      </c>
      <c r="C848" s="603">
        <v>18900</v>
      </c>
      <c r="D848" s="581">
        <f t="shared" si="95"/>
        <v>18900</v>
      </c>
      <c r="E848" s="581">
        <f t="shared" si="99"/>
        <v>4989</v>
      </c>
      <c r="F848" s="582">
        <f t="shared" si="97"/>
        <v>26.396825396825395</v>
      </c>
      <c r="G848" s="581"/>
      <c r="H848" s="586"/>
      <c r="I848" s="847"/>
      <c r="J848" s="586"/>
      <c r="K848" s="581"/>
      <c r="L848" s="587"/>
      <c r="M848" s="603">
        <v>18900</v>
      </c>
      <c r="N848" s="581">
        <v>4989</v>
      </c>
      <c r="O848" s="627">
        <f t="shared" si="94"/>
        <v>26.396825396825395</v>
      </c>
      <c r="P848" s="581"/>
      <c r="Q848" s="581"/>
      <c r="R848" s="653"/>
      <c r="S848" s="700"/>
      <c r="T848" s="700"/>
      <c r="U848" s="700"/>
      <c r="V848" s="700"/>
      <c r="W848" s="701"/>
      <c r="X848" s="701"/>
      <c r="Y848" s="701"/>
      <c r="Z848" s="701"/>
    </row>
    <row r="849" spans="1:26" s="702" customFormat="1" ht="24" hidden="1">
      <c r="A849" s="647">
        <v>3110</v>
      </c>
      <c r="B849" s="651" t="s">
        <v>740</v>
      </c>
      <c r="C849" s="603"/>
      <c r="D849" s="581">
        <f>G849+J849+P849+M849</f>
        <v>0</v>
      </c>
      <c r="E849" s="581">
        <f>SUM(H849+K849+N849+Q849)</f>
        <v>0</v>
      </c>
      <c r="F849" s="582" t="e">
        <f>E849/D849*100</f>
        <v>#DIV/0!</v>
      </c>
      <c r="G849" s="581"/>
      <c r="H849" s="586"/>
      <c r="I849" s="847"/>
      <c r="J849" s="586"/>
      <c r="K849" s="581"/>
      <c r="L849" s="587"/>
      <c r="M849" s="603"/>
      <c r="N849" s="581"/>
      <c r="O849" s="627" t="e">
        <f t="shared" si="94"/>
        <v>#DIV/0!</v>
      </c>
      <c r="P849" s="581"/>
      <c r="Q849" s="581"/>
      <c r="R849" s="653"/>
      <c r="S849" s="700"/>
      <c r="T849" s="700"/>
      <c r="U849" s="700"/>
      <c r="V849" s="700"/>
      <c r="W849" s="701"/>
      <c r="X849" s="701"/>
      <c r="Y849" s="701"/>
      <c r="Z849" s="701"/>
    </row>
    <row r="850" spans="1:26" s="702" customFormat="1" ht="24.75" customHeight="1">
      <c r="A850" s="647">
        <v>4010</v>
      </c>
      <c r="B850" s="651" t="s">
        <v>181</v>
      </c>
      <c r="C850" s="603">
        <v>11663600</v>
      </c>
      <c r="D850" s="581">
        <f t="shared" si="95"/>
        <v>11663600</v>
      </c>
      <c r="E850" s="581">
        <f t="shared" si="99"/>
        <v>2836007</v>
      </c>
      <c r="F850" s="582">
        <f t="shared" si="97"/>
        <v>24.31502280599472</v>
      </c>
      <c r="G850" s="581"/>
      <c r="H850" s="586"/>
      <c r="I850" s="847"/>
      <c r="J850" s="586"/>
      <c r="K850" s="581"/>
      <c r="L850" s="587"/>
      <c r="M850" s="603">
        <v>11663600</v>
      </c>
      <c r="N850" s="581">
        <v>2836007</v>
      </c>
      <c r="O850" s="627">
        <f t="shared" si="94"/>
        <v>24.31502280599472</v>
      </c>
      <c r="P850" s="581"/>
      <c r="Q850" s="581"/>
      <c r="R850" s="653"/>
      <c r="S850" s="482"/>
      <c r="T850" s="482"/>
      <c r="U850" s="482"/>
      <c r="V850" s="482"/>
      <c r="W850" s="701"/>
      <c r="X850" s="701"/>
      <c r="Y850" s="701"/>
      <c r="Z850" s="701"/>
    </row>
    <row r="851" spans="1:26" s="702" customFormat="1" ht="24">
      <c r="A851" s="647">
        <v>4040</v>
      </c>
      <c r="B851" s="651" t="s">
        <v>185</v>
      </c>
      <c r="C851" s="603">
        <v>952300</v>
      </c>
      <c r="D851" s="581">
        <f t="shared" si="95"/>
        <v>952300</v>
      </c>
      <c r="E851" s="581">
        <f t="shared" si="99"/>
        <v>626878</v>
      </c>
      <c r="F851" s="582">
        <f t="shared" si="97"/>
        <v>65.82778536175576</v>
      </c>
      <c r="G851" s="581"/>
      <c r="H851" s="586"/>
      <c r="I851" s="847"/>
      <c r="J851" s="586"/>
      <c r="K851" s="581"/>
      <c r="L851" s="587"/>
      <c r="M851" s="603">
        <v>952300</v>
      </c>
      <c r="N851" s="581">
        <v>626878</v>
      </c>
      <c r="O851" s="627">
        <f t="shared" si="94"/>
        <v>65.82778536175576</v>
      </c>
      <c r="P851" s="581"/>
      <c r="Q851" s="581"/>
      <c r="R851" s="653"/>
      <c r="S851" s="482"/>
      <c r="T851" s="482"/>
      <c r="U851" s="482"/>
      <c r="V851" s="482"/>
      <c r="W851" s="701"/>
      <c r="X851" s="701"/>
      <c r="Y851" s="701"/>
      <c r="Z851" s="701"/>
    </row>
    <row r="852" spans="1:26" s="702" customFormat="1" ht="27" customHeight="1">
      <c r="A852" s="647">
        <v>4110</v>
      </c>
      <c r="B852" s="651" t="s">
        <v>187</v>
      </c>
      <c r="C852" s="603">
        <v>1889500</v>
      </c>
      <c r="D852" s="581">
        <f t="shared" si="95"/>
        <v>1889500</v>
      </c>
      <c r="E852" s="581">
        <f t="shared" si="99"/>
        <v>398057</v>
      </c>
      <c r="F852" s="582">
        <f t="shared" si="97"/>
        <v>21.066790156125958</v>
      </c>
      <c r="G852" s="581"/>
      <c r="H852" s="586"/>
      <c r="I852" s="847"/>
      <c r="J852" s="586"/>
      <c r="K852" s="581"/>
      <c r="L852" s="587"/>
      <c r="M852" s="603">
        <v>1889500</v>
      </c>
      <c r="N852" s="581">
        <v>398057</v>
      </c>
      <c r="O852" s="627">
        <f t="shared" si="94"/>
        <v>21.066790156125958</v>
      </c>
      <c r="P852" s="581"/>
      <c r="Q852" s="581"/>
      <c r="R852" s="653"/>
      <c r="S852" s="482"/>
      <c r="T852" s="482"/>
      <c r="U852" s="482"/>
      <c r="V852" s="482"/>
      <c r="W852" s="701"/>
      <c r="X852" s="701"/>
      <c r="Y852" s="701"/>
      <c r="Z852" s="701"/>
    </row>
    <row r="853" spans="1:26" s="702" customFormat="1" ht="12.75">
      <c r="A853" s="647">
        <v>4120</v>
      </c>
      <c r="B853" s="651" t="s">
        <v>619</v>
      </c>
      <c r="C853" s="603">
        <v>308700</v>
      </c>
      <c r="D853" s="581">
        <f t="shared" si="95"/>
        <v>308700</v>
      </c>
      <c r="E853" s="581">
        <f t="shared" si="99"/>
        <v>52796</v>
      </c>
      <c r="F853" s="582">
        <f t="shared" si="97"/>
        <v>17.10268869452543</v>
      </c>
      <c r="G853" s="581"/>
      <c r="H853" s="586"/>
      <c r="I853" s="847"/>
      <c r="J853" s="586"/>
      <c r="K853" s="581"/>
      <c r="L853" s="587"/>
      <c r="M853" s="603">
        <v>308700</v>
      </c>
      <c r="N853" s="581">
        <v>52796</v>
      </c>
      <c r="O853" s="627">
        <f t="shared" si="94"/>
        <v>17.10268869452543</v>
      </c>
      <c r="P853" s="581"/>
      <c r="Q853" s="581"/>
      <c r="R853" s="653"/>
      <c r="S853" s="482"/>
      <c r="T853" s="482"/>
      <c r="U853" s="482"/>
      <c r="V853" s="482"/>
      <c r="W853" s="701"/>
      <c r="X853" s="701"/>
      <c r="Y853" s="701"/>
      <c r="Z853" s="701"/>
    </row>
    <row r="854" spans="1:26" s="702" customFormat="1" ht="26.25" customHeight="1">
      <c r="A854" s="647">
        <v>4130</v>
      </c>
      <c r="B854" s="651" t="s">
        <v>741</v>
      </c>
      <c r="C854" s="603">
        <v>600</v>
      </c>
      <c r="D854" s="581">
        <f t="shared" si="95"/>
        <v>600</v>
      </c>
      <c r="E854" s="581">
        <f t="shared" si="99"/>
        <v>0</v>
      </c>
      <c r="F854" s="582">
        <f t="shared" si="97"/>
        <v>0</v>
      </c>
      <c r="G854" s="581"/>
      <c r="H854" s="586"/>
      <c r="I854" s="847"/>
      <c r="J854" s="586"/>
      <c r="K854" s="581"/>
      <c r="L854" s="587"/>
      <c r="M854" s="603">
        <v>600</v>
      </c>
      <c r="N854" s="581"/>
      <c r="O854" s="627">
        <f t="shared" si="94"/>
        <v>0</v>
      </c>
      <c r="P854" s="581"/>
      <c r="Q854" s="581"/>
      <c r="R854" s="653"/>
      <c r="S854" s="700"/>
      <c r="T854" s="700"/>
      <c r="U854" s="700"/>
      <c r="V854" s="700"/>
      <c r="W854" s="701"/>
      <c r="X854" s="701"/>
      <c r="Y854" s="701"/>
      <c r="Z854" s="701"/>
    </row>
    <row r="855" spans="1:26" s="702" customFormat="1" ht="12.75">
      <c r="A855" s="647">
        <v>4140</v>
      </c>
      <c r="B855" s="651" t="s">
        <v>756</v>
      </c>
      <c r="C855" s="603">
        <v>58600</v>
      </c>
      <c r="D855" s="581">
        <f t="shared" si="95"/>
        <v>58600</v>
      </c>
      <c r="E855" s="581">
        <f t="shared" si="99"/>
        <v>9978</v>
      </c>
      <c r="F855" s="582">
        <f t="shared" si="97"/>
        <v>17.027303754266214</v>
      </c>
      <c r="G855" s="581"/>
      <c r="H855" s="586"/>
      <c r="I855" s="847"/>
      <c r="J855" s="586"/>
      <c r="K855" s="581"/>
      <c r="L855" s="587"/>
      <c r="M855" s="603">
        <v>58600</v>
      </c>
      <c r="N855" s="581">
        <v>9978</v>
      </c>
      <c r="O855" s="627">
        <f t="shared" si="94"/>
        <v>17.027303754266214</v>
      </c>
      <c r="P855" s="581"/>
      <c r="Q855" s="581"/>
      <c r="R855" s="653"/>
      <c r="S855" s="700"/>
      <c r="T855" s="700"/>
      <c r="U855" s="700"/>
      <c r="V855" s="700"/>
      <c r="W855" s="701"/>
      <c r="X855" s="701"/>
      <c r="Y855" s="701"/>
      <c r="Z855" s="701"/>
    </row>
    <row r="856" spans="1:26" s="702" customFormat="1" ht="24">
      <c r="A856" s="647">
        <v>4210</v>
      </c>
      <c r="B856" s="651" t="s">
        <v>191</v>
      </c>
      <c r="C856" s="603">
        <v>394000</v>
      </c>
      <c r="D856" s="581">
        <f t="shared" si="95"/>
        <v>394000</v>
      </c>
      <c r="E856" s="581">
        <f t="shared" si="99"/>
        <v>87906</v>
      </c>
      <c r="F856" s="582">
        <f t="shared" si="97"/>
        <v>22.311167512690353</v>
      </c>
      <c r="G856" s="581"/>
      <c r="H856" s="586"/>
      <c r="I856" s="847"/>
      <c r="J856" s="586"/>
      <c r="K856" s="581"/>
      <c r="L856" s="587"/>
      <c r="M856" s="603">
        <v>394000</v>
      </c>
      <c r="N856" s="581">
        <v>87906</v>
      </c>
      <c r="O856" s="627">
        <f t="shared" si="94"/>
        <v>22.311167512690353</v>
      </c>
      <c r="P856" s="581"/>
      <c r="Q856" s="581"/>
      <c r="R856" s="653"/>
      <c r="S856" s="700"/>
      <c r="T856" s="700"/>
      <c r="U856" s="700"/>
      <c r="V856" s="700"/>
      <c r="W856" s="701"/>
      <c r="X856" s="701"/>
      <c r="Y856" s="701"/>
      <c r="Z856" s="701"/>
    </row>
    <row r="857" spans="1:26" s="702" customFormat="1" ht="28.5" customHeight="1">
      <c r="A857" s="647">
        <v>4240</v>
      </c>
      <c r="B857" s="651" t="s">
        <v>608</v>
      </c>
      <c r="C857" s="603">
        <v>25000</v>
      </c>
      <c r="D857" s="581">
        <f t="shared" si="95"/>
        <v>25000</v>
      </c>
      <c r="E857" s="581">
        <f t="shared" si="99"/>
        <v>10231</v>
      </c>
      <c r="F857" s="582">
        <f t="shared" si="97"/>
        <v>40.924</v>
      </c>
      <c r="G857" s="581"/>
      <c r="H857" s="586"/>
      <c r="I857" s="847"/>
      <c r="J857" s="586"/>
      <c r="K857" s="581"/>
      <c r="L857" s="587"/>
      <c r="M857" s="603">
        <v>25000</v>
      </c>
      <c r="N857" s="581">
        <v>10231</v>
      </c>
      <c r="O857" s="627">
        <f t="shared" si="94"/>
        <v>40.924</v>
      </c>
      <c r="P857" s="581"/>
      <c r="Q857" s="581"/>
      <c r="R857" s="653"/>
      <c r="S857" s="700"/>
      <c r="T857" s="700"/>
      <c r="U857" s="700"/>
      <c r="V857" s="700"/>
      <c r="W857" s="701"/>
      <c r="X857" s="701"/>
      <c r="Y857" s="701"/>
      <c r="Z857" s="701"/>
    </row>
    <row r="858" spans="1:26" s="702" customFormat="1" ht="12.75">
      <c r="A858" s="647">
        <v>4260</v>
      </c>
      <c r="B858" s="651" t="s">
        <v>195</v>
      </c>
      <c r="C858" s="603">
        <v>950400</v>
      </c>
      <c r="D858" s="581">
        <f t="shared" si="95"/>
        <v>950400</v>
      </c>
      <c r="E858" s="581">
        <f t="shared" si="99"/>
        <v>444535</v>
      </c>
      <c r="F858" s="582">
        <f t="shared" si="97"/>
        <v>46.773463804713806</v>
      </c>
      <c r="G858" s="581"/>
      <c r="H858" s="586"/>
      <c r="I858" s="847"/>
      <c r="J858" s="586"/>
      <c r="K858" s="581"/>
      <c r="L858" s="587"/>
      <c r="M858" s="603">
        <v>950400</v>
      </c>
      <c r="N858" s="581">
        <v>444535</v>
      </c>
      <c r="O858" s="627">
        <f t="shared" si="94"/>
        <v>46.773463804713806</v>
      </c>
      <c r="P858" s="581"/>
      <c r="Q858" s="581"/>
      <c r="R858" s="653"/>
      <c r="S858" s="700"/>
      <c r="T858" s="700"/>
      <c r="U858" s="700"/>
      <c r="V858" s="700"/>
      <c r="W858" s="701"/>
      <c r="X858" s="701"/>
      <c r="Y858" s="701"/>
      <c r="Z858" s="701"/>
    </row>
    <row r="859" spans="1:26" s="702" customFormat="1" ht="24">
      <c r="A859" s="647">
        <v>4270</v>
      </c>
      <c r="B859" s="651" t="s">
        <v>197</v>
      </c>
      <c r="C859" s="603">
        <v>49800</v>
      </c>
      <c r="D859" s="581">
        <f t="shared" si="95"/>
        <v>49800</v>
      </c>
      <c r="E859" s="581">
        <f t="shared" si="99"/>
        <v>5248</v>
      </c>
      <c r="F859" s="582">
        <f t="shared" si="97"/>
        <v>10.538152610441767</v>
      </c>
      <c r="G859" s="581"/>
      <c r="H859" s="586"/>
      <c r="I859" s="847"/>
      <c r="J859" s="586"/>
      <c r="K859" s="581"/>
      <c r="L859" s="587"/>
      <c r="M859" s="603">
        <v>49800</v>
      </c>
      <c r="N859" s="581">
        <v>5248</v>
      </c>
      <c r="O859" s="627">
        <f t="shared" si="94"/>
        <v>10.538152610441767</v>
      </c>
      <c r="P859" s="581"/>
      <c r="Q859" s="581"/>
      <c r="R859" s="653"/>
      <c r="S859" s="700"/>
      <c r="T859" s="700"/>
      <c r="U859" s="700"/>
      <c r="V859" s="700"/>
      <c r="W859" s="701"/>
      <c r="X859" s="701"/>
      <c r="Y859" s="701"/>
      <c r="Z859" s="701"/>
    </row>
    <row r="860" spans="1:26" s="702" customFormat="1" ht="24">
      <c r="A860" s="647">
        <v>4280</v>
      </c>
      <c r="B860" s="651" t="s">
        <v>582</v>
      </c>
      <c r="C860" s="603">
        <v>13800</v>
      </c>
      <c r="D860" s="581">
        <f t="shared" si="95"/>
        <v>13800</v>
      </c>
      <c r="E860" s="581">
        <f t="shared" si="99"/>
        <v>2896</v>
      </c>
      <c r="F860" s="582">
        <f t="shared" si="97"/>
        <v>20.985507246376812</v>
      </c>
      <c r="G860" s="581"/>
      <c r="H860" s="586"/>
      <c r="I860" s="847"/>
      <c r="J860" s="586"/>
      <c r="K860" s="581"/>
      <c r="L860" s="587"/>
      <c r="M860" s="603">
        <v>13800</v>
      </c>
      <c r="N860" s="581">
        <v>2896</v>
      </c>
      <c r="O860" s="627">
        <f t="shared" si="94"/>
        <v>20.985507246376812</v>
      </c>
      <c r="P860" s="581"/>
      <c r="Q860" s="581"/>
      <c r="R860" s="653"/>
      <c r="S860" s="700"/>
      <c r="T860" s="700"/>
      <c r="U860" s="700"/>
      <c r="V860" s="700"/>
      <c r="W860" s="701"/>
      <c r="X860" s="701"/>
      <c r="Y860" s="701"/>
      <c r="Z860" s="701"/>
    </row>
    <row r="861" spans="1:26" s="702" customFormat="1" ht="18.75" customHeight="1">
      <c r="A861" s="647">
        <v>4300</v>
      </c>
      <c r="B861" s="651" t="s">
        <v>199</v>
      </c>
      <c r="C861" s="603">
        <v>200000</v>
      </c>
      <c r="D861" s="581">
        <f t="shared" si="95"/>
        <v>200000</v>
      </c>
      <c r="E861" s="581">
        <f t="shared" si="99"/>
        <v>72027</v>
      </c>
      <c r="F861" s="582">
        <f t="shared" si="97"/>
        <v>36.0135</v>
      </c>
      <c r="G861" s="581"/>
      <c r="H861" s="586"/>
      <c r="I861" s="847"/>
      <c r="J861" s="586"/>
      <c r="K861" s="581"/>
      <c r="L861" s="587"/>
      <c r="M861" s="603">
        <v>200000</v>
      </c>
      <c r="N861" s="581">
        <v>72027</v>
      </c>
      <c r="O861" s="627">
        <f aca="true" t="shared" si="100" ref="O861:O874">N861/M861*100</f>
        <v>36.0135</v>
      </c>
      <c r="P861" s="581"/>
      <c r="Q861" s="581"/>
      <c r="R861" s="653"/>
      <c r="S861" s="700"/>
      <c r="T861" s="700"/>
      <c r="U861" s="700"/>
      <c r="V861" s="700"/>
      <c r="W861" s="701"/>
      <c r="X861" s="701"/>
      <c r="Y861" s="701"/>
      <c r="Z861" s="701"/>
    </row>
    <row r="862" spans="1:26" s="702" customFormat="1" ht="24">
      <c r="A862" s="647">
        <v>4350</v>
      </c>
      <c r="B862" s="651" t="s">
        <v>584</v>
      </c>
      <c r="C862" s="603">
        <v>11000</v>
      </c>
      <c r="D862" s="581">
        <f t="shared" si="95"/>
        <v>11000</v>
      </c>
      <c r="E862" s="581">
        <f t="shared" si="99"/>
        <v>1727</v>
      </c>
      <c r="F862" s="582">
        <f t="shared" si="97"/>
        <v>15.7</v>
      </c>
      <c r="G862" s="581"/>
      <c r="H862" s="586"/>
      <c r="I862" s="847"/>
      <c r="J862" s="586"/>
      <c r="K862" s="581"/>
      <c r="L862" s="587"/>
      <c r="M862" s="603">
        <v>11000</v>
      </c>
      <c r="N862" s="581">
        <v>1727</v>
      </c>
      <c r="O862" s="627">
        <f t="shared" si="100"/>
        <v>15.7</v>
      </c>
      <c r="P862" s="581"/>
      <c r="Q862" s="581"/>
      <c r="R862" s="653"/>
      <c r="S862" s="700"/>
      <c r="T862" s="700"/>
      <c r="U862" s="700"/>
      <c r="V862" s="700"/>
      <c r="W862" s="701"/>
      <c r="X862" s="701"/>
      <c r="Y862" s="701"/>
      <c r="Z862" s="701"/>
    </row>
    <row r="863" spans="1:26" s="702" customFormat="1" ht="59.25" customHeight="1">
      <c r="A863" s="647">
        <v>4360</v>
      </c>
      <c r="B863" s="712" t="s">
        <v>431</v>
      </c>
      <c r="C863" s="603">
        <v>4000</v>
      </c>
      <c r="D863" s="581">
        <f>G863+J863+P863+M863</f>
        <v>4000</v>
      </c>
      <c r="E863" s="581">
        <f>SUM(H863+K863+N863+Q863)</f>
        <v>866</v>
      </c>
      <c r="F863" s="582">
        <f>E863/D863*100</f>
        <v>21.65</v>
      </c>
      <c r="G863" s="581"/>
      <c r="H863" s="586"/>
      <c r="I863" s="847"/>
      <c r="J863" s="586"/>
      <c r="K863" s="581"/>
      <c r="L863" s="587"/>
      <c r="M863" s="603">
        <v>4000</v>
      </c>
      <c r="N863" s="581">
        <v>866</v>
      </c>
      <c r="O863" s="627">
        <f t="shared" si="100"/>
        <v>21.65</v>
      </c>
      <c r="P863" s="581"/>
      <c r="Q863" s="581"/>
      <c r="R863" s="653"/>
      <c r="S863" s="700"/>
      <c r="T863" s="700"/>
      <c r="U863" s="700"/>
      <c r="V863" s="700"/>
      <c r="W863" s="701"/>
      <c r="X863" s="701"/>
      <c r="Y863" s="701"/>
      <c r="Z863" s="701"/>
    </row>
    <row r="864" spans="1:26" s="702" customFormat="1" ht="61.5" customHeight="1">
      <c r="A864" s="647">
        <v>4370</v>
      </c>
      <c r="B864" s="712" t="s">
        <v>432</v>
      </c>
      <c r="C864" s="603">
        <v>42800</v>
      </c>
      <c r="D864" s="581">
        <f>G864+J864+P864+M864</f>
        <v>42800</v>
      </c>
      <c r="E864" s="581">
        <f>SUM(H864+K864+N864+Q864)</f>
        <v>6513</v>
      </c>
      <c r="F864" s="582">
        <f>E864/D864*100</f>
        <v>15.217289719626168</v>
      </c>
      <c r="G864" s="581"/>
      <c r="H864" s="586"/>
      <c r="I864" s="847"/>
      <c r="J864" s="586"/>
      <c r="K864" s="581"/>
      <c r="L864" s="587"/>
      <c r="M864" s="603">
        <v>42800</v>
      </c>
      <c r="N864" s="581">
        <v>6513</v>
      </c>
      <c r="O864" s="627">
        <f t="shared" si="100"/>
        <v>15.217289719626168</v>
      </c>
      <c r="P864" s="581"/>
      <c r="Q864" s="581"/>
      <c r="R864" s="653"/>
      <c r="S864" s="700"/>
      <c r="T864" s="700"/>
      <c r="U864" s="700"/>
      <c r="V864" s="700"/>
      <c r="W864" s="701"/>
      <c r="X864" s="701"/>
      <c r="Y864" s="701"/>
      <c r="Z864" s="701"/>
    </row>
    <row r="865" spans="1:26" s="702" customFormat="1" ht="29.25" customHeight="1">
      <c r="A865" s="647">
        <v>4380</v>
      </c>
      <c r="B865" s="651" t="s">
        <v>738</v>
      </c>
      <c r="C865" s="603">
        <v>2000</v>
      </c>
      <c r="D865" s="581">
        <f>G865+J865+P865+M865</f>
        <v>2000</v>
      </c>
      <c r="E865" s="581">
        <f>SUM(H865+K865+N865+Q865)</f>
        <v>0</v>
      </c>
      <c r="F865" s="582">
        <f>E865/D865*100</f>
        <v>0</v>
      </c>
      <c r="G865" s="581"/>
      <c r="H865" s="586"/>
      <c r="I865" s="847"/>
      <c r="J865" s="586"/>
      <c r="K865" s="581"/>
      <c r="L865" s="587"/>
      <c r="M865" s="603">
        <v>2000</v>
      </c>
      <c r="N865" s="581"/>
      <c r="O865" s="627">
        <f t="shared" si="100"/>
        <v>0</v>
      </c>
      <c r="P865" s="581"/>
      <c r="Q865" s="581"/>
      <c r="R865" s="653"/>
      <c r="S865" s="700"/>
      <c r="T865" s="700"/>
      <c r="U865" s="700"/>
      <c r="V865" s="700"/>
      <c r="W865" s="701"/>
      <c r="X865" s="701"/>
      <c r="Y865" s="701"/>
      <c r="Z865" s="701"/>
    </row>
    <row r="866" spans="1:26" s="702" customFormat="1" ht="36" customHeight="1">
      <c r="A866" s="647">
        <v>4390</v>
      </c>
      <c r="B866" s="651" t="s">
        <v>222</v>
      </c>
      <c r="C866" s="603">
        <v>31400</v>
      </c>
      <c r="D866" s="581">
        <f>G866+J866+P866+M866</f>
        <v>31400</v>
      </c>
      <c r="E866" s="581">
        <f>SUM(H866+K866+N866+Q866)</f>
        <v>5642</v>
      </c>
      <c r="F866" s="582">
        <f>E866/D866*100</f>
        <v>17.968152866242036</v>
      </c>
      <c r="G866" s="581"/>
      <c r="H866" s="586"/>
      <c r="I866" s="847"/>
      <c r="J866" s="586"/>
      <c r="K866" s="581"/>
      <c r="L866" s="587"/>
      <c r="M866" s="603">
        <v>31400</v>
      </c>
      <c r="N866" s="581">
        <v>5642</v>
      </c>
      <c r="O866" s="627">
        <f t="shared" si="100"/>
        <v>17.968152866242036</v>
      </c>
      <c r="P866" s="581"/>
      <c r="Q866" s="581"/>
      <c r="R866" s="653"/>
      <c r="S866" s="700"/>
      <c r="T866" s="700"/>
      <c r="U866" s="700"/>
      <c r="V866" s="700"/>
      <c r="W866" s="701"/>
      <c r="X866" s="701"/>
      <c r="Y866" s="701"/>
      <c r="Z866" s="701"/>
    </row>
    <row r="867" spans="1:26" s="702" customFormat="1" ht="18.75" customHeight="1">
      <c r="A867" s="647">
        <v>4410</v>
      </c>
      <c r="B867" s="651" t="s">
        <v>173</v>
      </c>
      <c r="C867" s="603">
        <v>26300</v>
      </c>
      <c r="D867" s="581">
        <f t="shared" si="95"/>
        <v>26300</v>
      </c>
      <c r="E867" s="581">
        <f t="shared" si="99"/>
        <v>5963</v>
      </c>
      <c r="F867" s="582">
        <f t="shared" si="97"/>
        <v>22.673003802281368</v>
      </c>
      <c r="G867" s="581"/>
      <c r="H867" s="586"/>
      <c r="I867" s="847"/>
      <c r="J867" s="586"/>
      <c r="K867" s="581"/>
      <c r="L867" s="587"/>
      <c r="M867" s="603">
        <v>26300</v>
      </c>
      <c r="N867" s="581">
        <v>5963</v>
      </c>
      <c r="O867" s="627">
        <f t="shared" si="100"/>
        <v>22.673003802281368</v>
      </c>
      <c r="P867" s="581"/>
      <c r="Q867" s="581"/>
      <c r="R867" s="653"/>
      <c r="S867" s="700"/>
      <c r="T867" s="700"/>
      <c r="U867" s="700"/>
      <c r="V867" s="700"/>
      <c r="W867" s="701"/>
      <c r="X867" s="701"/>
      <c r="Y867" s="701"/>
      <c r="Z867" s="701"/>
    </row>
    <row r="868" spans="1:26" s="702" customFormat="1" ht="24">
      <c r="A868" s="647">
        <v>4420</v>
      </c>
      <c r="B868" s="651" t="s">
        <v>596</v>
      </c>
      <c r="C868" s="603">
        <v>11100</v>
      </c>
      <c r="D868" s="581">
        <f t="shared" si="95"/>
        <v>11100</v>
      </c>
      <c r="E868" s="581">
        <f t="shared" si="99"/>
        <v>1326</v>
      </c>
      <c r="F868" s="582">
        <f t="shared" si="97"/>
        <v>11.945945945945946</v>
      </c>
      <c r="G868" s="581"/>
      <c r="H868" s="586"/>
      <c r="I868" s="847"/>
      <c r="J868" s="586"/>
      <c r="K868" s="581"/>
      <c r="L868" s="587"/>
      <c r="M868" s="603">
        <v>11100</v>
      </c>
      <c r="N868" s="581">
        <v>1326</v>
      </c>
      <c r="O868" s="627">
        <f t="shared" si="100"/>
        <v>11.945945945945946</v>
      </c>
      <c r="P868" s="581"/>
      <c r="Q868" s="581"/>
      <c r="R868" s="653"/>
      <c r="S868" s="700"/>
      <c r="T868" s="700"/>
      <c r="U868" s="700"/>
      <c r="V868" s="700"/>
      <c r="W868" s="701"/>
      <c r="X868" s="701"/>
      <c r="Y868" s="701"/>
      <c r="Z868" s="701"/>
    </row>
    <row r="869" spans="1:26" s="702" customFormat="1" ht="12.75">
      <c r="A869" s="647">
        <v>4440</v>
      </c>
      <c r="B869" s="651" t="s">
        <v>203</v>
      </c>
      <c r="C869" s="603">
        <v>677400</v>
      </c>
      <c r="D869" s="581">
        <f t="shared" si="95"/>
        <v>677400</v>
      </c>
      <c r="E869" s="581">
        <f t="shared" si="99"/>
        <v>158226</v>
      </c>
      <c r="F869" s="582">
        <f t="shared" si="97"/>
        <v>23.357838795394155</v>
      </c>
      <c r="G869" s="581"/>
      <c r="H869" s="586"/>
      <c r="I869" s="847"/>
      <c r="J869" s="586"/>
      <c r="K869" s="581"/>
      <c r="L869" s="587"/>
      <c r="M869" s="603">
        <v>677400</v>
      </c>
      <c r="N869" s="581">
        <v>158226</v>
      </c>
      <c r="O869" s="627">
        <f t="shared" si="100"/>
        <v>23.357838795394155</v>
      </c>
      <c r="P869" s="581"/>
      <c r="Q869" s="581"/>
      <c r="R869" s="653"/>
      <c r="S869" s="700"/>
      <c r="T869" s="700"/>
      <c r="U869" s="700"/>
      <c r="V869" s="700"/>
      <c r="W869" s="701"/>
      <c r="X869" s="701"/>
      <c r="Y869" s="701"/>
      <c r="Z869" s="701"/>
    </row>
    <row r="870" spans="1:26" s="702" customFormat="1" ht="38.25" customHeight="1">
      <c r="A870" s="647">
        <v>4700</v>
      </c>
      <c r="B870" s="712" t="s">
        <v>588</v>
      </c>
      <c r="C870" s="603">
        <v>15000</v>
      </c>
      <c r="D870" s="581">
        <f>G870+J870+P870+M870</f>
        <v>15000</v>
      </c>
      <c r="E870" s="581">
        <f>SUM(H870+K870+N870+Q870)</f>
        <v>5437</v>
      </c>
      <c r="F870" s="582">
        <f>E870/D870*100</f>
        <v>36.24666666666666</v>
      </c>
      <c r="G870" s="581"/>
      <c r="H870" s="586"/>
      <c r="I870" s="847"/>
      <c r="J870" s="586"/>
      <c r="K870" s="581"/>
      <c r="L870" s="587"/>
      <c r="M870" s="603">
        <v>15000</v>
      </c>
      <c r="N870" s="581">
        <v>5437</v>
      </c>
      <c r="O870" s="627">
        <f t="shared" si="100"/>
        <v>36.24666666666666</v>
      </c>
      <c r="P870" s="581"/>
      <c r="Q870" s="581"/>
      <c r="R870" s="653"/>
      <c r="S870" s="700"/>
      <c r="T870" s="700"/>
      <c r="U870" s="700"/>
      <c r="V870" s="700"/>
      <c r="W870" s="701"/>
      <c r="X870" s="701"/>
      <c r="Y870" s="701"/>
      <c r="Z870" s="701"/>
    </row>
    <row r="871" spans="1:26" s="702" customFormat="1" ht="51.75" customHeight="1">
      <c r="A871" s="647">
        <v>4740</v>
      </c>
      <c r="B871" s="712" t="s">
        <v>215</v>
      </c>
      <c r="C871" s="603">
        <v>14100</v>
      </c>
      <c r="D871" s="581">
        <f>G871+J871+P871+M871</f>
        <v>14100</v>
      </c>
      <c r="E871" s="581">
        <f>SUM(H871+K871+N871+Q871)</f>
        <v>2075</v>
      </c>
      <c r="F871" s="582">
        <f>E871/D871*100</f>
        <v>14.716312056737587</v>
      </c>
      <c r="G871" s="581"/>
      <c r="H871" s="586"/>
      <c r="I871" s="847"/>
      <c r="J871" s="586"/>
      <c r="K871" s="581"/>
      <c r="L871" s="587"/>
      <c r="M871" s="603">
        <v>14100</v>
      </c>
      <c r="N871" s="581">
        <v>2075</v>
      </c>
      <c r="O871" s="627">
        <f t="shared" si="100"/>
        <v>14.716312056737587</v>
      </c>
      <c r="P871" s="581"/>
      <c r="Q871" s="581"/>
      <c r="R871" s="653"/>
      <c r="S871" s="700"/>
      <c r="T871" s="700"/>
      <c r="U871" s="700"/>
      <c r="V871" s="700"/>
      <c r="W871" s="701"/>
      <c r="X871" s="701"/>
      <c r="Y871" s="701"/>
      <c r="Z871" s="701"/>
    </row>
    <row r="872" spans="1:26" s="702" customFormat="1" ht="36">
      <c r="A872" s="647">
        <v>4750</v>
      </c>
      <c r="B872" s="712" t="s">
        <v>589</v>
      </c>
      <c r="C872" s="603">
        <v>48500</v>
      </c>
      <c r="D872" s="581">
        <f>G872+J872+P872+M872</f>
        <v>48500</v>
      </c>
      <c r="E872" s="581">
        <f>SUM(H872+K872+N872+Q872)</f>
        <v>16080</v>
      </c>
      <c r="F872" s="582">
        <f>E872/D872*100</f>
        <v>33.154639175257735</v>
      </c>
      <c r="G872" s="581"/>
      <c r="H872" s="586"/>
      <c r="I872" s="847"/>
      <c r="J872" s="586"/>
      <c r="K872" s="581"/>
      <c r="L872" s="587"/>
      <c r="M872" s="603">
        <v>48500</v>
      </c>
      <c r="N872" s="581">
        <v>16080</v>
      </c>
      <c r="O872" s="627">
        <f t="shared" si="100"/>
        <v>33.154639175257735</v>
      </c>
      <c r="P872" s="581"/>
      <c r="Q872" s="581"/>
      <c r="R872" s="653"/>
      <c r="S872" s="700"/>
      <c r="T872" s="700"/>
      <c r="U872" s="700"/>
      <c r="V872" s="700"/>
      <c r="W872" s="701"/>
      <c r="X872" s="701"/>
      <c r="Y872" s="701"/>
      <c r="Z872" s="701"/>
    </row>
    <row r="873" spans="1:26" s="702" customFormat="1" ht="27.75" customHeight="1">
      <c r="A873" s="647">
        <v>6050</v>
      </c>
      <c r="B873" s="651" t="s">
        <v>225</v>
      </c>
      <c r="C873" s="603">
        <v>98000</v>
      </c>
      <c r="D873" s="581">
        <f t="shared" si="95"/>
        <v>98000</v>
      </c>
      <c r="E873" s="581">
        <f t="shared" si="99"/>
        <v>0</v>
      </c>
      <c r="F873" s="582">
        <f t="shared" si="97"/>
        <v>0</v>
      </c>
      <c r="G873" s="581"/>
      <c r="H873" s="586"/>
      <c r="I873" s="847"/>
      <c r="J873" s="586"/>
      <c r="K873" s="581"/>
      <c r="L873" s="587"/>
      <c r="M873" s="603">
        <v>98000</v>
      </c>
      <c r="N873" s="581"/>
      <c r="O873" s="627">
        <f t="shared" si="100"/>
        <v>0</v>
      </c>
      <c r="P873" s="581"/>
      <c r="Q873" s="581"/>
      <c r="R873" s="653"/>
      <c r="S873" s="700"/>
      <c r="T873" s="700"/>
      <c r="U873" s="700"/>
      <c r="V873" s="700"/>
      <c r="W873" s="701"/>
      <c r="X873" s="701"/>
      <c r="Y873" s="701"/>
      <c r="Z873" s="701"/>
    </row>
    <row r="874" spans="1:26" s="702" customFormat="1" ht="48" hidden="1">
      <c r="A874" s="647">
        <v>6060</v>
      </c>
      <c r="B874" s="651" t="s">
        <v>628</v>
      </c>
      <c r="C874" s="603"/>
      <c r="D874" s="581">
        <f t="shared" si="95"/>
        <v>0</v>
      </c>
      <c r="E874" s="581">
        <f t="shared" si="99"/>
        <v>0</v>
      </c>
      <c r="F874" s="582" t="e">
        <f t="shared" si="97"/>
        <v>#DIV/0!</v>
      </c>
      <c r="G874" s="581"/>
      <c r="H874" s="586"/>
      <c r="I874" s="847"/>
      <c r="J874" s="586"/>
      <c r="K874" s="581"/>
      <c r="L874" s="587"/>
      <c r="M874" s="603"/>
      <c r="N874" s="675"/>
      <c r="O874" s="627" t="e">
        <f t="shared" si="100"/>
        <v>#DIV/0!</v>
      </c>
      <c r="P874" s="581"/>
      <c r="Q874" s="581"/>
      <c r="R874" s="653"/>
      <c r="S874" s="700"/>
      <c r="T874" s="700"/>
      <c r="U874" s="700"/>
      <c r="V874" s="700"/>
      <c r="W874" s="701"/>
      <c r="X874" s="701"/>
      <c r="Y874" s="701"/>
      <c r="Z874" s="701"/>
    </row>
    <row r="875" spans="1:26" s="760" customFormat="1" ht="30" customHeight="1" hidden="1">
      <c r="A875" s="640">
        <v>80133</v>
      </c>
      <c r="B875" s="742" t="s">
        <v>757</v>
      </c>
      <c r="C875" s="608">
        <f>SUM(C876)</f>
        <v>0</v>
      </c>
      <c r="D875" s="595"/>
      <c r="E875" s="595"/>
      <c r="F875" s="596"/>
      <c r="G875" s="595"/>
      <c r="H875" s="600"/>
      <c r="I875" s="845"/>
      <c r="J875" s="600"/>
      <c r="K875" s="595"/>
      <c r="L875" s="601"/>
      <c r="M875" s="608"/>
      <c r="N875" s="595"/>
      <c r="O875" s="624"/>
      <c r="P875" s="595"/>
      <c r="Q875" s="595"/>
      <c r="R875" s="685"/>
      <c r="S875" s="758"/>
      <c r="T875" s="758"/>
      <c r="U875" s="758"/>
      <c r="V875" s="758"/>
      <c r="W875" s="759"/>
      <c r="X875" s="759"/>
      <c r="Y875" s="759"/>
      <c r="Z875" s="759"/>
    </row>
    <row r="876" spans="1:26" s="702" customFormat="1" ht="60" hidden="1">
      <c r="A876" s="647">
        <v>2540</v>
      </c>
      <c r="B876" s="651" t="s">
        <v>758</v>
      </c>
      <c r="C876" s="603">
        <v>0</v>
      </c>
      <c r="D876" s="581"/>
      <c r="E876" s="735"/>
      <c r="F876" s="596"/>
      <c r="G876" s="581"/>
      <c r="H876" s="586"/>
      <c r="I876" s="847"/>
      <c r="J876" s="586"/>
      <c r="K876" s="581"/>
      <c r="L876" s="587"/>
      <c r="M876" s="603"/>
      <c r="N876" s="581"/>
      <c r="O876" s="627"/>
      <c r="P876" s="581"/>
      <c r="Q876" s="581"/>
      <c r="R876" s="653"/>
      <c r="S876" s="700"/>
      <c r="T876" s="700"/>
      <c r="U876" s="700"/>
      <c r="V876" s="700"/>
      <c r="W876" s="701"/>
      <c r="X876" s="701"/>
      <c r="Y876" s="701"/>
      <c r="Z876" s="701"/>
    </row>
    <row r="877" spans="1:26" s="702" customFormat="1" ht="26.25" customHeight="1">
      <c r="A877" s="640">
        <v>80134</v>
      </c>
      <c r="B877" s="742" t="s">
        <v>759</v>
      </c>
      <c r="C877" s="608">
        <f>SUM(C878:C898)</f>
        <v>1593100</v>
      </c>
      <c r="D877" s="595">
        <f>G877+J877+P877+M877</f>
        <v>1593100</v>
      </c>
      <c r="E877" s="595">
        <f>H877+K877+Q877+N877</f>
        <v>437547</v>
      </c>
      <c r="F877" s="596">
        <f aca="true" t="shared" si="101" ref="F877:F924">E877/D877*100</f>
        <v>27.465130876906663</v>
      </c>
      <c r="G877" s="735"/>
      <c r="H877" s="736"/>
      <c r="I877" s="845"/>
      <c r="J877" s="736"/>
      <c r="K877" s="735"/>
      <c r="L877" s="737"/>
      <c r="M877" s="730">
        <f>SUM(M878:M898)</f>
        <v>1593100</v>
      </c>
      <c r="N877" s="595">
        <f>SUM(N878:N898)</f>
        <v>437547</v>
      </c>
      <c r="O877" s="624">
        <f aca="true" t="shared" si="102" ref="O877:O924">N877/M877*100</f>
        <v>27.465130876906663</v>
      </c>
      <c r="P877" s="595"/>
      <c r="Q877" s="595"/>
      <c r="R877" s="731"/>
      <c r="S877" s="700"/>
      <c r="T877" s="700"/>
      <c r="U877" s="700"/>
      <c r="V877" s="700"/>
      <c r="W877" s="701"/>
      <c r="X877" s="701"/>
      <c r="Y877" s="701"/>
      <c r="Z877" s="701"/>
    </row>
    <row r="878" spans="1:26" s="702" customFormat="1" ht="36">
      <c r="A878" s="667">
        <v>3020</v>
      </c>
      <c r="B878" s="668" t="s">
        <v>736</v>
      </c>
      <c r="C878" s="606">
        <v>4000</v>
      </c>
      <c r="D878" s="615">
        <f aca="true" t="shared" si="103" ref="D878:E933">G878+J878+P878+M878</f>
        <v>4000</v>
      </c>
      <c r="E878" s="615">
        <f aca="true" t="shared" si="104" ref="E878:E883">SUM(H878+K878+N878+Q878)</f>
        <v>229</v>
      </c>
      <c r="F878" s="604">
        <f t="shared" si="101"/>
        <v>5.7250000000000005</v>
      </c>
      <c r="G878" s="615"/>
      <c r="H878" s="618"/>
      <c r="I878" s="858"/>
      <c r="J878" s="618"/>
      <c r="K878" s="615"/>
      <c r="L878" s="619"/>
      <c r="M878" s="606">
        <v>4000</v>
      </c>
      <c r="N878" s="615">
        <f>230-1</f>
        <v>229</v>
      </c>
      <c r="O878" s="669">
        <f t="shared" si="102"/>
        <v>5.7250000000000005</v>
      </c>
      <c r="P878" s="615"/>
      <c r="Q878" s="615"/>
      <c r="R878" s="671"/>
      <c r="S878" s="700"/>
      <c r="T878" s="700"/>
      <c r="U878" s="700"/>
      <c r="V878" s="700"/>
      <c r="W878" s="701"/>
      <c r="X878" s="701"/>
      <c r="Y878" s="701"/>
      <c r="Z878" s="701"/>
    </row>
    <row r="879" spans="1:26" s="702" customFormat="1" ht="23.25" customHeight="1">
      <c r="A879" s="647">
        <v>4010</v>
      </c>
      <c r="B879" s="651" t="s">
        <v>181</v>
      </c>
      <c r="C879" s="603">
        <v>1125800</v>
      </c>
      <c r="D879" s="581">
        <f t="shared" si="103"/>
        <v>1125800</v>
      </c>
      <c r="E879" s="581">
        <f t="shared" si="104"/>
        <v>279347</v>
      </c>
      <c r="F879" s="582">
        <f t="shared" si="101"/>
        <v>24.813199502575948</v>
      </c>
      <c r="G879" s="581"/>
      <c r="H879" s="586"/>
      <c r="I879" s="847"/>
      <c r="J879" s="586"/>
      <c r="K879" s="581"/>
      <c r="L879" s="587"/>
      <c r="M879" s="603">
        <v>1125800</v>
      </c>
      <c r="N879" s="581">
        <v>279347</v>
      </c>
      <c r="O879" s="627">
        <f t="shared" si="102"/>
        <v>24.813199502575948</v>
      </c>
      <c r="P879" s="581"/>
      <c r="Q879" s="581"/>
      <c r="R879" s="653"/>
      <c r="S879" s="482"/>
      <c r="T879" s="482"/>
      <c r="U879" s="482"/>
      <c r="V879" s="482"/>
      <c r="W879" s="701"/>
      <c r="X879" s="701"/>
      <c r="Y879" s="701"/>
      <c r="Z879" s="701"/>
    </row>
    <row r="880" spans="1:26" s="702" customFormat="1" ht="24.75" customHeight="1">
      <c r="A880" s="647">
        <v>4040</v>
      </c>
      <c r="B880" s="651" t="s">
        <v>185</v>
      </c>
      <c r="C880" s="603">
        <v>82300</v>
      </c>
      <c r="D880" s="581">
        <f t="shared" si="103"/>
        <v>82300</v>
      </c>
      <c r="E880" s="581">
        <f t="shared" si="104"/>
        <v>61644</v>
      </c>
      <c r="F880" s="582">
        <f t="shared" si="101"/>
        <v>74.90157958687728</v>
      </c>
      <c r="G880" s="581"/>
      <c r="H880" s="586"/>
      <c r="I880" s="847"/>
      <c r="J880" s="586"/>
      <c r="K880" s="581"/>
      <c r="L880" s="587"/>
      <c r="M880" s="603">
        <v>82300</v>
      </c>
      <c r="N880" s="581">
        <v>61644</v>
      </c>
      <c r="O880" s="627">
        <f t="shared" si="102"/>
        <v>74.90157958687728</v>
      </c>
      <c r="P880" s="581"/>
      <c r="Q880" s="581"/>
      <c r="R880" s="653"/>
      <c r="S880" s="482"/>
      <c r="T880" s="482"/>
      <c r="U880" s="482"/>
      <c r="V880" s="482"/>
      <c r="W880" s="701"/>
      <c r="X880" s="701"/>
      <c r="Y880" s="701"/>
      <c r="Z880" s="701"/>
    </row>
    <row r="881" spans="1:26" s="702" customFormat="1" ht="23.25" customHeight="1">
      <c r="A881" s="647">
        <v>4110</v>
      </c>
      <c r="B881" s="651" t="s">
        <v>187</v>
      </c>
      <c r="C881" s="603">
        <v>183400</v>
      </c>
      <c r="D881" s="581">
        <f t="shared" si="103"/>
        <v>183400</v>
      </c>
      <c r="E881" s="581">
        <f t="shared" si="104"/>
        <v>38766</v>
      </c>
      <c r="F881" s="582">
        <f t="shared" si="101"/>
        <v>21.137404580152673</v>
      </c>
      <c r="G881" s="581"/>
      <c r="H881" s="586"/>
      <c r="I881" s="847"/>
      <c r="J881" s="586"/>
      <c r="K881" s="581"/>
      <c r="L881" s="587"/>
      <c r="M881" s="603">
        <v>183400</v>
      </c>
      <c r="N881" s="581">
        <f>38767-1</f>
        <v>38766</v>
      </c>
      <c r="O881" s="627">
        <f t="shared" si="102"/>
        <v>21.137404580152673</v>
      </c>
      <c r="P881" s="581"/>
      <c r="Q881" s="581"/>
      <c r="R881" s="653"/>
      <c r="S881" s="482"/>
      <c r="T881" s="482"/>
      <c r="U881" s="482"/>
      <c r="V881" s="482"/>
      <c r="W881" s="701"/>
      <c r="X881" s="701"/>
      <c r="Y881" s="701"/>
      <c r="Z881" s="701"/>
    </row>
    <row r="882" spans="1:26" s="702" customFormat="1" ht="15" customHeight="1">
      <c r="A882" s="647">
        <v>4120</v>
      </c>
      <c r="B882" s="651" t="s">
        <v>619</v>
      </c>
      <c r="C882" s="603">
        <v>29600</v>
      </c>
      <c r="D882" s="581">
        <f t="shared" si="103"/>
        <v>29600</v>
      </c>
      <c r="E882" s="581">
        <f t="shared" si="104"/>
        <v>5877</v>
      </c>
      <c r="F882" s="582">
        <f t="shared" si="101"/>
        <v>19.85472972972973</v>
      </c>
      <c r="G882" s="581"/>
      <c r="H882" s="586"/>
      <c r="I882" s="847"/>
      <c r="J882" s="586"/>
      <c r="K882" s="581"/>
      <c r="L882" s="587"/>
      <c r="M882" s="603">
        <v>29600</v>
      </c>
      <c r="N882" s="581">
        <v>5877</v>
      </c>
      <c r="O882" s="627">
        <f t="shared" si="102"/>
        <v>19.85472972972973</v>
      </c>
      <c r="P882" s="581"/>
      <c r="Q882" s="581"/>
      <c r="R882" s="653"/>
      <c r="S882" s="482"/>
      <c r="T882" s="482"/>
      <c r="U882" s="482"/>
      <c r="V882" s="482"/>
      <c r="W882" s="701"/>
      <c r="X882" s="701"/>
      <c r="Y882" s="701"/>
      <c r="Z882" s="701"/>
    </row>
    <row r="883" spans="1:26" s="702" customFormat="1" ht="24.75" customHeight="1">
      <c r="A883" s="647">
        <v>4210</v>
      </c>
      <c r="B883" s="651" t="s">
        <v>191</v>
      </c>
      <c r="C883" s="603">
        <v>18500</v>
      </c>
      <c r="D883" s="581">
        <f t="shared" si="103"/>
        <v>18500</v>
      </c>
      <c r="E883" s="581">
        <f t="shared" si="104"/>
        <v>7811</v>
      </c>
      <c r="F883" s="582">
        <f t="shared" si="101"/>
        <v>42.22162162162162</v>
      </c>
      <c r="G883" s="581"/>
      <c r="H883" s="586"/>
      <c r="I883" s="847"/>
      <c r="J883" s="586"/>
      <c r="K883" s="581"/>
      <c r="L883" s="587"/>
      <c r="M883" s="603">
        <v>18500</v>
      </c>
      <c r="N883" s="581">
        <v>7811</v>
      </c>
      <c r="O883" s="627">
        <f t="shared" si="102"/>
        <v>42.22162162162162</v>
      </c>
      <c r="P883" s="581"/>
      <c r="Q883" s="581"/>
      <c r="R883" s="653"/>
      <c r="S883" s="700"/>
      <c r="T883" s="700"/>
      <c r="U883" s="700"/>
      <c r="V883" s="700"/>
      <c r="W883" s="701"/>
      <c r="X883" s="701"/>
      <c r="Y883" s="701"/>
      <c r="Z883" s="701"/>
    </row>
    <row r="884" spans="1:26" s="702" customFormat="1" ht="37.5" customHeight="1">
      <c r="A884" s="647">
        <v>4240</v>
      </c>
      <c r="B884" s="651" t="s">
        <v>608</v>
      </c>
      <c r="C884" s="603">
        <v>3000</v>
      </c>
      <c r="D884" s="581">
        <f t="shared" si="103"/>
        <v>3000</v>
      </c>
      <c r="E884" s="581">
        <f>H884+K884+Q884+N884</f>
        <v>40</v>
      </c>
      <c r="F884" s="582">
        <f t="shared" si="101"/>
        <v>1.3333333333333335</v>
      </c>
      <c r="G884" s="581"/>
      <c r="H884" s="586"/>
      <c r="I884" s="847"/>
      <c r="J884" s="586"/>
      <c r="K884" s="581"/>
      <c r="L884" s="587"/>
      <c r="M884" s="603">
        <v>3000</v>
      </c>
      <c r="N884" s="581">
        <v>40</v>
      </c>
      <c r="O884" s="627">
        <f t="shared" si="102"/>
        <v>1.3333333333333335</v>
      </c>
      <c r="P884" s="581"/>
      <c r="Q884" s="581"/>
      <c r="R884" s="653"/>
      <c r="S884" s="700"/>
      <c r="T884" s="700"/>
      <c r="U884" s="700"/>
      <c r="V884" s="700"/>
      <c r="W884" s="701"/>
      <c r="X884" s="701"/>
      <c r="Y884" s="701"/>
      <c r="Z884" s="701"/>
    </row>
    <row r="885" spans="1:26" s="702" customFormat="1" ht="15.75" customHeight="1">
      <c r="A885" s="647">
        <v>4260</v>
      </c>
      <c r="B885" s="651" t="s">
        <v>195</v>
      </c>
      <c r="C885" s="603">
        <v>48000</v>
      </c>
      <c r="D885" s="581">
        <f t="shared" si="103"/>
        <v>48000</v>
      </c>
      <c r="E885" s="581">
        <f>H885+K885+Q885+N885</f>
        <v>18119</v>
      </c>
      <c r="F885" s="582">
        <f t="shared" si="101"/>
        <v>37.74791666666666</v>
      </c>
      <c r="G885" s="581"/>
      <c r="H885" s="586"/>
      <c r="I885" s="847"/>
      <c r="J885" s="586"/>
      <c r="K885" s="581"/>
      <c r="L885" s="587"/>
      <c r="M885" s="603">
        <v>48000</v>
      </c>
      <c r="N885" s="581">
        <v>18119</v>
      </c>
      <c r="O885" s="627">
        <f t="shared" si="102"/>
        <v>37.74791666666666</v>
      </c>
      <c r="P885" s="581"/>
      <c r="Q885" s="581"/>
      <c r="R885" s="653"/>
      <c r="S885" s="700"/>
      <c r="T885" s="700"/>
      <c r="U885" s="700"/>
      <c r="V885" s="700"/>
      <c r="W885" s="701"/>
      <c r="X885" s="701"/>
      <c r="Y885" s="701"/>
      <c r="Z885" s="701"/>
    </row>
    <row r="886" spans="1:26" s="702" customFormat="1" ht="19.5" customHeight="1">
      <c r="A886" s="647">
        <v>4270</v>
      </c>
      <c r="B886" s="651" t="s">
        <v>197</v>
      </c>
      <c r="C886" s="603">
        <v>1400</v>
      </c>
      <c r="D886" s="581">
        <f t="shared" si="103"/>
        <v>1400</v>
      </c>
      <c r="E886" s="581">
        <f>H886+K886+Q886+N886</f>
        <v>156</v>
      </c>
      <c r="F886" s="582">
        <f t="shared" si="101"/>
        <v>11.142857142857142</v>
      </c>
      <c r="G886" s="581"/>
      <c r="H886" s="586"/>
      <c r="I886" s="847"/>
      <c r="J886" s="586"/>
      <c r="K886" s="581"/>
      <c r="L886" s="587"/>
      <c r="M886" s="603">
        <v>1400</v>
      </c>
      <c r="N886" s="581">
        <v>156</v>
      </c>
      <c r="O886" s="627">
        <f t="shared" si="102"/>
        <v>11.142857142857142</v>
      </c>
      <c r="P886" s="581"/>
      <c r="Q886" s="581"/>
      <c r="R886" s="653"/>
      <c r="S886" s="700"/>
      <c r="T886" s="700"/>
      <c r="U886" s="700"/>
      <c r="V886" s="700"/>
      <c r="W886" s="701"/>
      <c r="X886" s="701"/>
      <c r="Y886" s="701"/>
      <c r="Z886" s="701"/>
    </row>
    <row r="887" spans="1:26" s="702" customFormat="1" ht="21.75" customHeight="1">
      <c r="A887" s="647">
        <v>4280</v>
      </c>
      <c r="B887" s="651" t="s">
        <v>582</v>
      </c>
      <c r="C887" s="603">
        <v>900</v>
      </c>
      <c r="D887" s="581">
        <f t="shared" si="103"/>
        <v>900</v>
      </c>
      <c r="E887" s="581">
        <f>H887+K887+Q887+N887</f>
        <v>0</v>
      </c>
      <c r="F887" s="582">
        <f t="shared" si="101"/>
        <v>0</v>
      </c>
      <c r="G887" s="581"/>
      <c r="H887" s="586"/>
      <c r="I887" s="847"/>
      <c r="J887" s="586"/>
      <c r="K887" s="581"/>
      <c r="L887" s="587"/>
      <c r="M887" s="603">
        <v>900</v>
      </c>
      <c r="N887" s="581"/>
      <c r="O887" s="627">
        <f t="shared" si="102"/>
        <v>0</v>
      </c>
      <c r="P887" s="581"/>
      <c r="Q887" s="581"/>
      <c r="R887" s="653"/>
      <c r="S887" s="700"/>
      <c r="T887" s="700"/>
      <c r="U887" s="700"/>
      <c r="V887" s="700"/>
      <c r="W887" s="701"/>
      <c r="X887" s="701"/>
      <c r="Y887" s="701"/>
      <c r="Z887" s="701"/>
    </row>
    <row r="888" spans="1:26" s="702" customFormat="1" ht="16.5" customHeight="1">
      <c r="A888" s="647">
        <v>4300</v>
      </c>
      <c r="B888" s="651" t="s">
        <v>199</v>
      </c>
      <c r="C888" s="603">
        <v>37000</v>
      </c>
      <c r="D888" s="581">
        <f t="shared" si="103"/>
        <v>37000</v>
      </c>
      <c r="E888" s="581">
        <f aca="true" t="shared" si="105" ref="E888:E898">SUM(H888+K888+N888+Q888)</f>
        <v>7818</v>
      </c>
      <c r="F888" s="582">
        <f t="shared" si="101"/>
        <v>21.12972972972973</v>
      </c>
      <c r="G888" s="581"/>
      <c r="H888" s="586"/>
      <c r="I888" s="847"/>
      <c r="J888" s="586"/>
      <c r="K888" s="581"/>
      <c r="L888" s="587"/>
      <c r="M888" s="603">
        <v>37000</v>
      </c>
      <c r="N888" s="581">
        <v>7818</v>
      </c>
      <c r="O888" s="627">
        <f t="shared" si="102"/>
        <v>21.12972972972973</v>
      </c>
      <c r="P888" s="581"/>
      <c r="Q888" s="581"/>
      <c r="R888" s="653"/>
      <c r="S888" s="700"/>
      <c r="T888" s="700"/>
      <c r="U888" s="700"/>
      <c r="V888" s="700"/>
      <c r="W888" s="701"/>
      <c r="X888" s="701"/>
      <c r="Y888" s="701"/>
      <c r="Z888" s="701"/>
    </row>
    <row r="889" spans="1:26" s="702" customFormat="1" ht="24">
      <c r="A889" s="647">
        <v>4350</v>
      </c>
      <c r="B889" s="651" t="s">
        <v>584</v>
      </c>
      <c r="C889" s="603">
        <v>600</v>
      </c>
      <c r="D889" s="581">
        <f t="shared" si="103"/>
        <v>600</v>
      </c>
      <c r="E889" s="581">
        <f t="shared" si="105"/>
        <v>163</v>
      </c>
      <c r="F889" s="582">
        <f t="shared" si="101"/>
        <v>27.166666666666668</v>
      </c>
      <c r="G889" s="581"/>
      <c r="H889" s="586"/>
      <c r="I889" s="847"/>
      <c r="J889" s="586"/>
      <c r="K889" s="581"/>
      <c r="L889" s="587"/>
      <c r="M889" s="603">
        <v>600</v>
      </c>
      <c r="N889" s="581">
        <v>163</v>
      </c>
      <c r="O889" s="627">
        <f t="shared" si="102"/>
        <v>27.166666666666668</v>
      </c>
      <c r="P889" s="581"/>
      <c r="Q889" s="581"/>
      <c r="R889" s="653"/>
      <c r="S889" s="700"/>
      <c r="T889" s="700"/>
      <c r="U889" s="700"/>
      <c r="V889" s="700"/>
      <c r="W889" s="701"/>
      <c r="X889" s="701"/>
      <c r="Y889" s="701"/>
      <c r="Z889" s="701"/>
    </row>
    <row r="890" spans="1:26" s="702" customFormat="1" ht="58.5" customHeight="1">
      <c r="A890" s="647">
        <v>4360</v>
      </c>
      <c r="B890" s="712" t="s">
        <v>431</v>
      </c>
      <c r="C890" s="603">
        <v>200</v>
      </c>
      <c r="D890" s="581">
        <f t="shared" si="103"/>
        <v>200</v>
      </c>
      <c r="E890" s="581">
        <f t="shared" si="105"/>
        <v>61</v>
      </c>
      <c r="F890" s="582">
        <f t="shared" si="101"/>
        <v>30.5</v>
      </c>
      <c r="G890" s="581"/>
      <c r="H890" s="586"/>
      <c r="I890" s="847"/>
      <c r="J890" s="586"/>
      <c r="K890" s="581"/>
      <c r="L890" s="587"/>
      <c r="M890" s="603">
        <v>200</v>
      </c>
      <c r="N890" s="581">
        <v>61</v>
      </c>
      <c r="O890" s="627">
        <f t="shared" si="102"/>
        <v>30.5</v>
      </c>
      <c r="P890" s="581"/>
      <c r="Q890" s="581"/>
      <c r="R890" s="653"/>
      <c r="S890" s="700"/>
      <c r="T890" s="700"/>
      <c r="U890" s="700"/>
      <c r="V890" s="700"/>
      <c r="W890" s="701"/>
      <c r="X890" s="701"/>
      <c r="Y890" s="701"/>
      <c r="Z890" s="701"/>
    </row>
    <row r="891" spans="1:26" s="702" customFormat="1" ht="66" customHeight="1">
      <c r="A891" s="647">
        <v>4370</v>
      </c>
      <c r="B891" s="712" t="s">
        <v>432</v>
      </c>
      <c r="C891" s="603">
        <v>1300</v>
      </c>
      <c r="D891" s="581">
        <f t="shared" si="103"/>
        <v>1300</v>
      </c>
      <c r="E891" s="581">
        <f t="shared" si="105"/>
        <v>174</v>
      </c>
      <c r="F891" s="582">
        <f t="shared" si="101"/>
        <v>13.384615384615383</v>
      </c>
      <c r="G891" s="581"/>
      <c r="H891" s="586"/>
      <c r="I891" s="847"/>
      <c r="J891" s="586"/>
      <c r="K891" s="581"/>
      <c r="L891" s="587"/>
      <c r="M891" s="603">
        <v>1300</v>
      </c>
      <c r="N891" s="581">
        <v>174</v>
      </c>
      <c r="O891" s="627">
        <f t="shared" si="102"/>
        <v>13.384615384615383</v>
      </c>
      <c r="P891" s="581"/>
      <c r="Q891" s="581"/>
      <c r="R891" s="653"/>
      <c r="S891" s="700"/>
      <c r="T891" s="700"/>
      <c r="U891" s="700"/>
      <c r="V891" s="700"/>
      <c r="W891" s="701"/>
      <c r="X891" s="701"/>
      <c r="Y891" s="701"/>
      <c r="Z891" s="701"/>
    </row>
    <row r="892" spans="1:26" s="702" customFormat="1" ht="48">
      <c r="A892" s="647">
        <v>4390</v>
      </c>
      <c r="B892" s="651" t="s">
        <v>222</v>
      </c>
      <c r="C892" s="603">
        <v>1500</v>
      </c>
      <c r="D892" s="581">
        <f t="shared" si="103"/>
        <v>1500</v>
      </c>
      <c r="E892" s="581">
        <f t="shared" si="105"/>
        <v>198</v>
      </c>
      <c r="F892" s="582">
        <f t="shared" si="101"/>
        <v>13.200000000000001</v>
      </c>
      <c r="G892" s="581"/>
      <c r="H892" s="586"/>
      <c r="I892" s="847"/>
      <c r="J892" s="586"/>
      <c r="K892" s="581"/>
      <c r="L892" s="587"/>
      <c r="M892" s="603">
        <v>1500</v>
      </c>
      <c r="N892" s="581">
        <v>198</v>
      </c>
      <c r="O892" s="627">
        <f t="shared" si="102"/>
        <v>13.200000000000001</v>
      </c>
      <c r="P892" s="581"/>
      <c r="Q892" s="581"/>
      <c r="R892" s="653"/>
      <c r="S892" s="700"/>
      <c r="T892" s="700"/>
      <c r="U892" s="700"/>
      <c r="V892" s="700"/>
      <c r="W892" s="701"/>
      <c r="X892" s="701"/>
      <c r="Y892" s="701"/>
      <c r="Z892" s="701"/>
    </row>
    <row r="893" spans="1:26" s="702" customFormat="1" ht="16.5" customHeight="1">
      <c r="A893" s="647">
        <v>4410</v>
      </c>
      <c r="B893" s="651" t="s">
        <v>173</v>
      </c>
      <c r="C893" s="603">
        <v>800</v>
      </c>
      <c r="D893" s="581">
        <f t="shared" si="103"/>
        <v>800</v>
      </c>
      <c r="E893" s="581">
        <f t="shared" si="105"/>
        <v>478</v>
      </c>
      <c r="F893" s="582">
        <f t="shared" si="101"/>
        <v>59.75</v>
      </c>
      <c r="G893" s="581"/>
      <c r="H893" s="586"/>
      <c r="I893" s="847"/>
      <c r="J893" s="586"/>
      <c r="K893" s="581"/>
      <c r="L893" s="587"/>
      <c r="M893" s="603">
        <v>800</v>
      </c>
      <c r="N893" s="581">
        <v>478</v>
      </c>
      <c r="O893" s="627">
        <f t="shared" si="102"/>
        <v>59.75</v>
      </c>
      <c r="P893" s="581"/>
      <c r="Q893" s="581"/>
      <c r="R893" s="653"/>
      <c r="S893" s="700"/>
      <c r="T893" s="700"/>
      <c r="U893" s="700"/>
      <c r="V893" s="700"/>
      <c r="W893" s="701"/>
      <c r="X893" s="701"/>
      <c r="Y893" s="701"/>
      <c r="Z893" s="701"/>
    </row>
    <row r="894" spans="1:26" s="702" customFormat="1" ht="12.75">
      <c r="A894" s="647">
        <v>4440</v>
      </c>
      <c r="B894" s="651" t="s">
        <v>203</v>
      </c>
      <c r="C894" s="603">
        <v>51300</v>
      </c>
      <c r="D894" s="581">
        <f t="shared" si="103"/>
        <v>51300</v>
      </c>
      <c r="E894" s="581">
        <f t="shared" si="105"/>
        <v>15550</v>
      </c>
      <c r="F894" s="582">
        <f t="shared" si="101"/>
        <v>30.31189083820663</v>
      </c>
      <c r="G894" s="581"/>
      <c r="H894" s="586"/>
      <c r="I894" s="847"/>
      <c r="J894" s="586"/>
      <c r="K894" s="581"/>
      <c r="L894" s="587"/>
      <c r="M894" s="603">
        <v>51300</v>
      </c>
      <c r="N894" s="581">
        <v>15550</v>
      </c>
      <c r="O894" s="627">
        <f t="shared" si="102"/>
        <v>30.31189083820663</v>
      </c>
      <c r="P894" s="581"/>
      <c r="Q894" s="581"/>
      <c r="R894" s="653"/>
      <c r="S894" s="700"/>
      <c r="T894" s="700"/>
      <c r="U894" s="700"/>
      <c r="V894" s="700"/>
      <c r="W894" s="701"/>
      <c r="X894" s="701"/>
      <c r="Y894" s="701"/>
      <c r="Z894" s="701"/>
    </row>
    <row r="895" spans="1:26" s="702" customFormat="1" ht="36" customHeight="1">
      <c r="A895" s="647">
        <v>4700</v>
      </c>
      <c r="B895" s="712" t="s">
        <v>588</v>
      </c>
      <c r="C895" s="603">
        <v>1100</v>
      </c>
      <c r="D895" s="581">
        <f t="shared" si="103"/>
        <v>1100</v>
      </c>
      <c r="E895" s="581">
        <f t="shared" si="105"/>
        <v>420</v>
      </c>
      <c r="F895" s="582">
        <f t="shared" si="101"/>
        <v>38.18181818181819</v>
      </c>
      <c r="G895" s="581"/>
      <c r="H895" s="586"/>
      <c r="I895" s="847"/>
      <c r="J895" s="586"/>
      <c r="K895" s="581"/>
      <c r="L895" s="587"/>
      <c r="M895" s="603">
        <v>1100</v>
      </c>
      <c r="N895" s="581">
        <v>420</v>
      </c>
      <c r="O895" s="627">
        <f t="shared" si="102"/>
        <v>38.18181818181819</v>
      </c>
      <c r="P895" s="581"/>
      <c r="Q895" s="581"/>
      <c r="R895" s="653"/>
      <c r="S895" s="700"/>
      <c r="T895" s="700"/>
      <c r="U895" s="700"/>
      <c r="V895" s="700"/>
      <c r="W895" s="701"/>
      <c r="X895" s="701"/>
      <c r="Y895" s="701"/>
      <c r="Z895" s="701"/>
    </row>
    <row r="896" spans="1:26" s="702" customFormat="1" ht="50.25" customHeight="1">
      <c r="A896" s="647">
        <v>4740</v>
      </c>
      <c r="B896" s="712" t="s">
        <v>215</v>
      </c>
      <c r="C896" s="603">
        <v>900</v>
      </c>
      <c r="D896" s="581">
        <f t="shared" si="103"/>
        <v>900</v>
      </c>
      <c r="E896" s="581">
        <f t="shared" si="105"/>
        <v>0</v>
      </c>
      <c r="F896" s="582">
        <f t="shared" si="101"/>
        <v>0</v>
      </c>
      <c r="G896" s="581"/>
      <c r="H896" s="586"/>
      <c r="I896" s="847"/>
      <c r="J896" s="586"/>
      <c r="K896" s="581"/>
      <c r="L896" s="587"/>
      <c r="M896" s="603">
        <v>900</v>
      </c>
      <c r="N896" s="581"/>
      <c r="O896" s="627">
        <f t="shared" si="102"/>
        <v>0</v>
      </c>
      <c r="P896" s="581"/>
      <c r="Q896" s="581"/>
      <c r="R896" s="653"/>
      <c r="S896" s="700"/>
      <c r="T896" s="700"/>
      <c r="U896" s="700"/>
      <c r="V896" s="700"/>
      <c r="W896" s="701"/>
      <c r="X896" s="701"/>
      <c r="Y896" s="701"/>
      <c r="Z896" s="701"/>
    </row>
    <row r="897" spans="1:26" s="702" customFormat="1" ht="36">
      <c r="A897" s="647">
        <v>4750</v>
      </c>
      <c r="B897" s="712" t="s">
        <v>589</v>
      </c>
      <c r="C897" s="603">
        <v>1500</v>
      </c>
      <c r="D897" s="581">
        <f t="shared" si="103"/>
        <v>1500</v>
      </c>
      <c r="E897" s="581">
        <f>SUM(H897+K897+N897+Q897)</f>
        <v>696</v>
      </c>
      <c r="F897" s="582">
        <f>E897/D897*100</f>
        <v>46.400000000000006</v>
      </c>
      <c r="G897" s="581"/>
      <c r="H897" s="586"/>
      <c r="I897" s="847"/>
      <c r="J897" s="586"/>
      <c r="K897" s="581"/>
      <c r="L897" s="587"/>
      <c r="M897" s="603">
        <v>1500</v>
      </c>
      <c r="N897" s="581">
        <v>696</v>
      </c>
      <c r="O897" s="627">
        <f t="shared" si="102"/>
        <v>46.400000000000006</v>
      </c>
      <c r="P897" s="581"/>
      <c r="Q897" s="581"/>
      <c r="R897" s="653"/>
      <c r="S897" s="700"/>
      <c r="T897" s="700"/>
      <c r="U897" s="700"/>
      <c r="V897" s="700"/>
      <c r="W897" s="701"/>
      <c r="X897" s="701"/>
      <c r="Y897" s="701"/>
      <c r="Z897" s="701"/>
    </row>
    <row r="898" spans="1:26" s="702" customFormat="1" ht="48" hidden="1">
      <c r="A898" s="647">
        <v>6060</v>
      </c>
      <c r="B898" s="651" t="s">
        <v>628</v>
      </c>
      <c r="C898" s="603"/>
      <c r="D898" s="675">
        <f t="shared" si="103"/>
        <v>0</v>
      </c>
      <c r="E898" s="675">
        <f t="shared" si="105"/>
        <v>0</v>
      </c>
      <c r="F898" s="643" t="e">
        <f t="shared" si="101"/>
        <v>#DIV/0!</v>
      </c>
      <c r="G898" s="675"/>
      <c r="H898" s="676"/>
      <c r="I898" s="846"/>
      <c r="J898" s="676"/>
      <c r="K898" s="675"/>
      <c r="L898" s="677"/>
      <c r="M898" s="603"/>
      <c r="N898" s="675"/>
      <c r="O898" s="627" t="e">
        <f t="shared" si="102"/>
        <v>#DIV/0!</v>
      </c>
      <c r="P898" s="675"/>
      <c r="Q898" s="675"/>
      <c r="R898" s="680"/>
      <c r="S898" s="700"/>
      <c r="T898" s="700"/>
      <c r="U898" s="700"/>
      <c r="V898" s="700"/>
      <c r="W898" s="701"/>
      <c r="X898" s="701"/>
      <c r="Y898" s="701"/>
      <c r="Z898" s="701"/>
    </row>
    <row r="899" spans="1:26" s="702" customFormat="1" ht="60">
      <c r="A899" s="640">
        <v>80140</v>
      </c>
      <c r="B899" s="742" t="s">
        <v>760</v>
      </c>
      <c r="C899" s="608">
        <f>SUM(C900:C924)</f>
        <v>2489600</v>
      </c>
      <c r="D899" s="595">
        <f t="shared" si="103"/>
        <v>2489600</v>
      </c>
      <c r="E899" s="595">
        <f>H899+K899+Q899+N899</f>
        <v>638391</v>
      </c>
      <c r="F899" s="596">
        <f t="shared" si="101"/>
        <v>25.642312017994858</v>
      </c>
      <c r="G899" s="735"/>
      <c r="H899" s="736"/>
      <c r="I899" s="845"/>
      <c r="J899" s="736"/>
      <c r="K899" s="735"/>
      <c r="L899" s="737"/>
      <c r="M899" s="608">
        <f>SUM(M900:M924)</f>
        <v>2489600</v>
      </c>
      <c r="N899" s="595">
        <f>SUM(N900:N924)</f>
        <v>638391</v>
      </c>
      <c r="O899" s="624">
        <f t="shared" si="102"/>
        <v>25.642312017994858</v>
      </c>
      <c r="P899" s="595"/>
      <c r="Q899" s="595"/>
      <c r="R899" s="731"/>
      <c r="S899" s="700"/>
      <c r="T899" s="700"/>
      <c r="U899" s="700"/>
      <c r="V899" s="700"/>
      <c r="W899" s="701"/>
      <c r="X899" s="701"/>
      <c r="Y899" s="701"/>
      <c r="Z899" s="701"/>
    </row>
    <row r="900" spans="1:26" s="702" customFormat="1" ht="36">
      <c r="A900" s="647">
        <v>3020</v>
      </c>
      <c r="B900" s="651" t="s">
        <v>736</v>
      </c>
      <c r="C900" s="603">
        <v>7000</v>
      </c>
      <c r="D900" s="581">
        <f t="shared" si="103"/>
        <v>7000</v>
      </c>
      <c r="E900" s="581">
        <f aca="true" t="shared" si="106" ref="E900:E924">SUM(H900+K900+N900+Q900)</f>
        <v>221</v>
      </c>
      <c r="F900" s="582">
        <f t="shared" si="101"/>
        <v>3.157142857142857</v>
      </c>
      <c r="G900" s="581"/>
      <c r="H900" s="586"/>
      <c r="I900" s="847"/>
      <c r="J900" s="586"/>
      <c r="K900" s="581"/>
      <c r="L900" s="587"/>
      <c r="M900" s="603">
        <v>7000</v>
      </c>
      <c r="N900" s="581">
        <v>221</v>
      </c>
      <c r="O900" s="627">
        <f t="shared" si="102"/>
        <v>3.157142857142857</v>
      </c>
      <c r="P900" s="581"/>
      <c r="Q900" s="581"/>
      <c r="R900" s="653"/>
      <c r="S900" s="700"/>
      <c r="T900" s="700"/>
      <c r="U900" s="700"/>
      <c r="V900" s="700"/>
      <c r="W900" s="701"/>
      <c r="X900" s="701"/>
      <c r="Y900" s="701"/>
      <c r="Z900" s="701"/>
    </row>
    <row r="901" spans="1:26" s="702" customFormat="1" ht="27.75" customHeight="1">
      <c r="A901" s="647">
        <v>4010</v>
      </c>
      <c r="B901" s="651" t="s">
        <v>181</v>
      </c>
      <c r="C901" s="603">
        <v>1614000</v>
      </c>
      <c r="D901" s="581">
        <f t="shared" si="103"/>
        <v>1614000</v>
      </c>
      <c r="E901" s="581">
        <f t="shared" si="106"/>
        <v>367516</v>
      </c>
      <c r="F901" s="582">
        <f t="shared" si="101"/>
        <v>22.770508054522924</v>
      </c>
      <c r="G901" s="581"/>
      <c r="H901" s="586"/>
      <c r="I901" s="847"/>
      <c r="J901" s="586"/>
      <c r="K901" s="581"/>
      <c r="L901" s="587"/>
      <c r="M901" s="603">
        <v>1614000</v>
      </c>
      <c r="N901" s="581">
        <v>367516</v>
      </c>
      <c r="O901" s="627">
        <f t="shared" si="102"/>
        <v>22.770508054522924</v>
      </c>
      <c r="P901" s="581"/>
      <c r="Q901" s="581"/>
      <c r="R901" s="653"/>
      <c r="S901" s="482"/>
      <c r="T901" s="482"/>
      <c r="U901" s="482"/>
      <c r="V901" s="482"/>
      <c r="W901" s="701"/>
      <c r="X901" s="701"/>
      <c r="Y901" s="701"/>
      <c r="Z901" s="701"/>
    </row>
    <row r="902" spans="1:26" s="702" customFormat="1" ht="24">
      <c r="A902" s="647">
        <v>4040</v>
      </c>
      <c r="B902" s="651" t="s">
        <v>185</v>
      </c>
      <c r="C902" s="603">
        <v>135400</v>
      </c>
      <c r="D902" s="581">
        <f t="shared" si="103"/>
        <v>135400</v>
      </c>
      <c r="E902" s="581">
        <f t="shared" si="106"/>
        <v>88190</v>
      </c>
      <c r="F902" s="582">
        <f t="shared" si="101"/>
        <v>65.13293943870015</v>
      </c>
      <c r="G902" s="581"/>
      <c r="H902" s="586"/>
      <c r="I902" s="847"/>
      <c r="J902" s="586"/>
      <c r="K902" s="581"/>
      <c r="L902" s="587"/>
      <c r="M902" s="603">
        <v>135400</v>
      </c>
      <c r="N902" s="581">
        <v>88190</v>
      </c>
      <c r="O902" s="627">
        <f t="shared" si="102"/>
        <v>65.13293943870015</v>
      </c>
      <c r="P902" s="581"/>
      <c r="Q902" s="581"/>
      <c r="R902" s="653"/>
      <c r="S902" s="482"/>
      <c r="T902" s="482"/>
      <c r="U902" s="482"/>
      <c r="V902" s="482"/>
      <c r="W902" s="701"/>
      <c r="X902" s="701"/>
      <c r="Y902" s="701"/>
      <c r="Z902" s="701"/>
    </row>
    <row r="903" spans="1:26" s="702" customFormat="1" ht="23.25" customHeight="1">
      <c r="A903" s="647">
        <v>4110</v>
      </c>
      <c r="B903" s="651" t="s">
        <v>187</v>
      </c>
      <c r="C903" s="603">
        <v>262000</v>
      </c>
      <c r="D903" s="581">
        <f t="shared" si="103"/>
        <v>262000</v>
      </c>
      <c r="E903" s="581">
        <f t="shared" si="106"/>
        <v>53500</v>
      </c>
      <c r="F903" s="582">
        <f t="shared" si="101"/>
        <v>20.419847328244277</v>
      </c>
      <c r="G903" s="581"/>
      <c r="H903" s="586"/>
      <c r="I903" s="847"/>
      <c r="J903" s="586"/>
      <c r="K903" s="581"/>
      <c r="L903" s="587"/>
      <c r="M903" s="603">
        <v>262000</v>
      </c>
      <c r="N903" s="581">
        <v>53500</v>
      </c>
      <c r="O903" s="627">
        <f t="shared" si="102"/>
        <v>20.419847328244277</v>
      </c>
      <c r="P903" s="581"/>
      <c r="Q903" s="581"/>
      <c r="R903" s="653"/>
      <c r="S903" s="482"/>
      <c r="T903" s="482"/>
      <c r="U903" s="482"/>
      <c r="V903" s="482"/>
      <c r="W903" s="701"/>
      <c r="X903" s="701"/>
      <c r="Y903" s="701"/>
      <c r="Z903" s="701"/>
    </row>
    <row r="904" spans="1:26" s="702" customFormat="1" ht="12.75">
      <c r="A904" s="647">
        <v>4120</v>
      </c>
      <c r="B904" s="651" t="s">
        <v>619</v>
      </c>
      <c r="C904" s="603">
        <v>42500</v>
      </c>
      <c r="D904" s="581">
        <f t="shared" si="103"/>
        <v>42500</v>
      </c>
      <c r="E904" s="581">
        <f t="shared" si="106"/>
        <v>6861</v>
      </c>
      <c r="F904" s="582">
        <f t="shared" si="101"/>
        <v>16.143529411764707</v>
      </c>
      <c r="G904" s="581"/>
      <c r="H904" s="586"/>
      <c r="I904" s="847"/>
      <c r="J904" s="586"/>
      <c r="K904" s="581"/>
      <c r="L904" s="587"/>
      <c r="M904" s="603">
        <v>42500</v>
      </c>
      <c r="N904" s="581">
        <v>6861</v>
      </c>
      <c r="O904" s="627">
        <f t="shared" si="102"/>
        <v>16.143529411764707</v>
      </c>
      <c r="P904" s="581"/>
      <c r="Q904" s="581"/>
      <c r="R904" s="653"/>
      <c r="S904" s="482"/>
      <c r="T904" s="482"/>
      <c r="U904" s="482"/>
      <c r="V904" s="482"/>
      <c r="W904" s="701"/>
      <c r="X904" s="701"/>
      <c r="Y904" s="701"/>
      <c r="Z904" s="701"/>
    </row>
    <row r="905" spans="1:26" s="702" customFormat="1" ht="12.75">
      <c r="A905" s="647">
        <v>4140</v>
      </c>
      <c r="B905" s="651" t="s">
        <v>252</v>
      </c>
      <c r="C905" s="603">
        <v>28000</v>
      </c>
      <c r="D905" s="581">
        <f t="shared" si="103"/>
        <v>28000</v>
      </c>
      <c r="E905" s="581">
        <f>SUM(H905+K905+N905+Q905)</f>
        <v>1804</v>
      </c>
      <c r="F905" s="582">
        <f>E905/D905*100</f>
        <v>6.442857142857143</v>
      </c>
      <c r="G905" s="581"/>
      <c r="H905" s="586"/>
      <c r="I905" s="847"/>
      <c r="J905" s="586"/>
      <c r="K905" s="581"/>
      <c r="L905" s="587"/>
      <c r="M905" s="603">
        <v>28000</v>
      </c>
      <c r="N905" s="581">
        <v>1804</v>
      </c>
      <c r="O905" s="627">
        <f t="shared" si="102"/>
        <v>6.442857142857143</v>
      </c>
      <c r="P905" s="581"/>
      <c r="Q905" s="581"/>
      <c r="R905" s="653"/>
      <c r="S905" s="700"/>
      <c r="T905" s="700"/>
      <c r="U905" s="700"/>
      <c r="V905" s="700"/>
      <c r="W905" s="701"/>
      <c r="X905" s="701"/>
      <c r="Y905" s="701"/>
      <c r="Z905" s="701"/>
    </row>
    <row r="906" spans="1:26" s="702" customFormat="1" ht="24">
      <c r="A906" s="647">
        <v>4210</v>
      </c>
      <c r="B906" s="651" t="s">
        <v>191</v>
      </c>
      <c r="C906" s="603">
        <v>30200</v>
      </c>
      <c r="D906" s="581">
        <f t="shared" si="103"/>
        <v>30200</v>
      </c>
      <c r="E906" s="581">
        <f t="shared" si="106"/>
        <v>7350</v>
      </c>
      <c r="F906" s="582">
        <f t="shared" si="101"/>
        <v>24.337748344370862</v>
      </c>
      <c r="G906" s="581"/>
      <c r="H906" s="586"/>
      <c r="I906" s="847"/>
      <c r="J906" s="586"/>
      <c r="K906" s="581"/>
      <c r="L906" s="587"/>
      <c r="M906" s="603">
        <v>30200</v>
      </c>
      <c r="N906" s="581">
        <v>7350</v>
      </c>
      <c r="O906" s="627">
        <f t="shared" si="102"/>
        <v>24.337748344370862</v>
      </c>
      <c r="P906" s="581"/>
      <c r="Q906" s="581"/>
      <c r="R906" s="653"/>
      <c r="S906" s="700"/>
      <c r="T906" s="700"/>
      <c r="U906" s="700"/>
      <c r="V906" s="700"/>
      <c r="W906" s="701"/>
      <c r="X906" s="701"/>
      <c r="Y906" s="701"/>
      <c r="Z906" s="701"/>
    </row>
    <row r="907" spans="1:26" s="702" customFormat="1" ht="27" customHeight="1">
      <c r="A907" s="647">
        <v>4240</v>
      </c>
      <c r="B907" s="651" t="s">
        <v>608</v>
      </c>
      <c r="C907" s="603">
        <v>2000</v>
      </c>
      <c r="D907" s="581">
        <f t="shared" si="103"/>
        <v>2000</v>
      </c>
      <c r="E907" s="581">
        <f t="shared" si="106"/>
        <v>0</v>
      </c>
      <c r="F907" s="582">
        <f t="shared" si="101"/>
        <v>0</v>
      </c>
      <c r="G907" s="581"/>
      <c r="H907" s="586"/>
      <c r="I907" s="847"/>
      <c r="J907" s="586"/>
      <c r="K907" s="581"/>
      <c r="L907" s="587"/>
      <c r="M907" s="603">
        <v>2000</v>
      </c>
      <c r="N907" s="581"/>
      <c r="O907" s="627">
        <f t="shared" si="102"/>
        <v>0</v>
      </c>
      <c r="P907" s="581"/>
      <c r="Q907" s="581"/>
      <c r="R907" s="653"/>
      <c r="S907" s="700"/>
      <c r="T907" s="700"/>
      <c r="U907" s="700"/>
      <c r="V907" s="700"/>
      <c r="W907" s="701"/>
      <c r="X907" s="701"/>
      <c r="Y907" s="701"/>
      <c r="Z907" s="701"/>
    </row>
    <row r="908" spans="1:26" s="702" customFormat="1" ht="12.75">
      <c r="A908" s="647">
        <v>4260</v>
      </c>
      <c r="B908" s="651" t="s">
        <v>195</v>
      </c>
      <c r="C908" s="603">
        <v>185100</v>
      </c>
      <c r="D908" s="581">
        <f t="shared" si="103"/>
        <v>185100</v>
      </c>
      <c r="E908" s="581">
        <f t="shared" si="106"/>
        <v>87403</v>
      </c>
      <c r="F908" s="582">
        <f t="shared" si="101"/>
        <v>47.21934089681253</v>
      </c>
      <c r="G908" s="581"/>
      <c r="H908" s="586"/>
      <c r="I908" s="847"/>
      <c r="J908" s="586"/>
      <c r="K908" s="581"/>
      <c r="L908" s="587"/>
      <c r="M908" s="603">
        <v>185100</v>
      </c>
      <c r="N908" s="581">
        <v>87403</v>
      </c>
      <c r="O908" s="627">
        <f t="shared" si="102"/>
        <v>47.21934089681253</v>
      </c>
      <c r="P908" s="581"/>
      <c r="Q908" s="581"/>
      <c r="R908" s="653"/>
      <c r="S908" s="700"/>
      <c r="T908" s="700"/>
      <c r="U908" s="700"/>
      <c r="V908" s="700"/>
      <c r="W908" s="701"/>
      <c r="X908" s="701"/>
      <c r="Y908" s="701"/>
      <c r="Z908" s="701"/>
    </row>
    <row r="909" spans="1:26" s="702" customFormat="1" ht="14.25" customHeight="1">
      <c r="A909" s="647">
        <v>4270</v>
      </c>
      <c r="B909" s="651" t="s">
        <v>197</v>
      </c>
      <c r="C909" s="603">
        <v>8000</v>
      </c>
      <c r="D909" s="581">
        <f t="shared" si="103"/>
        <v>8000</v>
      </c>
      <c r="E909" s="581">
        <f t="shared" si="106"/>
        <v>2054</v>
      </c>
      <c r="F909" s="582">
        <f t="shared" si="101"/>
        <v>25.674999999999997</v>
      </c>
      <c r="G909" s="581"/>
      <c r="H909" s="586"/>
      <c r="I909" s="847"/>
      <c r="J909" s="586"/>
      <c r="K909" s="581"/>
      <c r="L909" s="587"/>
      <c r="M909" s="603">
        <v>8000</v>
      </c>
      <c r="N909" s="581">
        <v>2054</v>
      </c>
      <c r="O909" s="627">
        <f t="shared" si="102"/>
        <v>25.674999999999997</v>
      </c>
      <c r="P909" s="581"/>
      <c r="Q909" s="581"/>
      <c r="R909" s="653"/>
      <c r="S909" s="700"/>
      <c r="T909" s="700"/>
      <c r="U909" s="700"/>
      <c r="V909" s="700"/>
      <c r="W909" s="701"/>
      <c r="X909" s="701"/>
      <c r="Y909" s="701"/>
      <c r="Z909" s="701"/>
    </row>
    <row r="910" spans="1:26" s="702" customFormat="1" ht="16.5" customHeight="1">
      <c r="A910" s="647">
        <v>4280</v>
      </c>
      <c r="B910" s="651" t="s">
        <v>582</v>
      </c>
      <c r="C910" s="603">
        <v>1300</v>
      </c>
      <c r="D910" s="581">
        <f t="shared" si="103"/>
        <v>1300</v>
      </c>
      <c r="E910" s="581">
        <f t="shared" si="106"/>
        <v>0</v>
      </c>
      <c r="F910" s="582">
        <f t="shared" si="101"/>
        <v>0</v>
      </c>
      <c r="G910" s="581"/>
      <c r="H910" s="586"/>
      <c r="I910" s="847"/>
      <c r="J910" s="586"/>
      <c r="K910" s="581"/>
      <c r="L910" s="587"/>
      <c r="M910" s="603">
        <v>1300</v>
      </c>
      <c r="N910" s="581"/>
      <c r="O910" s="627">
        <f t="shared" si="102"/>
        <v>0</v>
      </c>
      <c r="P910" s="581"/>
      <c r="Q910" s="581"/>
      <c r="R910" s="653"/>
      <c r="S910" s="700"/>
      <c r="T910" s="700"/>
      <c r="U910" s="700"/>
      <c r="V910" s="700"/>
      <c r="W910" s="701"/>
      <c r="X910" s="701"/>
      <c r="Y910" s="701"/>
      <c r="Z910" s="701"/>
    </row>
    <row r="911" spans="1:26" s="702" customFormat="1" ht="15.75" customHeight="1">
      <c r="A911" s="647">
        <v>4300</v>
      </c>
      <c r="B911" s="651" t="s">
        <v>199</v>
      </c>
      <c r="C911" s="603">
        <v>20000</v>
      </c>
      <c r="D911" s="581">
        <f t="shared" si="103"/>
        <v>20000</v>
      </c>
      <c r="E911" s="581">
        <f t="shared" si="106"/>
        <v>4056</v>
      </c>
      <c r="F911" s="582">
        <f t="shared" si="101"/>
        <v>20.28</v>
      </c>
      <c r="G911" s="581"/>
      <c r="H911" s="586"/>
      <c r="I911" s="847"/>
      <c r="J911" s="586"/>
      <c r="K911" s="581"/>
      <c r="L911" s="587"/>
      <c r="M911" s="603">
        <v>20000</v>
      </c>
      <c r="N911" s="581">
        <v>4056</v>
      </c>
      <c r="O911" s="627">
        <f t="shared" si="102"/>
        <v>20.28</v>
      </c>
      <c r="P911" s="581"/>
      <c r="Q911" s="581"/>
      <c r="R911" s="653"/>
      <c r="S911" s="700"/>
      <c r="T911" s="700"/>
      <c r="U911" s="700"/>
      <c r="V911" s="700"/>
      <c r="W911" s="701"/>
      <c r="X911" s="701"/>
      <c r="Y911" s="701"/>
      <c r="Z911" s="701"/>
    </row>
    <row r="912" spans="1:26" s="702" customFormat="1" ht="24">
      <c r="A912" s="647">
        <v>4350</v>
      </c>
      <c r="B912" s="651" t="s">
        <v>584</v>
      </c>
      <c r="C912" s="603">
        <v>3800</v>
      </c>
      <c r="D912" s="581">
        <f t="shared" si="103"/>
        <v>3800</v>
      </c>
      <c r="E912" s="581">
        <f t="shared" si="106"/>
        <v>312</v>
      </c>
      <c r="F912" s="582">
        <f t="shared" si="101"/>
        <v>8.210526315789474</v>
      </c>
      <c r="G912" s="581"/>
      <c r="H912" s="586"/>
      <c r="I912" s="847"/>
      <c r="J912" s="586"/>
      <c r="K912" s="581"/>
      <c r="L912" s="587"/>
      <c r="M912" s="603">
        <v>3800</v>
      </c>
      <c r="N912" s="581">
        <f>312</f>
        <v>312</v>
      </c>
      <c r="O912" s="627">
        <f t="shared" si="102"/>
        <v>8.210526315789474</v>
      </c>
      <c r="P912" s="581"/>
      <c r="Q912" s="581"/>
      <c r="R912" s="653"/>
      <c r="S912" s="700"/>
      <c r="T912" s="700"/>
      <c r="U912" s="700"/>
      <c r="V912" s="700"/>
      <c r="W912" s="701"/>
      <c r="X912" s="701"/>
      <c r="Y912" s="701"/>
      <c r="Z912" s="701"/>
    </row>
    <row r="913" spans="1:26" s="702" customFormat="1" ht="58.5" customHeight="1">
      <c r="A913" s="647">
        <v>4360</v>
      </c>
      <c r="B913" s="712" t="s">
        <v>431</v>
      </c>
      <c r="C913" s="603">
        <v>1300</v>
      </c>
      <c r="D913" s="581">
        <f t="shared" si="103"/>
        <v>1300</v>
      </c>
      <c r="E913" s="581">
        <f>SUM(H913+K913+N913+Q913)</f>
        <v>291</v>
      </c>
      <c r="F913" s="582">
        <f>E913/D913*100</f>
        <v>22.384615384615383</v>
      </c>
      <c r="G913" s="581"/>
      <c r="H913" s="586"/>
      <c r="I913" s="847"/>
      <c r="J913" s="586"/>
      <c r="K913" s="581"/>
      <c r="L913" s="587"/>
      <c r="M913" s="603">
        <v>1300</v>
      </c>
      <c r="N913" s="581">
        <v>291</v>
      </c>
      <c r="O913" s="627">
        <f t="shared" si="102"/>
        <v>22.384615384615383</v>
      </c>
      <c r="P913" s="581"/>
      <c r="Q913" s="581"/>
      <c r="R913" s="653"/>
      <c r="S913" s="700"/>
      <c r="T913" s="700"/>
      <c r="U913" s="700"/>
      <c r="V913" s="700"/>
      <c r="W913" s="701"/>
      <c r="X913" s="701"/>
      <c r="Y913" s="701"/>
      <c r="Z913" s="701"/>
    </row>
    <row r="914" spans="1:26" s="702" customFormat="1" ht="58.5" customHeight="1">
      <c r="A914" s="647">
        <v>4370</v>
      </c>
      <c r="B914" s="712" t="s">
        <v>432</v>
      </c>
      <c r="C914" s="603">
        <v>10900</v>
      </c>
      <c r="D914" s="581">
        <f t="shared" si="103"/>
        <v>10900</v>
      </c>
      <c r="E914" s="581">
        <f>SUM(H914+K914+N914+Q914)</f>
        <v>1233</v>
      </c>
      <c r="F914" s="582">
        <f>E914/D914*100</f>
        <v>11.311926605504587</v>
      </c>
      <c r="G914" s="581"/>
      <c r="H914" s="586"/>
      <c r="I914" s="847"/>
      <c r="J914" s="586"/>
      <c r="K914" s="581"/>
      <c r="L914" s="587"/>
      <c r="M914" s="603">
        <v>10900</v>
      </c>
      <c r="N914" s="581">
        <v>1233</v>
      </c>
      <c r="O914" s="627">
        <f t="shared" si="102"/>
        <v>11.311926605504587</v>
      </c>
      <c r="P914" s="581"/>
      <c r="Q914" s="581"/>
      <c r="R914" s="653"/>
      <c r="S914" s="700"/>
      <c r="T914" s="700"/>
      <c r="U914" s="700"/>
      <c r="V914" s="700"/>
      <c r="W914" s="701"/>
      <c r="X914" s="701"/>
      <c r="Y914" s="701"/>
      <c r="Z914" s="701"/>
    </row>
    <row r="915" spans="1:26" s="702" customFormat="1" ht="36" customHeight="1">
      <c r="A915" s="647">
        <v>4390</v>
      </c>
      <c r="B915" s="651" t="s">
        <v>222</v>
      </c>
      <c r="C915" s="603">
        <v>4000</v>
      </c>
      <c r="D915" s="581">
        <f t="shared" si="103"/>
        <v>4000</v>
      </c>
      <c r="E915" s="581">
        <f>SUM(H915+K915+N915+Q915)</f>
        <v>0</v>
      </c>
      <c r="F915" s="582">
        <f>E915/D915*100</f>
        <v>0</v>
      </c>
      <c r="G915" s="581"/>
      <c r="H915" s="586"/>
      <c r="I915" s="847"/>
      <c r="J915" s="586"/>
      <c r="K915" s="581"/>
      <c r="L915" s="587"/>
      <c r="M915" s="603">
        <v>4000</v>
      </c>
      <c r="N915" s="581"/>
      <c r="O915" s="627">
        <f t="shared" si="102"/>
        <v>0</v>
      </c>
      <c r="P915" s="581"/>
      <c r="Q915" s="581"/>
      <c r="R915" s="653"/>
      <c r="S915" s="700"/>
      <c r="T915" s="700"/>
      <c r="U915" s="700"/>
      <c r="V915" s="700"/>
      <c r="W915" s="701"/>
      <c r="X915" s="701"/>
      <c r="Y915" s="701"/>
      <c r="Z915" s="701"/>
    </row>
    <row r="916" spans="1:26" s="702" customFormat="1" ht="17.25" customHeight="1">
      <c r="A916" s="647">
        <v>4410</v>
      </c>
      <c r="B916" s="651" t="s">
        <v>173</v>
      </c>
      <c r="C916" s="603">
        <v>1500</v>
      </c>
      <c r="D916" s="581">
        <f t="shared" si="103"/>
        <v>1500</v>
      </c>
      <c r="E916" s="581">
        <f t="shared" si="106"/>
        <v>260</v>
      </c>
      <c r="F916" s="582">
        <f t="shared" si="101"/>
        <v>17.333333333333336</v>
      </c>
      <c r="G916" s="581"/>
      <c r="H916" s="586"/>
      <c r="I916" s="847"/>
      <c r="J916" s="586"/>
      <c r="K916" s="581"/>
      <c r="L916" s="587"/>
      <c r="M916" s="603">
        <v>1500</v>
      </c>
      <c r="N916" s="581">
        <v>260</v>
      </c>
      <c r="O916" s="627">
        <f t="shared" si="102"/>
        <v>17.333333333333336</v>
      </c>
      <c r="P916" s="581"/>
      <c r="Q916" s="581"/>
      <c r="R916" s="653"/>
      <c r="S916" s="700"/>
      <c r="T916" s="700"/>
      <c r="U916" s="700"/>
      <c r="V916" s="700"/>
      <c r="W916" s="701"/>
      <c r="X916" s="701"/>
      <c r="Y916" s="701"/>
      <c r="Z916" s="701"/>
    </row>
    <row r="917" spans="1:26" s="702" customFormat="1" ht="24">
      <c r="A917" s="647">
        <v>4420</v>
      </c>
      <c r="B917" s="651" t="s">
        <v>596</v>
      </c>
      <c r="C917" s="603">
        <v>500</v>
      </c>
      <c r="D917" s="581">
        <f t="shared" si="103"/>
        <v>500</v>
      </c>
      <c r="E917" s="581">
        <f>SUM(H917+K917+N917+Q917)</f>
        <v>0</v>
      </c>
      <c r="F917" s="582">
        <f>E917/D917*100</f>
        <v>0</v>
      </c>
      <c r="G917" s="581"/>
      <c r="H917" s="586"/>
      <c r="I917" s="847"/>
      <c r="J917" s="586"/>
      <c r="K917" s="581"/>
      <c r="L917" s="587"/>
      <c r="M917" s="603">
        <v>500</v>
      </c>
      <c r="N917" s="581"/>
      <c r="O917" s="627">
        <f t="shared" si="102"/>
        <v>0</v>
      </c>
      <c r="P917" s="581"/>
      <c r="Q917" s="581"/>
      <c r="R917" s="653"/>
      <c r="S917" s="700"/>
      <c r="T917" s="700"/>
      <c r="U917" s="700"/>
      <c r="V917" s="700"/>
      <c r="W917" s="701"/>
      <c r="X917" s="701"/>
      <c r="Y917" s="701"/>
      <c r="Z917" s="701"/>
    </row>
    <row r="918" spans="1:26" s="702" customFormat="1" ht="12.75">
      <c r="A918" s="647">
        <v>4430</v>
      </c>
      <c r="B918" s="651" t="s">
        <v>201</v>
      </c>
      <c r="C918" s="603">
        <v>300</v>
      </c>
      <c r="D918" s="581">
        <f t="shared" si="103"/>
        <v>300</v>
      </c>
      <c r="E918" s="581">
        <f t="shared" si="106"/>
        <v>0</v>
      </c>
      <c r="F918" s="582">
        <f t="shared" si="101"/>
        <v>0</v>
      </c>
      <c r="G918" s="581"/>
      <c r="H918" s="586"/>
      <c r="I918" s="847"/>
      <c r="J918" s="586"/>
      <c r="K918" s="581"/>
      <c r="L918" s="587"/>
      <c r="M918" s="603">
        <v>300</v>
      </c>
      <c r="N918" s="581"/>
      <c r="O918" s="627">
        <f t="shared" si="102"/>
        <v>0</v>
      </c>
      <c r="P918" s="581"/>
      <c r="Q918" s="581"/>
      <c r="R918" s="653"/>
      <c r="S918" s="700"/>
      <c r="T918" s="700"/>
      <c r="U918" s="700"/>
      <c r="V918" s="700"/>
      <c r="W918" s="701"/>
      <c r="X918" s="701"/>
      <c r="Y918" s="701"/>
      <c r="Z918" s="701"/>
    </row>
    <row r="919" spans="1:26" s="702" customFormat="1" ht="12.75">
      <c r="A919" s="647">
        <v>4440</v>
      </c>
      <c r="B919" s="651" t="s">
        <v>203</v>
      </c>
      <c r="C919" s="603">
        <v>89100</v>
      </c>
      <c r="D919" s="581">
        <f t="shared" si="103"/>
        <v>89100</v>
      </c>
      <c r="E919" s="581">
        <f t="shared" si="106"/>
        <v>13368</v>
      </c>
      <c r="F919" s="582">
        <f t="shared" si="101"/>
        <v>15.003367003367005</v>
      </c>
      <c r="G919" s="581"/>
      <c r="H919" s="586"/>
      <c r="I919" s="847"/>
      <c r="J919" s="586"/>
      <c r="K919" s="581"/>
      <c r="L919" s="587"/>
      <c r="M919" s="603">
        <v>89100</v>
      </c>
      <c r="N919" s="581">
        <v>13368</v>
      </c>
      <c r="O919" s="627">
        <f t="shared" si="102"/>
        <v>15.003367003367005</v>
      </c>
      <c r="P919" s="581"/>
      <c r="Q919" s="581"/>
      <c r="R919" s="653"/>
      <c r="S919" s="700"/>
      <c r="T919" s="700"/>
      <c r="U919" s="700"/>
      <c r="V919" s="700"/>
      <c r="W919" s="701"/>
      <c r="X919" s="701"/>
      <c r="Y919" s="701"/>
      <c r="Z919" s="701"/>
    </row>
    <row r="920" spans="1:26" s="702" customFormat="1" ht="40.5" customHeight="1">
      <c r="A920" s="647">
        <v>4700</v>
      </c>
      <c r="B920" s="712" t="s">
        <v>588</v>
      </c>
      <c r="C920" s="603">
        <v>2000</v>
      </c>
      <c r="D920" s="581">
        <f t="shared" si="103"/>
        <v>2000</v>
      </c>
      <c r="E920" s="581">
        <f t="shared" si="106"/>
        <v>359</v>
      </c>
      <c r="F920" s="582">
        <f t="shared" si="101"/>
        <v>17.95</v>
      </c>
      <c r="G920" s="581"/>
      <c r="H920" s="586"/>
      <c r="I920" s="847"/>
      <c r="J920" s="586"/>
      <c r="K920" s="581"/>
      <c r="L920" s="587"/>
      <c r="M920" s="603">
        <v>2000</v>
      </c>
      <c r="N920" s="581">
        <v>359</v>
      </c>
      <c r="O920" s="627">
        <f t="shared" si="102"/>
        <v>17.95</v>
      </c>
      <c r="P920" s="581"/>
      <c r="Q920" s="581"/>
      <c r="R920" s="653"/>
      <c r="S920" s="700"/>
      <c r="T920" s="700"/>
      <c r="U920" s="700"/>
      <c r="V920" s="700"/>
      <c r="W920" s="701"/>
      <c r="X920" s="701"/>
      <c r="Y920" s="701"/>
      <c r="Z920" s="701"/>
    </row>
    <row r="921" spans="1:26" s="702" customFormat="1" ht="51" customHeight="1">
      <c r="A921" s="647">
        <v>4740</v>
      </c>
      <c r="B921" s="712" t="s">
        <v>215</v>
      </c>
      <c r="C921" s="603">
        <v>2700</v>
      </c>
      <c r="D921" s="581">
        <f t="shared" si="103"/>
        <v>2700</v>
      </c>
      <c r="E921" s="581">
        <f t="shared" si="106"/>
        <v>491</v>
      </c>
      <c r="F921" s="582">
        <f t="shared" si="101"/>
        <v>18.185185185185183</v>
      </c>
      <c r="G921" s="581"/>
      <c r="H921" s="586"/>
      <c r="I921" s="847"/>
      <c r="J921" s="586"/>
      <c r="K921" s="581"/>
      <c r="L921" s="587"/>
      <c r="M921" s="603">
        <v>2700</v>
      </c>
      <c r="N921" s="581">
        <v>491</v>
      </c>
      <c r="O921" s="627">
        <f t="shared" si="102"/>
        <v>18.185185185185183</v>
      </c>
      <c r="P921" s="581"/>
      <c r="Q921" s="581"/>
      <c r="R921" s="653"/>
      <c r="S921" s="700"/>
      <c r="T921" s="700"/>
      <c r="U921" s="700"/>
      <c r="V921" s="700"/>
      <c r="W921" s="701"/>
      <c r="X921" s="701"/>
      <c r="Y921" s="701"/>
      <c r="Z921" s="701"/>
    </row>
    <row r="922" spans="1:26" s="702" customFormat="1" ht="36">
      <c r="A922" s="647">
        <v>4750</v>
      </c>
      <c r="B922" s="712" t="s">
        <v>589</v>
      </c>
      <c r="C922" s="603">
        <v>8600</v>
      </c>
      <c r="D922" s="581">
        <f t="shared" si="103"/>
        <v>8600</v>
      </c>
      <c r="E922" s="581">
        <f t="shared" si="106"/>
        <v>3122</v>
      </c>
      <c r="F922" s="582">
        <f t="shared" si="101"/>
        <v>36.30232558139535</v>
      </c>
      <c r="G922" s="581"/>
      <c r="H922" s="586"/>
      <c r="I922" s="847"/>
      <c r="J922" s="586"/>
      <c r="K922" s="581"/>
      <c r="L922" s="587"/>
      <c r="M922" s="603">
        <v>8600</v>
      </c>
      <c r="N922" s="581">
        <v>3122</v>
      </c>
      <c r="O922" s="627">
        <f t="shared" si="102"/>
        <v>36.30232558139535</v>
      </c>
      <c r="P922" s="581"/>
      <c r="Q922" s="581"/>
      <c r="R922" s="653"/>
      <c r="S922" s="700"/>
      <c r="T922" s="700"/>
      <c r="U922" s="700"/>
      <c r="V922" s="700"/>
      <c r="W922" s="701"/>
      <c r="X922" s="701"/>
      <c r="Y922" s="701"/>
      <c r="Z922" s="701"/>
    </row>
    <row r="923" spans="1:26" s="702" customFormat="1" ht="26.25" customHeight="1">
      <c r="A923" s="647">
        <v>6050</v>
      </c>
      <c r="B923" s="651" t="s">
        <v>225</v>
      </c>
      <c r="C923" s="603">
        <v>29400</v>
      </c>
      <c r="D923" s="581">
        <f t="shared" si="103"/>
        <v>29400</v>
      </c>
      <c r="E923" s="581">
        <f t="shared" si="106"/>
        <v>0</v>
      </c>
      <c r="F923" s="582">
        <f t="shared" si="101"/>
        <v>0</v>
      </c>
      <c r="G923" s="581"/>
      <c r="H923" s="586"/>
      <c r="I923" s="847"/>
      <c r="J923" s="586"/>
      <c r="K923" s="581"/>
      <c r="L923" s="587"/>
      <c r="M923" s="603">
        <v>29400</v>
      </c>
      <c r="N923" s="581"/>
      <c r="O923" s="627">
        <f t="shared" si="102"/>
        <v>0</v>
      </c>
      <c r="P923" s="581"/>
      <c r="Q923" s="581"/>
      <c r="R923" s="653"/>
      <c r="S923" s="700"/>
      <c r="T923" s="700"/>
      <c r="U923" s="700"/>
      <c r="V923" s="700"/>
      <c r="W923" s="701"/>
      <c r="X923" s="701"/>
      <c r="Y923" s="701"/>
      <c r="Z923" s="701"/>
    </row>
    <row r="924" spans="1:26" s="702" customFormat="1" ht="48" hidden="1">
      <c r="A924" s="647">
        <v>6060</v>
      </c>
      <c r="B924" s="651" t="s">
        <v>628</v>
      </c>
      <c r="C924" s="603"/>
      <c r="D924" s="581">
        <f t="shared" si="103"/>
        <v>0</v>
      </c>
      <c r="E924" s="581">
        <f t="shared" si="106"/>
        <v>0</v>
      </c>
      <c r="F924" s="582" t="e">
        <f t="shared" si="101"/>
        <v>#DIV/0!</v>
      </c>
      <c r="G924" s="581"/>
      <c r="H924" s="586"/>
      <c r="I924" s="847"/>
      <c r="J924" s="586"/>
      <c r="K924" s="581"/>
      <c r="L924" s="587"/>
      <c r="M924" s="603"/>
      <c r="N924" s="581"/>
      <c r="O924" s="627" t="e">
        <f t="shared" si="102"/>
        <v>#DIV/0!</v>
      </c>
      <c r="P924" s="581"/>
      <c r="Q924" s="581"/>
      <c r="R924" s="653"/>
      <c r="S924" s="700"/>
      <c r="T924" s="700"/>
      <c r="U924" s="700"/>
      <c r="V924" s="700"/>
      <c r="W924" s="701"/>
      <c r="X924" s="701"/>
      <c r="Y924" s="701"/>
      <c r="Z924" s="701"/>
    </row>
    <row r="925" spans="1:26" s="760" customFormat="1" ht="15" customHeight="1" hidden="1">
      <c r="A925" s="640">
        <v>80145</v>
      </c>
      <c r="B925" s="742" t="s">
        <v>761</v>
      </c>
      <c r="C925" s="608">
        <f>SUM(C927)</f>
        <v>0</v>
      </c>
      <c r="D925" s="595">
        <f t="shared" si="103"/>
        <v>0</v>
      </c>
      <c r="E925" s="595">
        <f>H925+K925+Q925+N925</f>
        <v>0</v>
      </c>
      <c r="F925" s="596" t="e">
        <f>E925/D925*100</f>
        <v>#DIV/0!</v>
      </c>
      <c r="G925" s="730">
        <f>SUM(G926:G927)</f>
        <v>0</v>
      </c>
      <c r="H925" s="595">
        <f>SUM(H926:H927)</f>
        <v>0</v>
      </c>
      <c r="I925" s="624" t="e">
        <f>H925/G925*100</f>
        <v>#DIV/0!</v>
      </c>
      <c r="J925" s="600"/>
      <c r="K925" s="595"/>
      <c r="L925" s="601"/>
      <c r="M925" s="608">
        <f>SUM(M926:M927)</f>
        <v>0</v>
      </c>
      <c r="N925" s="595">
        <f>SUM(N926:N927)</f>
        <v>0</v>
      </c>
      <c r="O925" s="602" t="e">
        <f>N925/M925*100</f>
        <v>#DIV/0!</v>
      </c>
      <c r="P925" s="595"/>
      <c r="Q925" s="595"/>
      <c r="R925" s="685"/>
      <c r="S925" s="758"/>
      <c r="T925" s="758"/>
      <c r="U925" s="758"/>
      <c r="V925" s="758"/>
      <c r="W925" s="759"/>
      <c r="X925" s="759"/>
      <c r="Y925" s="759"/>
      <c r="Z925" s="759"/>
    </row>
    <row r="926" spans="1:26" s="702" customFormat="1" ht="24" hidden="1">
      <c r="A926" s="667">
        <v>4170</v>
      </c>
      <c r="B926" s="668" t="s">
        <v>221</v>
      </c>
      <c r="C926" s="606"/>
      <c r="D926" s="615">
        <f t="shared" si="103"/>
        <v>0</v>
      </c>
      <c r="E926" s="615">
        <f>SUM(H926+K926+N926+Q926)</f>
        <v>0</v>
      </c>
      <c r="F926" s="604" t="e">
        <f>E926/D926*100</f>
        <v>#DIV/0!</v>
      </c>
      <c r="G926" s="606"/>
      <c r="H926" s="618"/>
      <c r="I926" s="669" t="e">
        <f>H926/G926*100</f>
        <v>#DIV/0!</v>
      </c>
      <c r="J926" s="618"/>
      <c r="K926" s="615"/>
      <c r="L926" s="619"/>
      <c r="M926" s="606"/>
      <c r="N926" s="615"/>
      <c r="O926" s="590" t="e">
        <f>N926/M926*100</f>
        <v>#DIV/0!</v>
      </c>
      <c r="P926" s="615"/>
      <c r="Q926" s="615"/>
      <c r="R926" s="671"/>
      <c r="S926" s="700"/>
      <c r="T926" s="700"/>
      <c r="U926" s="700"/>
      <c r="V926" s="700"/>
      <c r="W926" s="701"/>
      <c r="X926" s="701"/>
      <c r="Y926" s="701"/>
      <c r="Z926" s="701"/>
    </row>
    <row r="927" spans="1:26" s="702" customFormat="1" ht="14.25" customHeight="1" hidden="1">
      <c r="A927" s="672">
        <v>4300</v>
      </c>
      <c r="B927" s="687" t="s">
        <v>199</v>
      </c>
      <c r="C927" s="674"/>
      <c r="D927" s="675">
        <f t="shared" si="103"/>
        <v>0</v>
      </c>
      <c r="E927" s="675">
        <f>SUM(H927+K927+N927+Q927)</f>
        <v>0</v>
      </c>
      <c r="F927" s="643"/>
      <c r="G927" s="675">
        <f>7000-7000</f>
        <v>0</v>
      </c>
      <c r="H927" s="676"/>
      <c r="I927" s="644"/>
      <c r="J927" s="676"/>
      <c r="K927" s="675"/>
      <c r="L927" s="677"/>
      <c r="M927" s="674">
        <f>5000-5000</f>
        <v>0</v>
      </c>
      <c r="N927" s="675"/>
      <c r="O927" s="679"/>
      <c r="P927" s="675"/>
      <c r="Q927" s="675"/>
      <c r="R927" s="680"/>
      <c r="S927" s="700"/>
      <c r="T927" s="700"/>
      <c r="U927" s="700"/>
      <c r="V927" s="700"/>
      <c r="W927" s="701"/>
      <c r="X927" s="701"/>
      <c r="Y927" s="701"/>
      <c r="Z927" s="701"/>
    </row>
    <row r="928" spans="1:26" s="760" customFormat="1" ht="30" customHeight="1">
      <c r="A928" s="640">
        <v>80146</v>
      </c>
      <c r="B928" s="742" t="s">
        <v>762</v>
      </c>
      <c r="C928" s="608">
        <f>SUM(C929:C944)</f>
        <v>655500</v>
      </c>
      <c r="D928" s="595">
        <f t="shared" si="103"/>
        <v>655500</v>
      </c>
      <c r="E928" s="595">
        <f>H928+K928+Q928+N928</f>
        <v>103347</v>
      </c>
      <c r="F928" s="596">
        <f aca="true" t="shared" si="107" ref="F928:F990">E928/D928*100</f>
        <v>15.766132723112127</v>
      </c>
      <c r="G928" s="608">
        <f>SUM(G929:G944)</f>
        <v>330000</v>
      </c>
      <c r="H928" s="773">
        <f>SUM(H929:H944)</f>
        <v>46178</v>
      </c>
      <c r="I928" s="624">
        <f aca="true" t="shared" si="108" ref="I928:I965">H928/G928*100</f>
        <v>13.993333333333332</v>
      </c>
      <c r="J928" s="600"/>
      <c r="K928" s="595"/>
      <c r="L928" s="601"/>
      <c r="M928" s="608">
        <f>SUM(M929:M944)</f>
        <v>325500</v>
      </c>
      <c r="N928" s="595">
        <f>SUM(N929:N944)</f>
        <v>57169</v>
      </c>
      <c r="O928" s="602">
        <f>N928/M928*100</f>
        <v>17.563440860215053</v>
      </c>
      <c r="P928" s="595"/>
      <c r="Q928" s="595"/>
      <c r="R928" s="685"/>
      <c r="S928" s="758"/>
      <c r="T928" s="758"/>
      <c r="U928" s="758"/>
      <c r="V928" s="758"/>
      <c r="W928" s="759"/>
      <c r="X928" s="759"/>
      <c r="Y928" s="759"/>
      <c r="Z928" s="759"/>
    </row>
    <row r="929" spans="1:26" s="702" customFormat="1" ht="36" hidden="1">
      <c r="A929" s="667">
        <v>2510</v>
      </c>
      <c r="B929" s="668" t="s">
        <v>763</v>
      </c>
      <c r="C929" s="606"/>
      <c r="D929" s="615">
        <f t="shared" si="103"/>
        <v>0</v>
      </c>
      <c r="E929" s="615">
        <f>H929+K929+Q929+N929</f>
        <v>0</v>
      </c>
      <c r="F929" s="604"/>
      <c r="G929" s="606"/>
      <c r="H929" s="618"/>
      <c r="I929" s="627"/>
      <c r="J929" s="618"/>
      <c r="K929" s="615"/>
      <c r="L929" s="619"/>
      <c r="M929" s="606"/>
      <c r="N929" s="615"/>
      <c r="O929" s="590"/>
      <c r="P929" s="615"/>
      <c r="Q929" s="615"/>
      <c r="R929" s="671"/>
      <c r="S929" s="700"/>
      <c r="T929" s="700"/>
      <c r="U929" s="700"/>
      <c r="V929" s="700"/>
      <c r="W929" s="701"/>
      <c r="X929" s="701"/>
      <c r="Y929" s="701"/>
      <c r="Z929" s="701"/>
    </row>
    <row r="930" spans="1:26" s="702" customFormat="1" ht="26.25" customHeight="1">
      <c r="A930" s="647">
        <v>4010</v>
      </c>
      <c r="B930" s="651" t="s">
        <v>181</v>
      </c>
      <c r="C930" s="603">
        <v>140100</v>
      </c>
      <c r="D930" s="581">
        <f t="shared" si="103"/>
        <v>140100</v>
      </c>
      <c r="E930" s="581">
        <f>H930+K930+Q930+N930</f>
        <v>33341</v>
      </c>
      <c r="F930" s="582">
        <f t="shared" si="107"/>
        <v>23.79800142755175</v>
      </c>
      <c r="G930" s="603">
        <v>51600</v>
      </c>
      <c r="H930" s="586">
        <v>11822</v>
      </c>
      <c r="I930" s="627">
        <f t="shared" si="108"/>
        <v>22.910852713178294</v>
      </c>
      <c r="J930" s="586"/>
      <c r="K930" s="581"/>
      <c r="L930" s="587"/>
      <c r="M930" s="603">
        <v>88500</v>
      </c>
      <c r="N930" s="581">
        <v>21519</v>
      </c>
      <c r="O930" s="627">
        <f aca="true" t="shared" si="109" ref="O930:O939">N930/M930*100</f>
        <v>24.315254237288137</v>
      </c>
      <c r="P930" s="581"/>
      <c r="Q930" s="581"/>
      <c r="R930" s="653"/>
      <c r="S930" s="482"/>
      <c r="T930" s="482"/>
      <c r="U930" s="482"/>
      <c r="V930" s="482"/>
      <c r="W930" s="701"/>
      <c r="X930" s="701"/>
      <c r="Y930" s="701"/>
      <c r="Z930" s="701"/>
    </row>
    <row r="931" spans="1:26" s="702" customFormat="1" ht="24">
      <c r="A931" s="647">
        <v>4040</v>
      </c>
      <c r="B931" s="651" t="s">
        <v>185</v>
      </c>
      <c r="C931" s="603">
        <v>11500</v>
      </c>
      <c r="D931" s="581">
        <f t="shared" si="103"/>
        <v>11500</v>
      </c>
      <c r="E931" s="581">
        <f>SUM(H931+K931+N931+Q931)</f>
        <v>8198</v>
      </c>
      <c r="F931" s="582">
        <f t="shared" si="107"/>
        <v>71.28695652173913</v>
      </c>
      <c r="G931" s="581">
        <v>4100</v>
      </c>
      <c r="H931" s="586">
        <v>3138</v>
      </c>
      <c r="I931" s="627">
        <f t="shared" si="108"/>
        <v>76.53658536585365</v>
      </c>
      <c r="J931" s="586"/>
      <c r="K931" s="581"/>
      <c r="L931" s="587"/>
      <c r="M931" s="603">
        <v>7400</v>
      </c>
      <c r="N931" s="581">
        <v>5060</v>
      </c>
      <c r="O931" s="627">
        <f t="shared" si="109"/>
        <v>68.37837837837839</v>
      </c>
      <c r="P931" s="581"/>
      <c r="Q931" s="581"/>
      <c r="R931" s="653"/>
      <c r="S931" s="482"/>
      <c r="T931" s="482"/>
      <c r="U931" s="482"/>
      <c r="V931" s="482"/>
      <c r="W931" s="701"/>
      <c r="X931" s="701"/>
      <c r="Y931" s="701"/>
      <c r="Z931" s="701"/>
    </row>
    <row r="932" spans="1:26" s="702" customFormat="1" ht="21.75" customHeight="1">
      <c r="A932" s="647">
        <v>4110</v>
      </c>
      <c r="B932" s="651" t="s">
        <v>187</v>
      </c>
      <c r="C932" s="603">
        <v>23300</v>
      </c>
      <c r="D932" s="581">
        <f t="shared" si="103"/>
        <v>23300</v>
      </c>
      <c r="E932" s="581">
        <f>H932+K932+Q932+N932</f>
        <v>4728</v>
      </c>
      <c r="F932" s="582">
        <f t="shared" si="107"/>
        <v>20.29184549356223</v>
      </c>
      <c r="G932" s="603">
        <v>8900</v>
      </c>
      <c r="H932" s="586">
        <v>1592</v>
      </c>
      <c r="I932" s="627">
        <f t="shared" si="108"/>
        <v>17.8876404494382</v>
      </c>
      <c r="J932" s="586"/>
      <c r="K932" s="581"/>
      <c r="L932" s="587"/>
      <c r="M932" s="603">
        <v>14400</v>
      </c>
      <c r="N932" s="581">
        <v>3136</v>
      </c>
      <c r="O932" s="627">
        <f t="shared" si="109"/>
        <v>21.777777777777775</v>
      </c>
      <c r="P932" s="581"/>
      <c r="Q932" s="581"/>
      <c r="R932" s="653"/>
      <c r="S932" s="482"/>
      <c r="T932" s="482"/>
      <c r="U932" s="482"/>
      <c r="V932" s="482"/>
      <c r="W932" s="701"/>
      <c r="X932" s="701"/>
      <c r="Y932" s="701"/>
      <c r="Z932" s="701"/>
    </row>
    <row r="933" spans="1:26" s="702" customFormat="1" ht="12.75">
      <c r="A933" s="647">
        <v>4120</v>
      </c>
      <c r="B933" s="651" t="s">
        <v>619</v>
      </c>
      <c r="C933" s="603">
        <v>4000</v>
      </c>
      <c r="D933" s="581">
        <f t="shared" si="103"/>
        <v>4000</v>
      </c>
      <c r="E933" s="581">
        <f t="shared" si="103"/>
        <v>601</v>
      </c>
      <c r="F933" s="582">
        <f t="shared" si="107"/>
        <v>15.024999999999999</v>
      </c>
      <c r="G933" s="603">
        <v>1500</v>
      </c>
      <c r="H933" s="586">
        <v>227</v>
      </c>
      <c r="I933" s="627">
        <f t="shared" si="108"/>
        <v>15.133333333333333</v>
      </c>
      <c r="J933" s="586"/>
      <c r="K933" s="581"/>
      <c r="L933" s="587"/>
      <c r="M933" s="603">
        <v>2500</v>
      </c>
      <c r="N933" s="581">
        <v>374</v>
      </c>
      <c r="O933" s="627">
        <f t="shared" si="109"/>
        <v>14.96</v>
      </c>
      <c r="P933" s="581"/>
      <c r="Q933" s="581"/>
      <c r="R933" s="653"/>
      <c r="S933" s="482"/>
      <c r="T933" s="482"/>
      <c r="U933" s="482"/>
      <c r="V933" s="482"/>
      <c r="W933" s="701"/>
      <c r="X933" s="701"/>
      <c r="Y933" s="701"/>
      <c r="Z933" s="701"/>
    </row>
    <row r="934" spans="1:26" s="702" customFormat="1" ht="12.75">
      <c r="A934" s="647">
        <v>4140</v>
      </c>
      <c r="B934" s="651" t="s">
        <v>252</v>
      </c>
      <c r="C934" s="603">
        <v>200</v>
      </c>
      <c r="D934" s="581">
        <f aca="true" t="shared" si="110" ref="D934:E950">G934+J934+P934+M934</f>
        <v>200</v>
      </c>
      <c r="E934" s="581">
        <f t="shared" si="110"/>
        <v>39</v>
      </c>
      <c r="F934" s="582">
        <f t="shared" si="107"/>
        <v>19.5</v>
      </c>
      <c r="G934" s="603"/>
      <c r="H934" s="586"/>
      <c r="I934" s="627"/>
      <c r="J934" s="586"/>
      <c r="K934" s="581"/>
      <c r="L934" s="587"/>
      <c r="M934" s="603">
        <v>200</v>
      </c>
      <c r="N934" s="581">
        <v>39</v>
      </c>
      <c r="O934" s="627">
        <f t="shared" si="109"/>
        <v>19.5</v>
      </c>
      <c r="P934" s="581"/>
      <c r="Q934" s="581"/>
      <c r="R934" s="653"/>
      <c r="S934" s="700"/>
      <c r="T934" s="700"/>
      <c r="U934" s="700"/>
      <c r="V934" s="700"/>
      <c r="W934" s="701"/>
      <c r="X934" s="701"/>
      <c r="Y934" s="701"/>
      <c r="Z934" s="701"/>
    </row>
    <row r="935" spans="1:26" s="702" customFormat="1" ht="24">
      <c r="A935" s="647">
        <v>4170</v>
      </c>
      <c r="B935" s="651" t="s">
        <v>221</v>
      </c>
      <c r="C935" s="603"/>
      <c r="D935" s="581">
        <f t="shared" si="110"/>
        <v>500</v>
      </c>
      <c r="E935" s="581">
        <f t="shared" si="110"/>
        <v>0</v>
      </c>
      <c r="F935" s="582">
        <f t="shared" si="107"/>
        <v>0</v>
      </c>
      <c r="G935" s="603"/>
      <c r="H935" s="586"/>
      <c r="I935" s="627"/>
      <c r="J935" s="586"/>
      <c r="K935" s="581"/>
      <c r="L935" s="587"/>
      <c r="M935" s="603">
        <v>500</v>
      </c>
      <c r="N935" s="581"/>
      <c r="O935" s="627">
        <f t="shared" si="109"/>
        <v>0</v>
      </c>
      <c r="P935" s="581"/>
      <c r="Q935" s="581"/>
      <c r="R935" s="653"/>
      <c r="S935" s="700"/>
      <c r="T935" s="700"/>
      <c r="U935" s="700"/>
      <c r="V935" s="700"/>
      <c r="W935" s="701"/>
      <c r="X935" s="701"/>
      <c r="Y935" s="701"/>
      <c r="Z935" s="701"/>
    </row>
    <row r="936" spans="1:26" s="702" customFormat="1" ht="24">
      <c r="A936" s="647">
        <v>4210</v>
      </c>
      <c r="B936" s="651" t="s">
        <v>191</v>
      </c>
      <c r="C936" s="603"/>
      <c r="D936" s="581">
        <f t="shared" si="110"/>
        <v>18250</v>
      </c>
      <c r="E936" s="581">
        <f t="shared" si="110"/>
        <v>682</v>
      </c>
      <c r="F936" s="582">
        <f t="shared" si="107"/>
        <v>3.7369863013698628</v>
      </c>
      <c r="G936" s="603">
        <v>7050</v>
      </c>
      <c r="H936" s="586">
        <v>682</v>
      </c>
      <c r="I936" s="627">
        <f t="shared" si="108"/>
        <v>9.673758865248228</v>
      </c>
      <c r="J936" s="586"/>
      <c r="K936" s="581"/>
      <c r="L936" s="587"/>
      <c r="M936" s="603">
        <v>11200</v>
      </c>
      <c r="N936" s="581"/>
      <c r="O936" s="627">
        <f t="shared" si="109"/>
        <v>0</v>
      </c>
      <c r="P936" s="581"/>
      <c r="Q936" s="581"/>
      <c r="R936" s="653"/>
      <c r="S936" s="700"/>
      <c r="T936" s="700"/>
      <c r="U936" s="700"/>
      <c r="V936" s="700"/>
      <c r="W936" s="701"/>
      <c r="X936" s="701"/>
      <c r="Y936" s="701"/>
      <c r="Z936" s="701"/>
    </row>
    <row r="937" spans="1:26" s="702" customFormat="1" ht="48">
      <c r="A937" s="647">
        <v>4240</v>
      </c>
      <c r="B937" s="651" t="s">
        <v>608</v>
      </c>
      <c r="C937" s="603"/>
      <c r="D937" s="581">
        <f>G937+J937+P937+M937</f>
        <v>500</v>
      </c>
      <c r="E937" s="581">
        <f>H937+K937+Q937+N937</f>
        <v>0</v>
      </c>
      <c r="F937" s="582">
        <f>E937/D937*100</f>
        <v>0</v>
      </c>
      <c r="G937" s="603">
        <v>500</v>
      </c>
      <c r="H937" s="586"/>
      <c r="I937" s="627">
        <f t="shared" si="108"/>
        <v>0</v>
      </c>
      <c r="J937" s="586"/>
      <c r="K937" s="581"/>
      <c r="L937" s="587"/>
      <c r="M937" s="603"/>
      <c r="N937" s="581"/>
      <c r="O937" s="627"/>
      <c r="P937" s="581"/>
      <c r="Q937" s="581"/>
      <c r="R937" s="653"/>
      <c r="S937" s="700"/>
      <c r="T937" s="700"/>
      <c r="U937" s="700"/>
      <c r="V937" s="700"/>
      <c r="W937" s="701"/>
      <c r="X937" s="701"/>
      <c r="Y937" s="701"/>
      <c r="Z937" s="701"/>
    </row>
    <row r="938" spans="1:26" s="702" customFormat="1" ht="23.25" customHeight="1">
      <c r="A938" s="647">
        <v>4300</v>
      </c>
      <c r="B938" s="651" t="s">
        <v>512</v>
      </c>
      <c r="C938" s="603">
        <v>468000</v>
      </c>
      <c r="D938" s="581">
        <f t="shared" si="110"/>
        <v>242890</v>
      </c>
      <c r="E938" s="581">
        <f t="shared" si="110"/>
        <v>38219</v>
      </c>
      <c r="F938" s="582">
        <f>E938/D938*100</f>
        <v>15.735106426777554</v>
      </c>
      <c r="G938" s="603">
        <f>261000-185000+68140</f>
        <v>144140</v>
      </c>
      <c r="H938" s="586">
        <v>20339</v>
      </c>
      <c r="I938" s="627">
        <f>H938/G938*100</f>
        <v>14.11058692937422</v>
      </c>
      <c r="J938" s="586"/>
      <c r="K938" s="581"/>
      <c r="L938" s="587"/>
      <c r="M938" s="603">
        <f>207000-159000+50750</f>
        <v>98750</v>
      </c>
      <c r="N938" s="581">
        <v>17880</v>
      </c>
      <c r="O938" s="627">
        <f t="shared" si="109"/>
        <v>18.10632911392405</v>
      </c>
      <c r="P938" s="581"/>
      <c r="Q938" s="581"/>
      <c r="R938" s="649"/>
      <c r="S938" s="700"/>
      <c r="T938" s="700"/>
      <c r="U938" s="700"/>
      <c r="V938" s="700"/>
      <c r="W938" s="701"/>
      <c r="X938" s="701"/>
      <c r="Y938" s="701"/>
      <c r="Z938" s="701"/>
    </row>
    <row r="939" spans="1:26" s="702" customFormat="1" ht="21" customHeight="1">
      <c r="A939" s="647">
        <v>4410</v>
      </c>
      <c r="B939" s="651" t="s">
        <v>173</v>
      </c>
      <c r="C939" s="603"/>
      <c r="D939" s="581">
        <f t="shared" si="110"/>
        <v>66020</v>
      </c>
      <c r="E939" s="581">
        <f t="shared" si="110"/>
        <v>6537</v>
      </c>
      <c r="F939" s="582">
        <f t="shared" si="107"/>
        <v>9.901544986367767</v>
      </c>
      <c r="G939" s="603">
        <v>35470</v>
      </c>
      <c r="H939" s="586">
        <v>3134</v>
      </c>
      <c r="I939" s="627">
        <f aca="true" t="shared" si="111" ref="I939:I944">H939/G939*100</f>
        <v>8.835635748519875</v>
      </c>
      <c r="J939" s="586"/>
      <c r="K939" s="581"/>
      <c r="L939" s="587"/>
      <c r="M939" s="603">
        <v>30550</v>
      </c>
      <c r="N939" s="581">
        <v>3403</v>
      </c>
      <c r="O939" s="627">
        <f t="shared" si="109"/>
        <v>11.13911620294599</v>
      </c>
      <c r="P939" s="581"/>
      <c r="Q939" s="581"/>
      <c r="R939" s="649"/>
      <c r="S939" s="700"/>
      <c r="T939" s="700"/>
      <c r="U939" s="700"/>
      <c r="V939" s="700"/>
      <c r="W939" s="701"/>
      <c r="X939" s="701"/>
      <c r="Y939" s="701"/>
      <c r="Z939" s="701"/>
    </row>
    <row r="940" spans="1:26" s="702" customFormat="1" ht="24">
      <c r="A940" s="647">
        <v>4420</v>
      </c>
      <c r="B940" s="651" t="s">
        <v>596</v>
      </c>
      <c r="C940" s="603"/>
      <c r="D940" s="581">
        <f t="shared" si="110"/>
        <v>1200</v>
      </c>
      <c r="E940" s="581">
        <f>H940+K940+Q940+N940</f>
        <v>0</v>
      </c>
      <c r="F940" s="582">
        <f>E940/D940*100</f>
        <v>0</v>
      </c>
      <c r="G940" s="603">
        <v>1200</v>
      </c>
      <c r="H940" s="586"/>
      <c r="I940" s="627">
        <f t="shared" si="111"/>
        <v>0</v>
      </c>
      <c r="J940" s="586"/>
      <c r="K940" s="581"/>
      <c r="L940" s="587"/>
      <c r="M940" s="603"/>
      <c r="N940" s="581"/>
      <c r="O940" s="627"/>
      <c r="P940" s="581"/>
      <c r="Q940" s="581"/>
      <c r="R940" s="653"/>
      <c r="S940" s="700"/>
      <c r="T940" s="700"/>
      <c r="U940" s="700"/>
      <c r="V940" s="700"/>
      <c r="W940" s="701"/>
      <c r="X940" s="701"/>
      <c r="Y940" s="701"/>
      <c r="Z940" s="701"/>
    </row>
    <row r="941" spans="1:26" s="702" customFormat="1" ht="12.75">
      <c r="A941" s="647">
        <v>4440</v>
      </c>
      <c r="B941" s="651" t="s">
        <v>203</v>
      </c>
      <c r="C941" s="603">
        <v>8400</v>
      </c>
      <c r="D941" s="581">
        <f t="shared" si="110"/>
        <v>8400</v>
      </c>
      <c r="E941" s="581">
        <f>H941+K941+Q941+N941</f>
        <v>1450</v>
      </c>
      <c r="F941" s="582">
        <f>E941/D941*100</f>
        <v>17.261904761904763</v>
      </c>
      <c r="G941" s="603">
        <v>2900</v>
      </c>
      <c r="H941" s="586">
        <v>1030</v>
      </c>
      <c r="I941" s="627">
        <f t="shared" si="111"/>
        <v>35.51724137931034</v>
      </c>
      <c r="J941" s="586"/>
      <c r="K941" s="581"/>
      <c r="L941" s="587"/>
      <c r="M941" s="603">
        <v>5500</v>
      </c>
      <c r="N941" s="581">
        <v>420</v>
      </c>
      <c r="O941" s="627">
        <f>N941/M941*100</f>
        <v>7.636363636363637</v>
      </c>
      <c r="P941" s="581"/>
      <c r="Q941" s="581"/>
      <c r="R941" s="653"/>
      <c r="S941" s="700"/>
      <c r="T941" s="700"/>
      <c r="U941" s="700"/>
      <c r="V941" s="700"/>
      <c r="W941" s="701"/>
      <c r="X941" s="701"/>
      <c r="Y941" s="701"/>
      <c r="Z941" s="701"/>
    </row>
    <row r="942" spans="1:26" s="702" customFormat="1" ht="39.75" customHeight="1">
      <c r="A942" s="647">
        <v>4700</v>
      </c>
      <c r="B942" s="712" t="s">
        <v>588</v>
      </c>
      <c r="C942" s="603"/>
      <c r="D942" s="581">
        <f t="shared" si="110"/>
        <v>135190</v>
      </c>
      <c r="E942" s="581">
        <f>H942+K942+Q942+N942</f>
        <v>9552</v>
      </c>
      <c r="F942" s="582">
        <f>E942/D942*100</f>
        <v>7.065611361787115</v>
      </c>
      <c r="G942" s="603">
        <v>71690</v>
      </c>
      <c r="H942" s="586">
        <v>4214</v>
      </c>
      <c r="I942" s="627">
        <f t="shared" si="111"/>
        <v>5.878086204491561</v>
      </c>
      <c r="J942" s="586"/>
      <c r="K942" s="581"/>
      <c r="L942" s="587"/>
      <c r="M942" s="603">
        <v>63500</v>
      </c>
      <c r="N942" s="581">
        <v>5338</v>
      </c>
      <c r="O942" s="627">
        <f>N942/M942*100</f>
        <v>8.406299212598425</v>
      </c>
      <c r="P942" s="581"/>
      <c r="Q942" s="581"/>
      <c r="R942" s="653"/>
      <c r="S942" s="700"/>
      <c r="T942" s="700"/>
      <c r="U942" s="700"/>
      <c r="V942" s="700"/>
      <c r="W942" s="701"/>
      <c r="X942" s="701"/>
      <c r="Y942" s="701"/>
      <c r="Z942" s="701"/>
    </row>
    <row r="943" spans="1:26" s="702" customFormat="1" ht="60">
      <c r="A943" s="647">
        <v>4740</v>
      </c>
      <c r="B943" s="712" t="s">
        <v>215</v>
      </c>
      <c r="C943" s="603"/>
      <c r="D943" s="581">
        <f>G943+J943+P943+M943</f>
        <v>2350</v>
      </c>
      <c r="E943" s="581">
        <f>H943+K943+Q943+N943</f>
        <v>0</v>
      </c>
      <c r="F943" s="582">
        <f>E943/D943*100</f>
        <v>0</v>
      </c>
      <c r="G943" s="603">
        <v>450</v>
      </c>
      <c r="H943" s="586"/>
      <c r="I943" s="627">
        <f t="shared" si="111"/>
        <v>0</v>
      </c>
      <c r="J943" s="586"/>
      <c r="K943" s="581"/>
      <c r="L943" s="587"/>
      <c r="M943" s="603">
        <v>1900</v>
      </c>
      <c r="N943" s="581"/>
      <c r="O943" s="627">
        <f>N943/M943*100</f>
        <v>0</v>
      </c>
      <c r="P943" s="581"/>
      <c r="Q943" s="581"/>
      <c r="R943" s="653"/>
      <c r="S943" s="700"/>
      <c r="T943" s="700"/>
      <c r="U943" s="700"/>
      <c r="V943" s="700"/>
      <c r="W943" s="701"/>
      <c r="X943" s="701"/>
      <c r="Y943" s="701"/>
      <c r="Z943" s="701"/>
    </row>
    <row r="944" spans="1:26" s="702" customFormat="1" ht="36">
      <c r="A944" s="647">
        <v>4750</v>
      </c>
      <c r="B944" s="712" t="s">
        <v>589</v>
      </c>
      <c r="C944" s="603"/>
      <c r="D944" s="581">
        <f t="shared" si="110"/>
        <v>1100</v>
      </c>
      <c r="E944" s="581">
        <f t="shared" si="110"/>
        <v>0</v>
      </c>
      <c r="F944" s="582">
        <f t="shared" si="107"/>
        <v>0</v>
      </c>
      <c r="G944" s="603">
        <v>500</v>
      </c>
      <c r="H944" s="586"/>
      <c r="I944" s="627">
        <f t="shared" si="111"/>
        <v>0</v>
      </c>
      <c r="J944" s="586"/>
      <c r="K944" s="581"/>
      <c r="L944" s="587"/>
      <c r="M944" s="603">
        <v>600</v>
      </c>
      <c r="N944" s="581"/>
      <c r="O944" s="627">
        <f>N944/M944*100</f>
        <v>0</v>
      </c>
      <c r="P944" s="581"/>
      <c r="Q944" s="581"/>
      <c r="R944" s="653"/>
      <c r="S944" s="700"/>
      <c r="T944" s="700"/>
      <c r="U944" s="700"/>
      <c r="V944" s="700"/>
      <c r="W944" s="701"/>
      <c r="X944" s="701"/>
      <c r="Y944" s="701"/>
      <c r="Z944" s="701"/>
    </row>
    <row r="945" spans="1:18" ht="24.75" customHeight="1">
      <c r="A945" s="640">
        <v>80195</v>
      </c>
      <c r="B945" s="742" t="s">
        <v>213</v>
      </c>
      <c r="C945" s="608">
        <f>SUM(C947:C973)+C999+C982+C1006+C1014+C1021+C1028+C1035+C1041+C1044</f>
        <v>21887243</v>
      </c>
      <c r="D945" s="595">
        <f>G945+J945+P945+M945</f>
        <v>21417553</v>
      </c>
      <c r="E945" s="595">
        <f>H945+K945+Q945+N945</f>
        <v>1043027</v>
      </c>
      <c r="F945" s="596">
        <f t="shared" si="107"/>
        <v>4.869963436065736</v>
      </c>
      <c r="G945" s="730">
        <f>SUM(G947:G973)+G981+G982+G1028+G996+G1044+G1021+G1035+G1041+G999</f>
        <v>13396435</v>
      </c>
      <c r="H945" s="595">
        <f>SUM(H947:H973)+H981+H982+H1028+H996+H1044+H1021+H1035+H1041+H999</f>
        <v>637169</v>
      </c>
      <c r="I945" s="624">
        <f t="shared" si="108"/>
        <v>4.756257914885564</v>
      </c>
      <c r="J945" s="600">
        <f>SUM(J948:J972)</f>
        <v>0</v>
      </c>
      <c r="K945" s="600">
        <f>SUM(K948:K972)</f>
        <v>0</v>
      </c>
      <c r="L945" s="625"/>
      <c r="M945" s="608">
        <f>SUM(M947:M973)+M982+M999+M996+M1006+M1014</f>
        <v>8021118</v>
      </c>
      <c r="N945" s="595">
        <f>SUM(N947:N973)+N982+N999+N996+N1006+N1014</f>
        <v>405858</v>
      </c>
      <c r="O945" s="624">
        <f>N945/M945*100</f>
        <v>5.0598682128850365</v>
      </c>
      <c r="P945" s="595"/>
      <c r="Q945" s="595"/>
      <c r="R945" s="731"/>
    </row>
    <row r="946" spans="1:18" ht="48" hidden="1">
      <c r="A946" s="647">
        <v>6060</v>
      </c>
      <c r="B946" s="828" t="s">
        <v>590</v>
      </c>
      <c r="C946" s="603"/>
      <c r="D946" s="581">
        <f t="shared" si="110"/>
        <v>0</v>
      </c>
      <c r="E946" s="581">
        <f>SUM(H946+K946+N946+Q946)</f>
        <v>0</v>
      </c>
      <c r="F946" s="582" t="e">
        <f t="shared" si="107"/>
        <v>#DIV/0!</v>
      </c>
      <c r="G946" s="603">
        <f>10000-10000</f>
        <v>0</v>
      </c>
      <c r="H946" s="581"/>
      <c r="I946" s="627" t="e">
        <f t="shared" si="108"/>
        <v>#DIV/0!</v>
      </c>
      <c r="J946" s="860"/>
      <c r="K946" s="660"/>
      <c r="L946" s="861"/>
      <c r="M946" s="581"/>
      <c r="N946" s="581"/>
      <c r="O946" s="649"/>
      <c r="P946" s="660"/>
      <c r="Q946" s="660"/>
      <c r="R946" s="649"/>
    </row>
    <row r="947" spans="1:18" ht="48" hidden="1">
      <c r="A947" s="647">
        <v>3020</v>
      </c>
      <c r="B947" s="651" t="s">
        <v>680</v>
      </c>
      <c r="C947" s="603"/>
      <c r="D947" s="581">
        <f t="shared" si="110"/>
        <v>0</v>
      </c>
      <c r="E947" s="581">
        <f aca="true" t="shared" si="112" ref="E947:E973">SUM(H947+K947+N947+Q947)</f>
        <v>0</v>
      </c>
      <c r="F947" s="582" t="e">
        <f t="shared" si="107"/>
        <v>#DIV/0!</v>
      </c>
      <c r="G947" s="581"/>
      <c r="H947" s="586"/>
      <c r="I947" s="627" t="e">
        <f t="shared" si="108"/>
        <v>#DIV/0!</v>
      </c>
      <c r="J947" s="586"/>
      <c r="K947" s="581"/>
      <c r="L947" s="628"/>
      <c r="M947" s="603"/>
      <c r="N947" s="581"/>
      <c r="O947" s="585" t="e">
        <f aca="true" t="shared" si="113" ref="O947:O967">N947/M947*100</f>
        <v>#DIV/0!</v>
      </c>
      <c r="P947" s="581"/>
      <c r="Q947" s="581"/>
      <c r="R947" s="653"/>
    </row>
    <row r="948" spans="1:18" ht="29.25" customHeight="1">
      <c r="A948" s="647">
        <v>4010</v>
      </c>
      <c r="B948" s="651" t="s">
        <v>181</v>
      </c>
      <c r="C948" s="603">
        <f>42600+85300+615000</f>
        <v>742900</v>
      </c>
      <c r="D948" s="581">
        <f t="shared" si="110"/>
        <v>742900</v>
      </c>
      <c r="E948" s="581">
        <f t="shared" si="112"/>
        <v>158165</v>
      </c>
      <c r="F948" s="582">
        <f t="shared" si="107"/>
        <v>21.290214026113876</v>
      </c>
      <c r="G948" s="581">
        <f>17000+85300+365000</f>
        <v>467300</v>
      </c>
      <c r="H948" s="586">
        <v>101395</v>
      </c>
      <c r="I948" s="627">
        <f t="shared" si="108"/>
        <v>21.69805264284186</v>
      </c>
      <c r="J948" s="586"/>
      <c r="K948" s="581"/>
      <c r="L948" s="628"/>
      <c r="M948" s="603">
        <f>250000+25600</f>
        <v>275600</v>
      </c>
      <c r="N948" s="581">
        <v>56770</v>
      </c>
      <c r="O948" s="585">
        <f t="shared" si="113"/>
        <v>20.598693759071118</v>
      </c>
      <c r="P948" s="581"/>
      <c r="Q948" s="581"/>
      <c r="R948" s="653"/>
    </row>
    <row r="949" spans="1:18" ht="25.5" customHeight="1">
      <c r="A949" s="647">
        <v>4110</v>
      </c>
      <c r="B949" s="651" t="s">
        <v>187</v>
      </c>
      <c r="C949" s="603">
        <f>6400+12600+92500+1700+2600</f>
        <v>115800</v>
      </c>
      <c r="D949" s="581">
        <f t="shared" si="110"/>
        <v>115800</v>
      </c>
      <c r="E949" s="581">
        <f t="shared" si="112"/>
        <v>17106</v>
      </c>
      <c r="F949" s="582">
        <f t="shared" si="107"/>
        <v>14.772020725388602</v>
      </c>
      <c r="G949" s="581">
        <f>2600+55000+12600+2600</f>
        <v>72800</v>
      </c>
      <c r="H949" s="586">
        <v>11551</v>
      </c>
      <c r="I949" s="627">
        <f t="shared" si="108"/>
        <v>15.866758241758241</v>
      </c>
      <c r="J949" s="586"/>
      <c r="K949" s="581"/>
      <c r="L949" s="628"/>
      <c r="M949" s="603">
        <f>3800+37500+1700</f>
        <v>43000</v>
      </c>
      <c r="N949" s="581">
        <v>5555</v>
      </c>
      <c r="O949" s="585">
        <f t="shared" si="113"/>
        <v>12.918604651162791</v>
      </c>
      <c r="P949" s="581"/>
      <c r="Q949" s="581"/>
      <c r="R949" s="653"/>
    </row>
    <row r="950" spans="1:18" ht="12.75">
      <c r="A950" s="647">
        <v>4120</v>
      </c>
      <c r="B950" s="651" t="s">
        <v>619</v>
      </c>
      <c r="C950" s="603">
        <f>1000+2100+15100+400+400</f>
        <v>19000</v>
      </c>
      <c r="D950" s="581">
        <f t="shared" si="110"/>
        <v>19000</v>
      </c>
      <c r="E950" s="581">
        <f t="shared" si="112"/>
        <v>2608</v>
      </c>
      <c r="F950" s="582">
        <f t="shared" si="107"/>
        <v>13.726315789473684</v>
      </c>
      <c r="G950" s="581">
        <f>400+2100+8900+400</f>
        <v>11800</v>
      </c>
      <c r="H950" s="586">
        <v>1784</v>
      </c>
      <c r="I950" s="627">
        <f t="shared" si="108"/>
        <v>15.11864406779661</v>
      </c>
      <c r="J950" s="586"/>
      <c r="K950" s="581"/>
      <c r="L950" s="628"/>
      <c r="M950" s="603">
        <f>400+6200+600</f>
        <v>7200</v>
      </c>
      <c r="N950" s="581">
        <v>824</v>
      </c>
      <c r="O950" s="585">
        <f t="shared" si="113"/>
        <v>11.444444444444445</v>
      </c>
      <c r="P950" s="581"/>
      <c r="Q950" s="581"/>
      <c r="R950" s="653"/>
    </row>
    <row r="951" spans="1:18" ht="60" hidden="1">
      <c r="A951" s="647">
        <v>4110</v>
      </c>
      <c r="B951" s="651" t="s">
        <v>513</v>
      </c>
      <c r="C951" s="603"/>
      <c r="D951" s="581">
        <f aca="true" t="shared" si="114" ref="D951:D1072">G951+J951+P951+M951</f>
        <v>0</v>
      </c>
      <c r="E951" s="581">
        <f>SUM(H951+K951+N951+Q951)</f>
        <v>0</v>
      </c>
      <c r="F951" s="582" t="e">
        <f t="shared" si="107"/>
        <v>#DIV/0!</v>
      </c>
      <c r="G951" s="581"/>
      <c r="H951" s="586"/>
      <c r="I951" s="627" t="e">
        <f t="shared" si="108"/>
        <v>#DIV/0!</v>
      </c>
      <c r="J951" s="586"/>
      <c r="K951" s="581"/>
      <c r="L951" s="628"/>
      <c r="M951" s="603"/>
      <c r="N951" s="581"/>
      <c r="O951" s="585"/>
      <c r="P951" s="581"/>
      <c r="Q951" s="581"/>
      <c r="R951" s="653"/>
    </row>
    <row r="952" spans="1:18" ht="36" hidden="1">
      <c r="A952" s="647">
        <v>4120</v>
      </c>
      <c r="B952" s="651" t="s">
        <v>514</v>
      </c>
      <c r="C952" s="603"/>
      <c r="D952" s="581">
        <f t="shared" si="114"/>
        <v>0</v>
      </c>
      <c r="E952" s="581">
        <f>SUM(H952+K952+N952+Q952)</f>
        <v>0</v>
      </c>
      <c r="F952" s="582" t="e">
        <f t="shared" si="107"/>
        <v>#DIV/0!</v>
      </c>
      <c r="G952" s="581"/>
      <c r="H952" s="586"/>
      <c r="I952" s="627" t="e">
        <f t="shared" si="108"/>
        <v>#DIV/0!</v>
      </c>
      <c r="J952" s="586"/>
      <c r="K952" s="581"/>
      <c r="L952" s="628"/>
      <c r="M952" s="603"/>
      <c r="N952" s="581"/>
      <c r="O952" s="585"/>
      <c r="P952" s="581"/>
      <c r="Q952" s="581"/>
      <c r="R952" s="653"/>
    </row>
    <row r="953" spans="1:18" ht="48" hidden="1">
      <c r="A953" s="647">
        <v>4170</v>
      </c>
      <c r="B953" s="651" t="s">
        <v>515</v>
      </c>
      <c r="C953" s="603"/>
      <c r="D953" s="581">
        <f t="shared" si="114"/>
        <v>0</v>
      </c>
      <c r="E953" s="581">
        <f>SUM(H953+K953+N953+Q953)</f>
        <v>0</v>
      </c>
      <c r="F953" s="582" t="e">
        <f t="shared" si="107"/>
        <v>#DIV/0!</v>
      </c>
      <c r="G953" s="581"/>
      <c r="H953" s="586"/>
      <c r="I953" s="627" t="e">
        <f t="shared" si="108"/>
        <v>#DIV/0!</v>
      </c>
      <c r="J953" s="586"/>
      <c r="K953" s="581"/>
      <c r="L953" s="628"/>
      <c r="M953" s="603"/>
      <c r="N953" s="581"/>
      <c r="O953" s="585"/>
      <c r="P953" s="581"/>
      <c r="Q953" s="581"/>
      <c r="R953" s="653"/>
    </row>
    <row r="954" spans="1:18" ht="24">
      <c r="A954" s="647">
        <v>4170</v>
      </c>
      <c r="B954" s="651" t="s">
        <v>221</v>
      </c>
      <c r="C954" s="603">
        <f>15000+900+27000+2500</f>
        <v>45400</v>
      </c>
      <c r="D954" s="581">
        <f t="shared" si="114"/>
        <v>45400</v>
      </c>
      <c r="E954" s="581">
        <f t="shared" si="112"/>
        <v>4049</v>
      </c>
      <c r="F954" s="582">
        <f t="shared" si="107"/>
        <v>8.918502202643172</v>
      </c>
      <c r="G954" s="581">
        <f>15000+900</f>
        <v>15900</v>
      </c>
      <c r="H954" s="586"/>
      <c r="I954" s="627">
        <f t="shared" si="108"/>
        <v>0</v>
      </c>
      <c r="J954" s="586"/>
      <c r="K954" s="581"/>
      <c r="L954" s="628"/>
      <c r="M954" s="603">
        <f>27000+2500</f>
        <v>29500</v>
      </c>
      <c r="N954" s="581">
        <v>4049</v>
      </c>
      <c r="O954" s="585">
        <f t="shared" si="113"/>
        <v>13.72542372881356</v>
      </c>
      <c r="P954" s="581"/>
      <c r="Q954" s="581"/>
      <c r="R954" s="653"/>
    </row>
    <row r="955" spans="1:18" ht="22.5" customHeight="1">
      <c r="A955" s="647">
        <v>4210</v>
      </c>
      <c r="B955" s="651" t="s">
        <v>191</v>
      </c>
      <c r="C955" s="603">
        <v>10000</v>
      </c>
      <c r="D955" s="581">
        <f t="shared" si="114"/>
        <v>11000</v>
      </c>
      <c r="E955" s="581">
        <f t="shared" si="112"/>
        <v>2097</v>
      </c>
      <c r="F955" s="582">
        <f t="shared" si="107"/>
        <v>19.063636363636363</v>
      </c>
      <c r="G955" s="581"/>
      <c r="H955" s="586"/>
      <c r="I955" s="627"/>
      <c r="J955" s="586"/>
      <c r="K955" s="581"/>
      <c r="L955" s="628"/>
      <c r="M955" s="603">
        <f>10000+1000</f>
        <v>11000</v>
      </c>
      <c r="N955" s="581">
        <f>2098-1</f>
        <v>2097</v>
      </c>
      <c r="O955" s="627">
        <f t="shared" si="113"/>
        <v>19.063636363636363</v>
      </c>
      <c r="P955" s="581"/>
      <c r="Q955" s="581"/>
      <c r="R955" s="653"/>
    </row>
    <row r="956" spans="1:18" ht="36" hidden="1">
      <c r="A956" s="647">
        <v>4210</v>
      </c>
      <c r="B956" s="651" t="s">
        <v>516</v>
      </c>
      <c r="C956" s="603"/>
      <c r="D956" s="581">
        <f>G956+J956+P956+M956</f>
        <v>0</v>
      </c>
      <c r="E956" s="581">
        <f>SUM(H956+K956+N956+Q956)</f>
        <v>0</v>
      </c>
      <c r="F956" s="582" t="e">
        <f t="shared" si="107"/>
        <v>#DIV/0!</v>
      </c>
      <c r="G956" s="581"/>
      <c r="H956" s="586"/>
      <c r="I956" s="627" t="e">
        <f t="shared" si="108"/>
        <v>#DIV/0!</v>
      </c>
      <c r="J956" s="586"/>
      <c r="K956" s="581"/>
      <c r="L956" s="628" t="e">
        <f>K956/J956*100</f>
        <v>#DIV/0!</v>
      </c>
      <c r="M956" s="603"/>
      <c r="N956" s="581"/>
      <c r="O956" s="627"/>
      <c r="P956" s="581"/>
      <c r="Q956" s="581"/>
      <c r="R956" s="653"/>
    </row>
    <row r="957" spans="1:18" ht="22.5" customHeight="1">
      <c r="A957" s="647">
        <v>4240</v>
      </c>
      <c r="B957" s="651" t="s">
        <v>608</v>
      </c>
      <c r="C957" s="603">
        <v>290000</v>
      </c>
      <c r="D957" s="581">
        <f t="shared" si="114"/>
        <v>290000</v>
      </c>
      <c r="E957" s="581">
        <f t="shared" si="112"/>
        <v>0</v>
      </c>
      <c r="F957" s="582">
        <f t="shared" si="107"/>
        <v>0</v>
      </c>
      <c r="G957" s="581">
        <v>25000</v>
      </c>
      <c r="H957" s="586"/>
      <c r="I957" s="627">
        <f t="shared" si="108"/>
        <v>0</v>
      </c>
      <c r="J957" s="586"/>
      <c r="K957" s="581"/>
      <c r="L957" s="587"/>
      <c r="M957" s="603">
        <v>265000</v>
      </c>
      <c r="N957" s="581"/>
      <c r="O957" s="627">
        <f t="shared" si="113"/>
        <v>0</v>
      </c>
      <c r="P957" s="581"/>
      <c r="Q957" s="581"/>
      <c r="R957" s="653"/>
    </row>
    <row r="958" spans="1:18" ht="36.75" customHeight="1">
      <c r="A958" s="647">
        <v>4270</v>
      </c>
      <c r="B958" s="651" t="s">
        <v>517</v>
      </c>
      <c r="C958" s="603">
        <v>72000</v>
      </c>
      <c r="D958" s="581">
        <f t="shared" si="114"/>
        <v>72000</v>
      </c>
      <c r="E958" s="581">
        <f t="shared" si="112"/>
        <v>0</v>
      </c>
      <c r="F958" s="582">
        <f t="shared" si="107"/>
        <v>0</v>
      </c>
      <c r="G958" s="581">
        <v>7000</v>
      </c>
      <c r="H958" s="586"/>
      <c r="I958" s="627">
        <f t="shared" si="108"/>
        <v>0</v>
      </c>
      <c r="J958" s="586"/>
      <c r="K958" s="581"/>
      <c r="L958" s="587"/>
      <c r="M958" s="603">
        <v>65000</v>
      </c>
      <c r="N958" s="581"/>
      <c r="O958" s="627">
        <f t="shared" si="113"/>
        <v>0</v>
      </c>
      <c r="P958" s="581"/>
      <c r="Q958" s="581"/>
      <c r="R958" s="653"/>
    </row>
    <row r="959" spans="1:18" ht="24" hidden="1">
      <c r="A959" s="647">
        <v>4280</v>
      </c>
      <c r="B959" s="651" t="s">
        <v>582</v>
      </c>
      <c r="C959" s="603"/>
      <c r="D959" s="581">
        <f t="shared" si="114"/>
        <v>0</v>
      </c>
      <c r="E959" s="581">
        <f t="shared" si="112"/>
        <v>0</v>
      </c>
      <c r="F959" s="582" t="e">
        <f t="shared" si="107"/>
        <v>#DIV/0!</v>
      </c>
      <c r="G959" s="603"/>
      <c r="H959" s="581"/>
      <c r="I959" s="627" t="e">
        <f t="shared" si="108"/>
        <v>#DIV/0!</v>
      </c>
      <c r="J959" s="586"/>
      <c r="K959" s="581"/>
      <c r="L959" s="587"/>
      <c r="M959" s="603"/>
      <c r="N959" s="581"/>
      <c r="O959" s="627" t="e">
        <f t="shared" si="113"/>
        <v>#DIV/0!</v>
      </c>
      <c r="P959" s="581"/>
      <c r="Q959" s="581"/>
      <c r="R959" s="653"/>
    </row>
    <row r="960" spans="1:18" ht="14.25" customHeight="1">
      <c r="A960" s="647">
        <v>4300</v>
      </c>
      <c r="B960" s="651" t="s">
        <v>199</v>
      </c>
      <c r="C960" s="603">
        <v>2300934</v>
      </c>
      <c r="D960" s="581">
        <f t="shared" si="114"/>
        <v>2315984</v>
      </c>
      <c r="E960" s="581">
        <f t="shared" si="112"/>
        <v>387883</v>
      </c>
      <c r="F960" s="582">
        <f t="shared" si="107"/>
        <v>16.748086342565408</v>
      </c>
      <c r="G960" s="693">
        <f>1765234+3950-1000</f>
        <v>1768184</v>
      </c>
      <c r="H960" s="581">
        <f>339495+1</f>
        <v>339496</v>
      </c>
      <c r="I960" s="627">
        <f t="shared" si="108"/>
        <v>19.20026422589504</v>
      </c>
      <c r="J960" s="586"/>
      <c r="K960" s="581"/>
      <c r="L960" s="587"/>
      <c r="M960" s="603">
        <f>535700+12100</f>
        <v>547800</v>
      </c>
      <c r="N960" s="581">
        <v>48387</v>
      </c>
      <c r="O960" s="627">
        <f t="shared" si="113"/>
        <v>8.832968236582694</v>
      </c>
      <c r="P960" s="581"/>
      <c r="Q960" s="581"/>
      <c r="R960" s="653"/>
    </row>
    <row r="961" spans="1:18" ht="12.75">
      <c r="A961" s="647">
        <v>4430</v>
      </c>
      <c r="B961" s="651" t="s">
        <v>201</v>
      </c>
      <c r="C961" s="603">
        <v>130000</v>
      </c>
      <c r="D961" s="581">
        <f t="shared" si="114"/>
        <v>130000</v>
      </c>
      <c r="E961" s="581">
        <f t="shared" si="112"/>
        <v>36928</v>
      </c>
      <c r="F961" s="862">
        <f t="shared" si="107"/>
        <v>28.40615384615385</v>
      </c>
      <c r="G961" s="603">
        <v>65000</v>
      </c>
      <c r="H961" s="581">
        <v>15304</v>
      </c>
      <c r="I961" s="761">
        <f t="shared" si="108"/>
        <v>23.544615384615383</v>
      </c>
      <c r="J961" s="586"/>
      <c r="K961" s="581"/>
      <c r="L961" s="587"/>
      <c r="M961" s="603">
        <v>65000</v>
      </c>
      <c r="N961" s="581">
        <v>21624</v>
      </c>
      <c r="O961" s="863">
        <f t="shared" si="113"/>
        <v>33.26769230769231</v>
      </c>
      <c r="P961" s="581"/>
      <c r="Q961" s="581"/>
      <c r="R961" s="653"/>
    </row>
    <row r="962" spans="1:18" ht="16.5" customHeight="1">
      <c r="A962" s="647">
        <v>4440</v>
      </c>
      <c r="B962" s="651" t="s">
        <v>764</v>
      </c>
      <c r="C962" s="603">
        <v>603000</v>
      </c>
      <c r="D962" s="581">
        <f t="shared" si="114"/>
        <v>603000</v>
      </c>
      <c r="E962" s="581">
        <f t="shared" si="112"/>
        <v>89597</v>
      </c>
      <c r="F962" s="864">
        <f t="shared" si="107"/>
        <v>14.858540630182421</v>
      </c>
      <c r="G962" s="603">
        <v>188000</v>
      </c>
      <c r="H962" s="581">
        <v>9950</v>
      </c>
      <c r="I962" s="582">
        <f t="shared" si="108"/>
        <v>5.292553191489362</v>
      </c>
      <c r="J962" s="586"/>
      <c r="K962" s="581"/>
      <c r="L962" s="587"/>
      <c r="M962" s="603">
        <v>415000</v>
      </c>
      <c r="N962" s="581">
        <f>79648-1</f>
        <v>79647</v>
      </c>
      <c r="O962" s="627">
        <f t="shared" si="113"/>
        <v>19.192048192771086</v>
      </c>
      <c r="P962" s="581"/>
      <c r="Q962" s="581"/>
      <c r="R962" s="653"/>
    </row>
    <row r="963" spans="1:18" ht="60" hidden="1">
      <c r="A963" s="647">
        <v>4700</v>
      </c>
      <c r="B963" s="651" t="s">
        <v>588</v>
      </c>
      <c r="C963" s="603"/>
      <c r="D963" s="581">
        <f>G963+J963+P963+M963</f>
        <v>0</v>
      </c>
      <c r="E963" s="581">
        <f>SUM(H963+K963+N963+Q963)</f>
        <v>0</v>
      </c>
      <c r="F963" s="864" t="e">
        <f>E963/D963*100</f>
        <v>#DIV/0!</v>
      </c>
      <c r="G963" s="603"/>
      <c r="H963" s="581"/>
      <c r="I963" s="582" t="e">
        <f t="shared" si="108"/>
        <v>#DIV/0!</v>
      </c>
      <c r="J963" s="586"/>
      <c r="K963" s="581"/>
      <c r="L963" s="587"/>
      <c r="M963" s="603"/>
      <c r="N963" s="581"/>
      <c r="O963" s="627"/>
      <c r="P963" s="581"/>
      <c r="Q963" s="581"/>
      <c r="R963" s="653"/>
    </row>
    <row r="964" spans="1:18" ht="36" hidden="1">
      <c r="A964" s="647">
        <v>4750</v>
      </c>
      <c r="B964" s="712" t="s">
        <v>589</v>
      </c>
      <c r="C964" s="603"/>
      <c r="D964" s="581">
        <f t="shared" si="114"/>
        <v>0</v>
      </c>
      <c r="E964" s="581">
        <f>SUM(H964+K964+N964+Q964)</f>
        <v>0</v>
      </c>
      <c r="F964" s="864" t="e">
        <f t="shared" si="107"/>
        <v>#DIV/0!</v>
      </c>
      <c r="G964" s="603"/>
      <c r="H964" s="581"/>
      <c r="I964" s="582" t="e">
        <f t="shared" si="108"/>
        <v>#DIV/0!</v>
      </c>
      <c r="J964" s="586"/>
      <c r="K964" s="581"/>
      <c r="L964" s="587"/>
      <c r="M964" s="603"/>
      <c r="N964" s="581"/>
      <c r="O964" s="627"/>
      <c r="P964" s="581"/>
      <c r="Q964" s="581"/>
      <c r="R964" s="653"/>
    </row>
    <row r="965" spans="1:18" ht="27" customHeight="1">
      <c r="A965" s="647">
        <v>6050</v>
      </c>
      <c r="B965" s="651" t="s">
        <v>284</v>
      </c>
      <c r="C965" s="603">
        <f>9531600+100000+208000+81000+40000+1000000+200000+150000+4661200+43000</f>
        <v>16014800</v>
      </c>
      <c r="D965" s="581">
        <f t="shared" si="114"/>
        <v>15353300</v>
      </c>
      <c r="E965" s="581">
        <f t="shared" si="112"/>
        <v>197484</v>
      </c>
      <c r="F965" s="864">
        <f t="shared" si="107"/>
        <v>1.2862641907602925</v>
      </c>
      <c r="G965" s="603">
        <f>9531600+50000+208000+81000+40000+43000</f>
        <v>9953600</v>
      </c>
      <c r="H965" s="581">
        <v>19439</v>
      </c>
      <c r="I965" s="582">
        <f t="shared" si="108"/>
        <v>0.1952961742485131</v>
      </c>
      <c r="J965" s="586"/>
      <c r="K965" s="581"/>
      <c r="L965" s="587"/>
      <c r="M965" s="603">
        <f>4661200+150000+200000+1000000+50000-661500</f>
        <v>5399700</v>
      </c>
      <c r="N965" s="581">
        <v>178045</v>
      </c>
      <c r="O965" s="585">
        <f t="shared" si="113"/>
        <v>3.297312813674834</v>
      </c>
      <c r="P965" s="581"/>
      <c r="Q965" s="581"/>
      <c r="R965" s="653"/>
    </row>
    <row r="966" spans="1:18" ht="84" hidden="1">
      <c r="A966" s="647">
        <v>6050</v>
      </c>
      <c r="B966" s="651" t="s">
        <v>518</v>
      </c>
      <c r="C966" s="603"/>
      <c r="D966" s="581">
        <f t="shared" si="114"/>
        <v>0</v>
      </c>
      <c r="E966" s="581">
        <f t="shared" si="112"/>
        <v>0</v>
      </c>
      <c r="F966" s="864" t="e">
        <f t="shared" si="107"/>
        <v>#DIV/0!</v>
      </c>
      <c r="G966" s="603"/>
      <c r="H966" s="581"/>
      <c r="I966" s="629"/>
      <c r="J966" s="586"/>
      <c r="K966" s="581"/>
      <c r="L966" s="587"/>
      <c r="M966" s="603"/>
      <c r="N966" s="581"/>
      <c r="O966" s="585" t="e">
        <f t="shared" si="113"/>
        <v>#DIV/0!</v>
      </c>
      <c r="P966" s="581"/>
      <c r="Q966" s="581"/>
      <c r="R966" s="653"/>
    </row>
    <row r="967" spans="1:18" ht="35.25" customHeight="1">
      <c r="A967" s="647">
        <v>6060</v>
      </c>
      <c r="B967" s="651" t="s">
        <v>590</v>
      </c>
      <c r="C967" s="603">
        <v>550000</v>
      </c>
      <c r="D967" s="581">
        <f t="shared" si="114"/>
        <v>655000</v>
      </c>
      <c r="E967" s="581">
        <f>SUM(H967+K967+N967+Q967)</f>
        <v>0</v>
      </c>
      <c r="F967" s="864">
        <f t="shared" si="107"/>
        <v>0</v>
      </c>
      <c r="G967" s="603"/>
      <c r="H967" s="581"/>
      <c r="I967" s="629"/>
      <c r="J967" s="586"/>
      <c r="K967" s="581"/>
      <c r="L967" s="587"/>
      <c r="M967" s="603">
        <f>550000+105000</f>
        <v>655000</v>
      </c>
      <c r="N967" s="581"/>
      <c r="O967" s="627">
        <f t="shared" si="113"/>
        <v>0</v>
      </c>
      <c r="P967" s="581"/>
      <c r="Q967" s="581"/>
      <c r="R967" s="653"/>
    </row>
    <row r="968" spans="1:18" ht="108" hidden="1">
      <c r="A968" s="647">
        <v>6220</v>
      </c>
      <c r="B968" s="651" t="s">
        <v>765</v>
      </c>
      <c r="C968" s="603"/>
      <c r="D968" s="581">
        <f t="shared" si="114"/>
        <v>0</v>
      </c>
      <c r="E968" s="581">
        <f t="shared" si="112"/>
        <v>0</v>
      </c>
      <c r="F968" s="864" t="e">
        <f t="shared" si="107"/>
        <v>#DIV/0!</v>
      </c>
      <c r="G968" s="603"/>
      <c r="H968" s="581"/>
      <c r="I968" s="582" t="e">
        <f>H968/G968*100</f>
        <v>#DIV/0!</v>
      </c>
      <c r="J968" s="586"/>
      <c r="K968" s="581"/>
      <c r="L968" s="587"/>
      <c r="M968" s="603"/>
      <c r="N968" s="581"/>
      <c r="O968" s="585"/>
      <c r="P968" s="581"/>
      <c r="Q968" s="581"/>
      <c r="R968" s="653"/>
    </row>
    <row r="969" spans="1:18" ht="60" hidden="1">
      <c r="A969" s="647">
        <v>2480</v>
      </c>
      <c r="B969" s="651" t="s">
        <v>519</v>
      </c>
      <c r="C969" s="603"/>
      <c r="D969" s="581">
        <f t="shared" si="114"/>
        <v>0</v>
      </c>
      <c r="E969" s="581">
        <f t="shared" si="112"/>
        <v>0</v>
      </c>
      <c r="F969" s="864" t="e">
        <f t="shared" si="107"/>
        <v>#DIV/0!</v>
      </c>
      <c r="G969" s="603"/>
      <c r="H969" s="581"/>
      <c r="I969" s="582"/>
      <c r="J969" s="586"/>
      <c r="K969" s="581"/>
      <c r="L969" s="628" t="e">
        <f>K969/J969*100</f>
        <v>#DIV/0!</v>
      </c>
      <c r="M969" s="603"/>
      <c r="N969" s="581"/>
      <c r="O969" s="585"/>
      <c r="P969" s="581"/>
      <c r="Q969" s="581"/>
      <c r="R969" s="653"/>
    </row>
    <row r="970" spans="1:18" ht="51.75" customHeight="1">
      <c r="A970" s="647">
        <v>2540</v>
      </c>
      <c r="B970" s="651" t="s">
        <v>520</v>
      </c>
      <c r="C970" s="603">
        <v>10000</v>
      </c>
      <c r="D970" s="581">
        <f t="shared" si="114"/>
        <v>10000</v>
      </c>
      <c r="E970" s="581">
        <f t="shared" si="112"/>
        <v>5878</v>
      </c>
      <c r="F970" s="864">
        <f t="shared" si="107"/>
        <v>58.78</v>
      </c>
      <c r="G970" s="603">
        <v>10000</v>
      </c>
      <c r="H970" s="581">
        <v>5878</v>
      </c>
      <c r="I970" s="582">
        <f aca="true" t="shared" si="115" ref="I970:I1005">H970/G970*100</f>
        <v>58.78</v>
      </c>
      <c r="J970" s="586"/>
      <c r="K970" s="581"/>
      <c r="L970" s="587"/>
      <c r="M970" s="603"/>
      <c r="N970" s="581"/>
      <c r="O970" s="585"/>
      <c r="P970" s="581"/>
      <c r="Q970" s="581"/>
      <c r="R970" s="653"/>
    </row>
    <row r="971" spans="1:18" ht="50.25" customHeight="1">
      <c r="A971" s="647">
        <v>2570</v>
      </c>
      <c r="B971" s="651" t="s">
        <v>767</v>
      </c>
      <c r="C971" s="603">
        <v>10000</v>
      </c>
      <c r="D971" s="581">
        <f t="shared" si="114"/>
        <v>10000</v>
      </c>
      <c r="E971" s="581">
        <f>SUM(H971+K971+N971+Q971)</f>
        <v>4227</v>
      </c>
      <c r="F971" s="864">
        <f t="shared" si="107"/>
        <v>42.27</v>
      </c>
      <c r="G971" s="603">
        <v>10000</v>
      </c>
      <c r="H971" s="581">
        <v>4227</v>
      </c>
      <c r="I971" s="582">
        <f t="shared" si="115"/>
        <v>42.27</v>
      </c>
      <c r="J971" s="586"/>
      <c r="K971" s="581"/>
      <c r="L971" s="587"/>
      <c r="M971" s="603"/>
      <c r="N971" s="581"/>
      <c r="O971" s="585"/>
      <c r="P971" s="581"/>
      <c r="Q971" s="581"/>
      <c r="R971" s="653"/>
    </row>
    <row r="972" spans="1:18" ht="64.5" customHeight="1">
      <c r="A972" s="647">
        <v>2820</v>
      </c>
      <c r="B972" s="651" t="s">
        <v>521</v>
      </c>
      <c r="C972" s="603">
        <v>24000</v>
      </c>
      <c r="D972" s="581">
        <f t="shared" si="114"/>
        <v>24000</v>
      </c>
      <c r="E972" s="581">
        <f t="shared" si="112"/>
        <v>0</v>
      </c>
      <c r="F972" s="864">
        <f t="shared" si="107"/>
        <v>0</v>
      </c>
      <c r="G972" s="603">
        <v>24000</v>
      </c>
      <c r="H972" s="581"/>
      <c r="I972" s="582">
        <f t="shared" si="115"/>
        <v>0</v>
      </c>
      <c r="J972" s="586"/>
      <c r="K972" s="581"/>
      <c r="L972" s="587"/>
      <c r="M972" s="603"/>
      <c r="N972" s="581"/>
      <c r="O972" s="585"/>
      <c r="P972" s="581"/>
      <c r="Q972" s="581"/>
      <c r="R972" s="653"/>
    </row>
    <row r="973" spans="1:26" s="639" customFormat="1" ht="12.75" hidden="1">
      <c r="A973" s="865"/>
      <c r="B973" s="866" t="s">
        <v>769</v>
      </c>
      <c r="C973" s="659">
        <f>SUM(C974:C980)</f>
        <v>0</v>
      </c>
      <c r="D973" s="660">
        <f t="shared" si="114"/>
        <v>0</v>
      </c>
      <c r="E973" s="660">
        <f t="shared" si="112"/>
        <v>0</v>
      </c>
      <c r="F973" s="864" t="e">
        <f t="shared" si="107"/>
        <v>#DIV/0!</v>
      </c>
      <c r="G973" s="659">
        <f>SUM(G974:G980)</f>
        <v>0</v>
      </c>
      <c r="H973" s="660">
        <f>SUM(H974:H980)</f>
        <v>0</v>
      </c>
      <c r="I973" s="582" t="e">
        <f t="shared" si="115"/>
        <v>#DIV/0!</v>
      </c>
      <c r="J973" s="661"/>
      <c r="K973" s="660"/>
      <c r="L973" s="662"/>
      <c r="M973" s="659"/>
      <c r="N973" s="660"/>
      <c r="O973" s="665"/>
      <c r="P973" s="660"/>
      <c r="Q973" s="660"/>
      <c r="R973" s="666"/>
      <c r="S973" s="564"/>
      <c r="T973" s="564"/>
      <c r="U973" s="564"/>
      <c r="V973" s="564"/>
      <c r="W973" s="565"/>
      <c r="X973" s="565"/>
      <c r="Y973" s="565"/>
      <c r="Z973" s="565"/>
    </row>
    <row r="974" spans="1:18" ht="24" hidden="1">
      <c r="A974" s="647">
        <v>4170</v>
      </c>
      <c r="B974" s="651" t="s">
        <v>768</v>
      </c>
      <c r="C974" s="603"/>
      <c r="D974" s="581">
        <f t="shared" si="114"/>
        <v>0</v>
      </c>
      <c r="E974" s="581">
        <f>SUM(H974+K974+N974+Q974)</f>
        <v>0</v>
      </c>
      <c r="F974" s="864" t="e">
        <f t="shared" si="107"/>
        <v>#DIV/0!</v>
      </c>
      <c r="G974" s="603">
        <f>5805-5805</f>
        <v>0</v>
      </c>
      <c r="H974" s="581"/>
      <c r="I974" s="582" t="e">
        <f t="shared" si="115"/>
        <v>#DIV/0!</v>
      </c>
      <c r="J974" s="586"/>
      <c r="K974" s="581"/>
      <c r="L974" s="587"/>
      <c r="M974" s="603"/>
      <c r="N974" s="581"/>
      <c r="O974" s="585"/>
      <c r="P974" s="581"/>
      <c r="Q974" s="581"/>
      <c r="R974" s="653"/>
    </row>
    <row r="975" spans="1:18" ht="36" hidden="1">
      <c r="A975" s="647">
        <v>4110</v>
      </c>
      <c r="B975" s="651" t="s">
        <v>187</v>
      </c>
      <c r="C975" s="603"/>
      <c r="D975" s="581">
        <f t="shared" si="114"/>
        <v>0</v>
      </c>
      <c r="E975" s="581">
        <f aca="true" t="shared" si="116" ref="E975:E1003">SUM(H975+K975+N975+Q975)</f>
        <v>0</v>
      </c>
      <c r="F975" s="864" t="e">
        <f t="shared" si="107"/>
        <v>#DIV/0!</v>
      </c>
      <c r="G975" s="603">
        <f>912-912</f>
        <v>0</v>
      </c>
      <c r="H975" s="581"/>
      <c r="I975" s="582" t="e">
        <f t="shared" si="115"/>
        <v>#DIV/0!</v>
      </c>
      <c r="J975" s="586"/>
      <c r="K975" s="581"/>
      <c r="L975" s="587"/>
      <c r="M975" s="603"/>
      <c r="N975" s="581"/>
      <c r="O975" s="585"/>
      <c r="P975" s="581"/>
      <c r="Q975" s="581"/>
      <c r="R975" s="653"/>
    </row>
    <row r="976" spans="1:18" ht="12.75" hidden="1">
      <c r="A976" s="647">
        <v>4120</v>
      </c>
      <c r="B976" s="651" t="s">
        <v>619</v>
      </c>
      <c r="C976" s="603"/>
      <c r="D976" s="581">
        <f t="shared" si="114"/>
        <v>0</v>
      </c>
      <c r="E976" s="581">
        <f t="shared" si="116"/>
        <v>0</v>
      </c>
      <c r="F976" s="864" t="e">
        <f t="shared" si="107"/>
        <v>#DIV/0!</v>
      </c>
      <c r="G976" s="603">
        <f>142-142</f>
        <v>0</v>
      </c>
      <c r="H976" s="581"/>
      <c r="I976" s="582" t="e">
        <f t="shared" si="115"/>
        <v>#DIV/0!</v>
      </c>
      <c r="J976" s="586"/>
      <c r="K976" s="581"/>
      <c r="L976" s="587"/>
      <c r="M976" s="603"/>
      <c r="N976" s="581"/>
      <c r="O976" s="585"/>
      <c r="P976" s="581"/>
      <c r="Q976" s="581"/>
      <c r="R976" s="653"/>
    </row>
    <row r="977" spans="1:18" ht="24" hidden="1">
      <c r="A977" s="647">
        <v>4300</v>
      </c>
      <c r="B977" s="651" t="s">
        <v>199</v>
      </c>
      <c r="C977" s="603"/>
      <c r="D977" s="581">
        <f t="shared" si="114"/>
        <v>0</v>
      </c>
      <c r="E977" s="581">
        <f t="shared" si="116"/>
        <v>0</v>
      </c>
      <c r="F977" s="864" t="e">
        <f t="shared" si="107"/>
        <v>#DIV/0!</v>
      </c>
      <c r="G977" s="603"/>
      <c r="H977" s="581"/>
      <c r="I977" s="582" t="e">
        <f t="shared" si="115"/>
        <v>#DIV/0!</v>
      </c>
      <c r="J977" s="586"/>
      <c r="K977" s="581"/>
      <c r="L977" s="587"/>
      <c r="M977" s="603"/>
      <c r="N977" s="581"/>
      <c r="O977" s="585"/>
      <c r="P977" s="581"/>
      <c r="Q977" s="581"/>
      <c r="R977" s="653"/>
    </row>
    <row r="978" spans="1:18" ht="24" hidden="1">
      <c r="A978" s="647">
        <v>4309</v>
      </c>
      <c r="B978" s="651" t="s">
        <v>199</v>
      </c>
      <c r="C978" s="603"/>
      <c r="D978" s="581">
        <f t="shared" si="114"/>
        <v>0</v>
      </c>
      <c r="E978" s="581">
        <f t="shared" si="116"/>
        <v>0</v>
      </c>
      <c r="F978" s="864" t="e">
        <f t="shared" si="107"/>
        <v>#DIV/0!</v>
      </c>
      <c r="G978" s="603"/>
      <c r="H978" s="581"/>
      <c r="I978" s="582" t="e">
        <f t="shared" si="115"/>
        <v>#DIV/0!</v>
      </c>
      <c r="J978" s="586"/>
      <c r="K978" s="581"/>
      <c r="L978" s="587"/>
      <c r="M978" s="603"/>
      <c r="N978" s="581"/>
      <c r="O978" s="585"/>
      <c r="P978" s="581"/>
      <c r="Q978" s="581"/>
      <c r="R978" s="653"/>
    </row>
    <row r="979" spans="1:18" ht="12.75" hidden="1">
      <c r="A979" s="647">
        <v>4438</v>
      </c>
      <c r="B979" s="651" t="s">
        <v>201</v>
      </c>
      <c r="C979" s="603"/>
      <c r="D979" s="581">
        <f t="shared" si="114"/>
        <v>0</v>
      </c>
      <c r="E979" s="581">
        <f t="shared" si="116"/>
        <v>0</v>
      </c>
      <c r="F979" s="864" t="e">
        <f t="shared" si="107"/>
        <v>#DIV/0!</v>
      </c>
      <c r="G979" s="603"/>
      <c r="H979" s="581"/>
      <c r="I979" s="582" t="e">
        <f t="shared" si="115"/>
        <v>#DIV/0!</v>
      </c>
      <c r="J979" s="586"/>
      <c r="K979" s="581"/>
      <c r="L979" s="587"/>
      <c r="M979" s="603"/>
      <c r="N979" s="581"/>
      <c r="O979" s="585"/>
      <c r="P979" s="581"/>
      <c r="Q979" s="581"/>
      <c r="R979" s="653"/>
    </row>
    <row r="980" spans="1:18" ht="12.75" hidden="1">
      <c r="A980" s="647">
        <v>4439</v>
      </c>
      <c r="B980" s="651" t="s">
        <v>201</v>
      </c>
      <c r="C980" s="603"/>
      <c r="D980" s="581">
        <f t="shared" si="114"/>
        <v>0</v>
      </c>
      <c r="E980" s="581">
        <f t="shared" si="116"/>
        <v>0</v>
      </c>
      <c r="F980" s="864" t="e">
        <f t="shared" si="107"/>
        <v>#DIV/0!</v>
      </c>
      <c r="G980" s="603"/>
      <c r="H980" s="581"/>
      <c r="I980" s="582" t="e">
        <f t="shared" si="115"/>
        <v>#DIV/0!</v>
      </c>
      <c r="J980" s="586"/>
      <c r="K980" s="581"/>
      <c r="L980" s="587"/>
      <c r="M980" s="603"/>
      <c r="N980" s="581"/>
      <c r="O980" s="585"/>
      <c r="P980" s="581"/>
      <c r="Q980" s="581"/>
      <c r="R980" s="653"/>
    </row>
    <row r="981" spans="1:18" ht="48" hidden="1">
      <c r="A981" s="647">
        <v>4215</v>
      </c>
      <c r="B981" s="651" t="s">
        <v>522</v>
      </c>
      <c r="C981" s="603"/>
      <c r="D981" s="581">
        <f t="shared" si="114"/>
        <v>0</v>
      </c>
      <c r="E981" s="581">
        <f t="shared" si="116"/>
        <v>0</v>
      </c>
      <c r="F981" s="864" t="e">
        <f t="shared" si="107"/>
        <v>#DIV/0!</v>
      </c>
      <c r="G981" s="603"/>
      <c r="H981" s="581"/>
      <c r="I981" s="582" t="e">
        <f t="shared" si="115"/>
        <v>#DIV/0!</v>
      </c>
      <c r="J981" s="586"/>
      <c r="K981" s="581"/>
      <c r="L981" s="587"/>
      <c r="M981" s="603"/>
      <c r="N981" s="581"/>
      <c r="O981" s="585"/>
      <c r="P981" s="581"/>
      <c r="Q981" s="581"/>
      <c r="R981" s="653"/>
    </row>
    <row r="982" spans="1:26" s="639" customFormat="1" ht="48">
      <c r="A982" s="657"/>
      <c r="B982" s="798" t="s">
        <v>523</v>
      </c>
      <c r="C982" s="659">
        <f>SUM(C983:C995)</f>
        <v>45480</v>
      </c>
      <c r="D982" s="660">
        <f t="shared" si="114"/>
        <v>45480</v>
      </c>
      <c r="E982" s="660">
        <f t="shared" si="116"/>
        <v>0</v>
      </c>
      <c r="F982" s="864">
        <f t="shared" si="107"/>
        <v>0</v>
      </c>
      <c r="G982" s="659">
        <f>SUM(G983:G995)</f>
        <v>45480</v>
      </c>
      <c r="H982" s="660">
        <f>SUM(H983:H995)</f>
        <v>0</v>
      </c>
      <c r="I982" s="582">
        <f t="shared" si="115"/>
        <v>0</v>
      </c>
      <c r="J982" s="661"/>
      <c r="K982" s="660"/>
      <c r="L982" s="662"/>
      <c r="M982" s="659"/>
      <c r="N982" s="660"/>
      <c r="O982" s="627"/>
      <c r="P982" s="660"/>
      <c r="Q982" s="660"/>
      <c r="R982" s="666"/>
      <c r="S982" s="564"/>
      <c r="T982" s="564"/>
      <c r="U982" s="564"/>
      <c r="V982" s="564"/>
      <c r="W982" s="565"/>
      <c r="X982" s="565"/>
      <c r="Y982" s="565"/>
      <c r="Z982" s="565"/>
    </row>
    <row r="983" spans="1:18" ht="36" hidden="1">
      <c r="A983" s="647">
        <v>4017</v>
      </c>
      <c r="B983" s="651" t="s">
        <v>181</v>
      </c>
      <c r="C983" s="603"/>
      <c r="D983" s="581">
        <f>G983+J983+P983+M983</f>
        <v>0</v>
      </c>
      <c r="E983" s="581">
        <f>SUM(H983+K983+N983+Q983)</f>
        <v>0</v>
      </c>
      <c r="F983" s="864" t="e">
        <f>E983/D983*100</f>
        <v>#DIV/0!</v>
      </c>
      <c r="G983" s="603"/>
      <c r="H983" s="581"/>
      <c r="I983" s="582" t="e">
        <f t="shared" si="115"/>
        <v>#DIV/0!</v>
      </c>
      <c r="J983" s="586"/>
      <c r="K983" s="581"/>
      <c r="L983" s="587"/>
      <c r="M983" s="603"/>
      <c r="N983" s="581"/>
      <c r="O983" s="627"/>
      <c r="P983" s="581"/>
      <c r="Q983" s="581"/>
      <c r="R983" s="653"/>
    </row>
    <row r="984" spans="1:18" ht="36" hidden="1">
      <c r="A984" s="647">
        <v>4117</v>
      </c>
      <c r="B984" s="651" t="s">
        <v>187</v>
      </c>
      <c r="C984" s="603"/>
      <c r="D984" s="581">
        <f>G984+J984+P984+M984</f>
        <v>0</v>
      </c>
      <c r="E984" s="581">
        <f>SUM(H984+K984+N984+Q984)</f>
        <v>0</v>
      </c>
      <c r="F984" s="864" t="e">
        <f>E984/D984*100</f>
        <v>#DIV/0!</v>
      </c>
      <c r="G984" s="603"/>
      <c r="H984" s="581"/>
      <c r="I984" s="582" t="e">
        <f t="shared" si="115"/>
        <v>#DIV/0!</v>
      </c>
      <c r="J984" s="586"/>
      <c r="K984" s="581"/>
      <c r="L984" s="587"/>
      <c r="M984" s="603"/>
      <c r="N984" s="581"/>
      <c r="O984" s="627"/>
      <c r="P984" s="581"/>
      <c r="Q984" s="581"/>
      <c r="R984" s="653"/>
    </row>
    <row r="985" spans="1:18" ht="12.75" hidden="1">
      <c r="A985" s="647">
        <v>4127</v>
      </c>
      <c r="B985" s="651" t="s">
        <v>619</v>
      </c>
      <c r="C985" s="603"/>
      <c r="D985" s="581">
        <f>G985+J985+P985+M985</f>
        <v>0</v>
      </c>
      <c r="E985" s="581">
        <f>SUM(H985+K985+N985+Q985)</f>
        <v>0</v>
      </c>
      <c r="F985" s="864" t="e">
        <f>E985/D985*100</f>
        <v>#DIV/0!</v>
      </c>
      <c r="G985" s="603"/>
      <c r="H985" s="581"/>
      <c r="I985" s="582" t="e">
        <f t="shared" si="115"/>
        <v>#DIV/0!</v>
      </c>
      <c r="J985" s="586"/>
      <c r="K985" s="581"/>
      <c r="L985" s="587"/>
      <c r="M985" s="603"/>
      <c r="N985" s="581"/>
      <c r="O985" s="627"/>
      <c r="P985" s="581"/>
      <c r="Q985" s="581"/>
      <c r="R985" s="653"/>
    </row>
    <row r="986" spans="1:18" ht="24">
      <c r="A986" s="647">
        <v>4217</v>
      </c>
      <c r="B986" s="651" t="s">
        <v>191</v>
      </c>
      <c r="C986" s="603">
        <v>8000</v>
      </c>
      <c r="D986" s="581">
        <f t="shared" si="114"/>
        <v>8000</v>
      </c>
      <c r="E986" s="581">
        <f t="shared" si="116"/>
        <v>0</v>
      </c>
      <c r="F986" s="864">
        <f t="shared" si="107"/>
        <v>0</v>
      </c>
      <c r="G986" s="603">
        <v>8000</v>
      </c>
      <c r="H986" s="581"/>
      <c r="I986" s="582">
        <f t="shared" si="115"/>
        <v>0</v>
      </c>
      <c r="J986" s="586"/>
      <c r="K986" s="581"/>
      <c r="L986" s="587"/>
      <c r="M986" s="603"/>
      <c r="N986" s="581"/>
      <c r="O986" s="627"/>
      <c r="P986" s="581"/>
      <c r="Q986" s="581"/>
      <c r="R986" s="653"/>
    </row>
    <row r="987" spans="1:18" ht="48" hidden="1">
      <c r="A987" s="647">
        <v>4247</v>
      </c>
      <c r="B987" s="651" t="s">
        <v>608</v>
      </c>
      <c r="C987" s="603"/>
      <c r="D987" s="581">
        <f t="shared" si="114"/>
        <v>0</v>
      </c>
      <c r="E987" s="581">
        <f t="shared" si="116"/>
        <v>0</v>
      </c>
      <c r="F987" s="864" t="e">
        <f t="shared" si="107"/>
        <v>#DIV/0!</v>
      </c>
      <c r="G987" s="603"/>
      <c r="H987" s="581"/>
      <c r="I987" s="582" t="e">
        <f t="shared" si="115"/>
        <v>#DIV/0!</v>
      </c>
      <c r="J987" s="586"/>
      <c r="K987" s="581"/>
      <c r="L987" s="587"/>
      <c r="M987" s="603"/>
      <c r="N987" s="581"/>
      <c r="O987" s="627"/>
      <c r="P987" s="581"/>
      <c r="Q987" s="581"/>
      <c r="R987" s="653"/>
    </row>
    <row r="988" spans="1:18" ht="24" hidden="1">
      <c r="A988" s="647">
        <v>4300</v>
      </c>
      <c r="B988" s="651" t="s">
        <v>199</v>
      </c>
      <c r="C988" s="603"/>
      <c r="D988" s="581">
        <f>G988+J988+P988+M988</f>
        <v>0</v>
      </c>
      <c r="E988" s="581">
        <f>SUM(H988+K988+N988+Q988)</f>
        <v>0</v>
      </c>
      <c r="F988" s="864" t="e">
        <f t="shared" si="107"/>
        <v>#DIV/0!</v>
      </c>
      <c r="G988" s="603"/>
      <c r="H988" s="581"/>
      <c r="I988" s="582" t="e">
        <f t="shared" si="115"/>
        <v>#DIV/0!</v>
      </c>
      <c r="J988" s="586"/>
      <c r="K988" s="581"/>
      <c r="L988" s="587"/>
      <c r="M988" s="603"/>
      <c r="N988" s="581"/>
      <c r="O988" s="627"/>
      <c r="P988" s="581"/>
      <c r="Q988" s="581"/>
      <c r="R988" s="653"/>
    </row>
    <row r="989" spans="1:18" ht="14.25" customHeight="1">
      <c r="A989" s="647">
        <v>4307</v>
      </c>
      <c r="B989" s="651" t="s">
        <v>199</v>
      </c>
      <c r="C989" s="603">
        <v>12000</v>
      </c>
      <c r="D989" s="581">
        <f t="shared" si="114"/>
        <v>12000</v>
      </c>
      <c r="E989" s="581">
        <f t="shared" si="116"/>
        <v>0</v>
      </c>
      <c r="F989" s="864">
        <f t="shared" si="107"/>
        <v>0</v>
      </c>
      <c r="G989" s="603">
        <v>12000</v>
      </c>
      <c r="H989" s="581"/>
      <c r="I989" s="582">
        <f t="shared" si="115"/>
        <v>0</v>
      </c>
      <c r="J989" s="586"/>
      <c r="K989" s="581"/>
      <c r="L989" s="587"/>
      <c r="M989" s="603"/>
      <c r="N989" s="581"/>
      <c r="O989" s="627"/>
      <c r="P989" s="581"/>
      <c r="Q989" s="581"/>
      <c r="R989" s="653"/>
    </row>
    <row r="990" spans="1:18" ht="24" hidden="1">
      <c r="A990" s="647">
        <v>4357</v>
      </c>
      <c r="B990" s="651" t="s">
        <v>584</v>
      </c>
      <c r="C990" s="603"/>
      <c r="D990" s="581">
        <f>G990+J990+P990+M990</f>
        <v>0</v>
      </c>
      <c r="E990" s="581">
        <f>SUM(H990+K990+N990+Q990)</f>
        <v>0</v>
      </c>
      <c r="F990" s="864" t="e">
        <f t="shared" si="107"/>
        <v>#DIV/0!</v>
      </c>
      <c r="G990" s="603"/>
      <c r="H990" s="581"/>
      <c r="I990" s="582" t="e">
        <f t="shared" si="115"/>
        <v>#DIV/0!</v>
      </c>
      <c r="J990" s="586"/>
      <c r="K990" s="581"/>
      <c r="L990" s="587"/>
      <c r="M990" s="603"/>
      <c r="N990" s="581"/>
      <c r="O990" s="627"/>
      <c r="P990" s="581"/>
      <c r="Q990" s="581"/>
      <c r="R990" s="653"/>
    </row>
    <row r="991" spans="1:18" ht="16.5" customHeight="1">
      <c r="A991" s="647">
        <v>4417</v>
      </c>
      <c r="B991" s="651" t="s">
        <v>173</v>
      </c>
      <c r="C991" s="603">
        <v>2000</v>
      </c>
      <c r="D991" s="581">
        <f>G991+J991+P991+M991</f>
        <v>2000</v>
      </c>
      <c r="E991" s="581">
        <f>SUM(H991+K991+N991+Q991)</f>
        <v>0</v>
      </c>
      <c r="F991" s="864">
        <f>E991/D991*100</f>
        <v>0</v>
      </c>
      <c r="G991" s="603">
        <v>2000</v>
      </c>
      <c r="H991" s="581"/>
      <c r="I991" s="582">
        <f t="shared" si="115"/>
        <v>0</v>
      </c>
      <c r="J991" s="586"/>
      <c r="K991" s="581"/>
      <c r="L991" s="587"/>
      <c r="M991" s="603"/>
      <c r="N991" s="581"/>
      <c r="O991" s="627"/>
      <c r="P991" s="581"/>
      <c r="Q991" s="581"/>
      <c r="R991" s="653"/>
    </row>
    <row r="992" spans="1:18" ht="24">
      <c r="A992" s="647">
        <v>4427</v>
      </c>
      <c r="B992" s="651" t="s">
        <v>596</v>
      </c>
      <c r="C992" s="603">
        <v>20000</v>
      </c>
      <c r="D992" s="581">
        <f t="shared" si="114"/>
        <v>20000</v>
      </c>
      <c r="E992" s="581">
        <f t="shared" si="116"/>
        <v>0</v>
      </c>
      <c r="F992" s="864">
        <f aca="true" t="shared" si="117" ref="F992:F999">E992/D992*100</f>
        <v>0</v>
      </c>
      <c r="G992" s="603">
        <v>20000</v>
      </c>
      <c r="H992" s="581"/>
      <c r="I992" s="582">
        <f t="shared" si="115"/>
        <v>0</v>
      </c>
      <c r="J992" s="586"/>
      <c r="K992" s="581"/>
      <c r="L992" s="587"/>
      <c r="M992" s="603"/>
      <c r="N992" s="581"/>
      <c r="O992" s="585"/>
      <c r="P992" s="581"/>
      <c r="Q992" s="581"/>
      <c r="R992" s="653"/>
    </row>
    <row r="993" spans="1:18" ht="12.75">
      <c r="A993" s="647">
        <v>4437</v>
      </c>
      <c r="B993" s="651" t="s">
        <v>201</v>
      </c>
      <c r="C993" s="603">
        <v>3000</v>
      </c>
      <c r="D993" s="581">
        <f t="shared" si="114"/>
        <v>3000</v>
      </c>
      <c r="E993" s="581">
        <f t="shared" si="116"/>
        <v>0</v>
      </c>
      <c r="F993" s="864">
        <f t="shared" si="117"/>
        <v>0</v>
      </c>
      <c r="G993" s="603">
        <v>3000</v>
      </c>
      <c r="H993" s="581"/>
      <c r="I993" s="582">
        <f t="shared" si="115"/>
        <v>0</v>
      </c>
      <c r="J993" s="586"/>
      <c r="K993" s="581"/>
      <c r="L993" s="587"/>
      <c r="M993" s="603"/>
      <c r="N993" s="581"/>
      <c r="O993" s="585"/>
      <c r="P993" s="581"/>
      <c r="Q993" s="581"/>
      <c r="R993" s="653"/>
    </row>
    <row r="994" spans="1:18" ht="49.5" customHeight="1">
      <c r="A994" s="647">
        <v>4747</v>
      </c>
      <c r="B994" s="712" t="s">
        <v>215</v>
      </c>
      <c r="C994" s="603">
        <v>180</v>
      </c>
      <c r="D994" s="581">
        <f t="shared" si="114"/>
        <v>180</v>
      </c>
      <c r="E994" s="581">
        <f t="shared" si="116"/>
        <v>0</v>
      </c>
      <c r="F994" s="864">
        <f t="shared" si="117"/>
        <v>0</v>
      </c>
      <c r="G994" s="603">
        <v>180</v>
      </c>
      <c r="H994" s="581"/>
      <c r="I994" s="582">
        <f t="shared" si="115"/>
        <v>0</v>
      </c>
      <c r="J994" s="586"/>
      <c r="K994" s="581"/>
      <c r="L994" s="587"/>
      <c r="M994" s="603"/>
      <c r="N994" s="581"/>
      <c r="O994" s="585"/>
      <c r="P994" s="581"/>
      <c r="Q994" s="581"/>
      <c r="R994" s="653"/>
    </row>
    <row r="995" spans="1:18" ht="36">
      <c r="A995" s="647">
        <v>4757</v>
      </c>
      <c r="B995" s="712" t="s">
        <v>589</v>
      </c>
      <c r="C995" s="603">
        <v>300</v>
      </c>
      <c r="D995" s="581">
        <f t="shared" si="114"/>
        <v>300</v>
      </c>
      <c r="E995" s="581">
        <f t="shared" si="116"/>
        <v>0</v>
      </c>
      <c r="F995" s="864">
        <f t="shared" si="117"/>
        <v>0</v>
      </c>
      <c r="G995" s="603">
        <v>300</v>
      </c>
      <c r="H995" s="581"/>
      <c r="I995" s="582">
        <f t="shared" si="115"/>
        <v>0</v>
      </c>
      <c r="J995" s="586"/>
      <c r="K995" s="581"/>
      <c r="L995" s="587"/>
      <c r="M995" s="603"/>
      <c r="N995" s="581"/>
      <c r="O995" s="585"/>
      <c r="P995" s="581"/>
      <c r="Q995" s="581"/>
      <c r="R995" s="653"/>
    </row>
    <row r="996" spans="1:26" s="639" customFormat="1" ht="48" hidden="1">
      <c r="A996" s="657"/>
      <c r="B996" s="738" t="s">
        <v>524</v>
      </c>
      <c r="C996" s="659"/>
      <c r="D996" s="660">
        <f t="shared" si="114"/>
        <v>0</v>
      </c>
      <c r="E996" s="660">
        <f t="shared" si="116"/>
        <v>0</v>
      </c>
      <c r="F996" s="864" t="e">
        <f t="shared" si="117"/>
        <v>#DIV/0!</v>
      </c>
      <c r="G996" s="659"/>
      <c r="H996" s="660"/>
      <c r="I996" s="582" t="e">
        <f t="shared" si="115"/>
        <v>#DIV/0!</v>
      </c>
      <c r="J996" s="661"/>
      <c r="K996" s="660"/>
      <c r="L996" s="662"/>
      <c r="M996" s="659">
        <f>SUM(M997:M998)</f>
        <v>0</v>
      </c>
      <c r="N996" s="660">
        <f>SUM(N997:N998)</f>
        <v>0</v>
      </c>
      <c r="O996" s="867" t="e">
        <f aca="true" t="shared" si="118" ref="O996:O1020">N996/M996*100</f>
        <v>#DIV/0!</v>
      </c>
      <c r="P996" s="660"/>
      <c r="Q996" s="660"/>
      <c r="R996" s="666"/>
      <c r="S996" s="564"/>
      <c r="T996" s="564"/>
      <c r="U996" s="564"/>
      <c r="V996" s="564"/>
      <c r="W996" s="565"/>
      <c r="X996" s="565"/>
      <c r="Y996" s="565"/>
      <c r="Z996" s="565"/>
    </row>
    <row r="997" spans="1:18" ht="24" hidden="1">
      <c r="A997" s="647">
        <v>4427</v>
      </c>
      <c r="B997" s="712" t="s">
        <v>596</v>
      </c>
      <c r="C997" s="603"/>
      <c r="D997" s="581">
        <f t="shared" si="114"/>
        <v>0</v>
      </c>
      <c r="E997" s="581">
        <f t="shared" si="116"/>
        <v>0</v>
      </c>
      <c r="F997" s="864" t="e">
        <f t="shared" si="117"/>
        <v>#DIV/0!</v>
      </c>
      <c r="G997" s="603"/>
      <c r="H997" s="581"/>
      <c r="I997" s="582" t="e">
        <f t="shared" si="115"/>
        <v>#DIV/0!</v>
      </c>
      <c r="J997" s="586"/>
      <c r="K997" s="581"/>
      <c r="L997" s="587"/>
      <c r="M997" s="603"/>
      <c r="N997" s="581"/>
      <c r="O997" s="627" t="e">
        <f t="shared" si="118"/>
        <v>#DIV/0!</v>
      </c>
      <c r="P997" s="581"/>
      <c r="Q997" s="581"/>
      <c r="R997" s="653"/>
    </row>
    <row r="998" spans="1:18" ht="12.75" hidden="1">
      <c r="A998" s="647">
        <v>4437</v>
      </c>
      <c r="B998" s="712" t="s">
        <v>201</v>
      </c>
      <c r="C998" s="603"/>
      <c r="D998" s="581">
        <f t="shared" si="114"/>
        <v>0</v>
      </c>
      <c r="E998" s="581">
        <f t="shared" si="116"/>
        <v>0</v>
      </c>
      <c r="F998" s="864" t="e">
        <f t="shared" si="117"/>
        <v>#DIV/0!</v>
      </c>
      <c r="G998" s="603"/>
      <c r="H998" s="581"/>
      <c r="I998" s="582" t="e">
        <f t="shared" si="115"/>
        <v>#DIV/0!</v>
      </c>
      <c r="J998" s="586"/>
      <c r="K998" s="581"/>
      <c r="L998" s="587"/>
      <c r="M998" s="603"/>
      <c r="N998" s="581"/>
      <c r="O998" s="627" t="e">
        <f t="shared" si="118"/>
        <v>#DIV/0!</v>
      </c>
      <c r="P998" s="581"/>
      <c r="Q998" s="581"/>
      <c r="R998" s="653"/>
    </row>
    <row r="999" spans="1:26" s="639" customFormat="1" ht="48">
      <c r="A999" s="657"/>
      <c r="B999" s="798" t="s">
        <v>525</v>
      </c>
      <c r="C999" s="659">
        <f>SUM(C1000:C1005)</f>
        <v>40900</v>
      </c>
      <c r="D999" s="660">
        <f t="shared" si="114"/>
        <v>40900</v>
      </c>
      <c r="E999" s="660">
        <f t="shared" si="116"/>
        <v>0</v>
      </c>
      <c r="F999" s="864">
        <f t="shared" si="117"/>
        <v>0</v>
      </c>
      <c r="G999" s="659">
        <f>SUM(G1000:G1005)</f>
        <v>40900</v>
      </c>
      <c r="H999" s="660">
        <f>SUM(H1000:H1005)</f>
        <v>0</v>
      </c>
      <c r="I999" s="582">
        <f t="shared" si="115"/>
        <v>0</v>
      </c>
      <c r="J999" s="661"/>
      <c r="K999" s="660"/>
      <c r="L999" s="662"/>
      <c r="M999" s="659"/>
      <c r="N999" s="660"/>
      <c r="O999" s="867"/>
      <c r="P999" s="660"/>
      <c r="Q999" s="660"/>
      <c r="R999" s="666"/>
      <c r="S999" s="564"/>
      <c r="T999" s="564"/>
      <c r="U999" s="564"/>
      <c r="V999" s="564"/>
      <c r="W999" s="565"/>
      <c r="X999" s="565"/>
      <c r="Y999" s="565"/>
      <c r="Z999" s="565"/>
    </row>
    <row r="1000" spans="1:18" ht="36" hidden="1">
      <c r="A1000" s="647">
        <v>4117</v>
      </c>
      <c r="B1000" s="828" t="s">
        <v>187</v>
      </c>
      <c r="C1000" s="603"/>
      <c r="D1000" s="581">
        <f t="shared" si="114"/>
        <v>0</v>
      </c>
      <c r="E1000" s="581">
        <f t="shared" si="116"/>
        <v>0</v>
      </c>
      <c r="F1000" s="864"/>
      <c r="G1000" s="603"/>
      <c r="H1000" s="581"/>
      <c r="I1000" s="582" t="e">
        <f t="shared" si="115"/>
        <v>#DIV/0!</v>
      </c>
      <c r="J1000" s="586"/>
      <c r="K1000" s="581"/>
      <c r="L1000" s="587"/>
      <c r="M1000" s="603"/>
      <c r="N1000" s="581"/>
      <c r="O1000" s="627"/>
      <c r="P1000" s="581"/>
      <c r="Q1000" s="581"/>
      <c r="R1000" s="653"/>
    </row>
    <row r="1001" spans="1:18" ht="24">
      <c r="A1001" s="647">
        <v>4217</v>
      </c>
      <c r="B1001" s="651" t="s">
        <v>191</v>
      </c>
      <c r="C1001" s="603">
        <v>3000</v>
      </c>
      <c r="D1001" s="581">
        <f>G1001+J1001+P1001+M1001</f>
        <v>3000</v>
      </c>
      <c r="E1001" s="581">
        <f>SUM(H1001+K1001+N1001+Q1001)</f>
        <v>0</v>
      </c>
      <c r="F1001" s="864">
        <f>E1001/D1001*100</f>
        <v>0</v>
      </c>
      <c r="G1001" s="603">
        <v>3000</v>
      </c>
      <c r="H1001" s="581"/>
      <c r="I1001" s="582">
        <f t="shared" si="115"/>
        <v>0</v>
      </c>
      <c r="J1001" s="586"/>
      <c r="K1001" s="581"/>
      <c r="L1001" s="587"/>
      <c r="M1001" s="603"/>
      <c r="N1001" s="581"/>
      <c r="O1001" s="627"/>
      <c r="P1001" s="581"/>
      <c r="Q1001" s="581"/>
      <c r="R1001" s="653"/>
    </row>
    <row r="1002" spans="1:18" ht="26.25" customHeight="1">
      <c r="A1002" s="647">
        <v>4247</v>
      </c>
      <c r="B1002" s="651" t="s">
        <v>608</v>
      </c>
      <c r="C1002" s="603">
        <v>35400</v>
      </c>
      <c r="D1002" s="581">
        <f>G1002+J1002+P1002+M1002</f>
        <v>35400</v>
      </c>
      <c r="E1002" s="581">
        <f>SUM(H1002+K1002+N1002+Q1002)</f>
        <v>0</v>
      </c>
      <c r="F1002" s="864">
        <f>E1002/D1002*100</f>
        <v>0</v>
      </c>
      <c r="G1002" s="603">
        <v>35400</v>
      </c>
      <c r="H1002" s="581"/>
      <c r="I1002" s="582">
        <f t="shared" si="115"/>
        <v>0</v>
      </c>
      <c r="J1002" s="586"/>
      <c r="K1002" s="581"/>
      <c r="L1002" s="587"/>
      <c r="M1002" s="603"/>
      <c r="N1002" s="581"/>
      <c r="O1002" s="627"/>
      <c r="P1002" s="581"/>
      <c r="Q1002" s="581"/>
      <c r="R1002" s="653"/>
    </row>
    <row r="1003" spans="1:18" ht="18" customHeight="1">
      <c r="A1003" s="647">
        <v>4307</v>
      </c>
      <c r="B1003" s="712" t="s">
        <v>199</v>
      </c>
      <c r="C1003" s="603">
        <v>1500</v>
      </c>
      <c r="D1003" s="581">
        <f t="shared" si="114"/>
        <v>1500</v>
      </c>
      <c r="E1003" s="581">
        <f t="shared" si="116"/>
        <v>0</v>
      </c>
      <c r="F1003" s="864">
        <f>E1003/D1003*100</f>
        <v>0</v>
      </c>
      <c r="G1003" s="603">
        <v>1500</v>
      </c>
      <c r="H1003" s="581"/>
      <c r="I1003" s="582">
        <f t="shared" si="115"/>
        <v>0</v>
      </c>
      <c r="J1003" s="586"/>
      <c r="K1003" s="581"/>
      <c r="L1003" s="587"/>
      <c r="M1003" s="603"/>
      <c r="N1003" s="581"/>
      <c r="O1003" s="627"/>
      <c r="P1003" s="581"/>
      <c r="Q1003" s="581"/>
      <c r="R1003" s="653"/>
    </row>
    <row r="1004" spans="1:18" ht="11.25" customHeight="1">
      <c r="A1004" s="647">
        <v>4417</v>
      </c>
      <c r="B1004" s="651" t="s">
        <v>173</v>
      </c>
      <c r="C1004" s="603">
        <v>500</v>
      </c>
      <c r="D1004" s="581">
        <f>G1004+J1004+P1004+M1004</f>
        <v>500</v>
      </c>
      <c r="E1004" s="581"/>
      <c r="F1004" s="864"/>
      <c r="G1004" s="603">
        <v>500</v>
      </c>
      <c r="H1004" s="581"/>
      <c r="I1004" s="582">
        <f t="shared" si="115"/>
        <v>0</v>
      </c>
      <c r="J1004" s="586"/>
      <c r="K1004" s="581"/>
      <c r="L1004" s="587"/>
      <c r="M1004" s="603"/>
      <c r="N1004" s="581"/>
      <c r="O1004" s="627"/>
      <c r="P1004" s="581"/>
      <c r="Q1004" s="581"/>
      <c r="R1004" s="653"/>
    </row>
    <row r="1005" spans="1:18" ht="60">
      <c r="A1005" s="647">
        <v>4747</v>
      </c>
      <c r="B1005" s="712" t="s">
        <v>215</v>
      </c>
      <c r="C1005" s="603">
        <v>500</v>
      </c>
      <c r="D1005" s="581">
        <f t="shared" si="114"/>
        <v>500</v>
      </c>
      <c r="E1005" s="581">
        <f aca="true" t="shared" si="119" ref="E1005:E1064">SUM(H1005+K1005+N1005+Q1005)</f>
        <v>0</v>
      </c>
      <c r="F1005" s="582">
        <f aca="true" t="shared" si="120" ref="F1005:F1064">E1005/D1005*100</f>
        <v>0</v>
      </c>
      <c r="G1005" s="603">
        <v>500</v>
      </c>
      <c r="H1005" s="581"/>
      <c r="I1005" s="582">
        <f t="shared" si="115"/>
        <v>0</v>
      </c>
      <c r="J1005" s="586"/>
      <c r="K1005" s="581"/>
      <c r="L1005" s="587"/>
      <c r="M1005" s="603"/>
      <c r="N1005" s="581"/>
      <c r="O1005" s="627"/>
      <c r="P1005" s="581"/>
      <c r="Q1005" s="581"/>
      <c r="R1005" s="653"/>
    </row>
    <row r="1006" spans="1:26" s="639" customFormat="1" ht="36">
      <c r="A1006" s="657"/>
      <c r="B1006" s="738" t="s">
        <v>526</v>
      </c>
      <c r="C1006" s="659">
        <f>SUM(C1007:C1013)</f>
        <v>187040</v>
      </c>
      <c r="D1006" s="660">
        <f t="shared" si="114"/>
        <v>187040</v>
      </c>
      <c r="E1006" s="660">
        <f t="shared" si="119"/>
        <v>8860</v>
      </c>
      <c r="F1006" s="630">
        <f t="shared" si="120"/>
        <v>4.736954662104362</v>
      </c>
      <c r="G1006" s="659"/>
      <c r="H1006" s="660"/>
      <c r="I1006" s="827"/>
      <c r="J1006" s="661"/>
      <c r="K1006" s="660"/>
      <c r="L1006" s="662"/>
      <c r="M1006" s="659">
        <f>SUM(M1007:M1013)</f>
        <v>187040</v>
      </c>
      <c r="N1006" s="660">
        <f>SUM(N1007:N1013)</f>
        <v>8860</v>
      </c>
      <c r="O1006" s="867">
        <f t="shared" si="118"/>
        <v>4.736954662104362</v>
      </c>
      <c r="P1006" s="660"/>
      <c r="Q1006" s="660"/>
      <c r="R1006" s="666"/>
      <c r="S1006" s="564"/>
      <c r="T1006" s="564"/>
      <c r="U1006" s="564"/>
      <c r="V1006" s="564"/>
      <c r="W1006" s="565"/>
      <c r="X1006" s="565"/>
      <c r="Y1006" s="565"/>
      <c r="Z1006" s="565"/>
    </row>
    <row r="1007" spans="1:18" ht="27" customHeight="1">
      <c r="A1007" s="647">
        <v>4117</v>
      </c>
      <c r="B1007" s="712" t="s">
        <v>187</v>
      </c>
      <c r="C1007" s="603">
        <v>1600</v>
      </c>
      <c r="D1007" s="581">
        <f t="shared" si="114"/>
        <v>1600</v>
      </c>
      <c r="E1007" s="581">
        <f t="shared" si="119"/>
        <v>0</v>
      </c>
      <c r="F1007" s="582">
        <f t="shared" si="120"/>
        <v>0</v>
      </c>
      <c r="G1007" s="603"/>
      <c r="H1007" s="581"/>
      <c r="I1007" s="629"/>
      <c r="J1007" s="586"/>
      <c r="K1007" s="581"/>
      <c r="L1007" s="587"/>
      <c r="M1007" s="603">
        <v>1600</v>
      </c>
      <c r="N1007" s="581"/>
      <c r="O1007" s="627">
        <f t="shared" si="118"/>
        <v>0</v>
      </c>
      <c r="P1007" s="581"/>
      <c r="Q1007" s="581"/>
      <c r="R1007" s="653"/>
    </row>
    <row r="1008" spans="1:18" ht="11.25" customHeight="1">
      <c r="A1008" s="647">
        <v>4127</v>
      </c>
      <c r="B1008" s="712" t="s">
        <v>619</v>
      </c>
      <c r="C1008" s="603">
        <v>260</v>
      </c>
      <c r="D1008" s="581">
        <f t="shared" si="114"/>
        <v>260</v>
      </c>
      <c r="E1008" s="581">
        <f t="shared" si="119"/>
        <v>0</v>
      </c>
      <c r="F1008" s="582">
        <f t="shared" si="120"/>
        <v>0</v>
      </c>
      <c r="G1008" s="603"/>
      <c r="H1008" s="581"/>
      <c r="I1008" s="629"/>
      <c r="J1008" s="586"/>
      <c r="K1008" s="581"/>
      <c r="L1008" s="587"/>
      <c r="M1008" s="603">
        <v>260</v>
      </c>
      <c r="N1008" s="581"/>
      <c r="O1008" s="627">
        <f t="shared" si="118"/>
        <v>0</v>
      </c>
      <c r="P1008" s="581"/>
      <c r="Q1008" s="581"/>
      <c r="R1008" s="653"/>
    </row>
    <row r="1009" spans="1:18" ht="11.25" customHeight="1">
      <c r="A1009" s="647">
        <v>4177</v>
      </c>
      <c r="B1009" s="712" t="s">
        <v>221</v>
      </c>
      <c r="C1009" s="603">
        <v>10540</v>
      </c>
      <c r="D1009" s="581">
        <f t="shared" si="114"/>
        <v>10540</v>
      </c>
      <c r="E1009" s="581">
        <f t="shared" si="119"/>
        <v>0</v>
      </c>
      <c r="F1009" s="582">
        <f t="shared" si="120"/>
        <v>0</v>
      </c>
      <c r="G1009" s="603"/>
      <c r="H1009" s="581"/>
      <c r="I1009" s="629"/>
      <c r="J1009" s="586"/>
      <c r="K1009" s="581"/>
      <c r="L1009" s="587"/>
      <c r="M1009" s="603">
        <v>10540</v>
      </c>
      <c r="N1009" s="581"/>
      <c r="O1009" s="627">
        <f t="shared" si="118"/>
        <v>0</v>
      </c>
      <c r="P1009" s="581"/>
      <c r="Q1009" s="581"/>
      <c r="R1009" s="653"/>
    </row>
    <row r="1010" spans="1:18" ht="11.25" customHeight="1">
      <c r="A1010" s="647">
        <v>4217</v>
      </c>
      <c r="B1010" s="712" t="s">
        <v>191</v>
      </c>
      <c r="C1010" s="603">
        <v>1200</v>
      </c>
      <c r="D1010" s="581">
        <f t="shared" si="114"/>
        <v>1200</v>
      </c>
      <c r="E1010" s="581">
        <f t="shared" si="119"/>
        <v>0</v>
      </c>
      <c r="F1010" s="582">
        <f t="shared" si="120"/>
        <v>0</v>
      </c>
      <c r="G1010" s="603"/>
      <c r="H1010" s="581"/>
      <c r="I1010" s="629"/>
      <c r="J1010" s="586"/>
      <c r="K1010" s="581"/>
      <c r="L1010" s="587"/>
      <c r="M1010" s="603">
        <v>1200</v>
      </c>
      <c r="N1010" s="581"/>
      <c r="O1010" s="627">
        <f t="shared" si="118"/>
        <v>0</v>
      </c>
      <c r="P1010" s="581"/>
      <c r="Q1010" s="581"/>
      <c r="R1010" s="653"/>
    </row>
    <row r="1011" spans="1:18" ht="27.75" customHeight="1">
      <c r="A1011" s="647">
        <v>4247</v>
      </c>
      <c r="B1011" s="712" t="s">
        <v>527</v>
      </c>
      <c r="C1011" s="603">
        <v>800</v>
      </c>
      <c r="D1011" s="581">
        <f t="shared" si="114"/>
        <v>800</v>
      </c>
      <c r="E1011" s="581">
        <f t="shared" si="119"/>
        <v>0</v>
      </c>
      <c r="F1011" s="582">
        <f t="shared" si="120"/>
        <v>0</v>
      </c>
      <c r="G1011" s="603"/>
      <c r="H1011" s="581"/>
      <c r="I1011" s="629"/>
      <c r="J1011" s="586"/>
      <c r="K1011" s="581"/>
      <c r="L1011" s="587"/>
      <c r="M1011" s="603">
        <v>800</v>
      </c>
      <c r="N1011" s="581"/>
      <c r="O1011" s="627">
        <f t="shared" si="118"/>
        <v>0</v>
      </c>
      <c r="P1011" s="581"/>
      <c r="Q1011" s="581"/>
      <c r="R1011" s="653"/>
    </row>
    <row r="1012" spans="1:18" ht="18.75" customHeight="1">
      <c r="A1012" s="647">
        <v>4307</v>
      </c>
      <c r="B1012" s="712" t="s">
        <v>199</v>
      </c>
      <c r="C1012" s="603">
        <v>167640</v>
      </c>
      <c r="D1012" s="581">
        <f t="shared" si="114"/>
        <v>167640</v>
      </c>
      <c r="E1012" s="581">
        <f t="shared" si="119"/>
        <v>8860</v>
      </c>
      <c r="F1012" s="582">
        <f t="shared" si="120"/>
        <v>5.285134812693868</v>
      </c>
      <c r="G1012" s="603"/>
      <c r="H1012" s="581"/>
      <c r="I1012" s="629"/>
      <c r="J1012" s="586"/>
      <c r="K1012" s="581"/>
      <c r="L1012" s="587"/>
      <c r="M1012" s="603">
        <v>167640</v>
      </c>
      <c r="N1012" s="581">
        <v>8860</v>
      </c>
      <c r="O1012" s="627">
        <f t="shared" si="118"/>
        <v>5.285134812693868</v>
      </c>
      <c r="P1012" s="581"/>
      <c r="Q1012" s="581"/>
      <c r="R1012" s="653"/>
    </row>
    <row r="1013" spans="1:18" ht="24">
      <c r="A1013" s="647">
        <v>4427</v>
      </c>
      <c r="B1013" s="712" t="s">
        <v>596</v>
      </c>
      <c r="C1013" s="603">
        <v>5000</v>
      </c>
      <c r="D1013" s="581">
        <f t="shared" si="114"/>
        <v>5000</v>
      </c>
      <c r="E1013" s="581">
        <f t="shared" si="119"/>
        <v>0</v>
      </c>
      <c r="F1013" s="582">
        <f t="shared" si="120"/>
        <v>0</v>
      </c>
      <c r="G1013" s="603"/>
      <c r="H1013" s="581"/>
      <c r="I1013" s="629"/>
      <c r="J1013" s="586"/>
      <c r="K1013" s="581"/>
      <c r="L1013" s="587"/>
      <c r="M1013" s="603">
        <v>5000</v>
      </c>
      <c r="N1013" s="581"/>
      <c r="O1013" s="627">
        <f t="shared" si="118"/>
        <v>0</v>
      </c>
      <c r="P1013" s="581"/>
      <c r="Q1013" s="581"/>
      <c r="R1013" s="653"/>
    </row>
    <row r="1014" spans="1:26" s="639" customFormat="1" ht="48">
      <c r="A1014" s="657"/>
      <c r="B1014" s="738" t="s">
        <v>528</v>
      </c>
      <c r="C1014" s="659">
        <f>SUM(C1015:C1020)</f>
        <v>55278</v>
      </c>
      <c r="D1014" s="660">
        <f t="shared" si="114"/>
        <v>55278</v>
      </c>
      <c r="E1014" s="660">
        <f t="shared" si="119"/>
        <v>0</v>
      </c>
      <c r="F1014" s="582">
        <f t="shared" si="120"/>
        <v>0</v>
      </c>
      <c r="G1014" s="659"/>
      <c r="H1014" s="660"/>
      <c r="I1014" s="827"/>
      <c r="J1014" s="661"/>
      <c r="K1014" s="660"/>
      <c r="L1014" s="662"/>
      <c r="M1014" s="659">
        <f>SUM(M1015:M1020)</f>
        <v>55278</v>
      </c>
      <c r="N1014" s="660">
        <f>SUM(N1015:N1020)</f>
        <v>0</v>
      </c>
      <c r="O1014" s="627">
        <f t="shared" si="118"/>
        <v>0</v>
      </c>
      <c r="P1014" s="660"/>
      <c r="Q1014" s="660"/>
      <c r="R1014" s="666"/>
      <c r="S1014" s="564"/>
      <c r="T1014" s="564"/>
      <c r="U1014" s="564"/>
      <c r="V1014" s="564"/>
      <c r="W1014" s="565"/>
      <c r="X1014" s="565"/>
      <c r="Y1014" s="565"/>
      <c r="Z1014" s="565"/>
    </row>
    <row r="1015" spans="1:18" ht="24">
      <c r="A1015" s="647">
        <v>4217</v>
      </c>
      <c r="B1015" s="712" t="s">
        <v>191</v>
      </c>
      <c r="C1015" s="603">
        <v>1778</v>
      </c>
      <c r="D1015" s="581">
        <f t="shared" si="114"/>
        <v>1778</v>
      </c>
      <c r="E1015" s="581">
        <f t="shared" si="119"/>
        <v>0</v>
      </c>
      <c r="F1015" s="582">
        <f t="shared" si="120"/>
        <v>0</v>
      </c>
      <c r="G1015" s="603"/>
      <c r="H1015" s="581"/>
      <c r="I1015" s="629"/>
      <c r="J1015" s="586"/>
      <c r="K1015" s="581"/>
      <c r="L1015" s="587"/>
      <c r="M1015" s="603">
        <v>1778</v>
      </c>
      <c r="N1015" s="581"/>
      <c r="O1015" s="627">
        <f t="shared" si="118"/>
        <v>0</v>
      </c>
      <c r="P1015" s="581"/>
      <c r="Q1015" s="581"/>
      <c r="R1015" s="653"/>
    </row>
    <row r="1016" spans="1:18" ht="48" hidden="1">
      <c r="A1016" s="647">
        <v>4247</v>
      </c>
      <c r="B1016" s="712" t="s">
        <v>527</v>
      </c>
      <c r="C1016" s="603"/>
      <c r="D1016" s="581">
        <f t="shared" si="114"/>
        <v>0</v>
      </c>
      <c r="E1016" s="581">
        <f t="shared" si="119"/>
        <v>0</v>
      </c>
      <c r="F1016" s="582" t="e">
        <f t="shared" si="120"/>
        <v>#DIV/0!</v>
      </c>
      <c r="G1016" s="603"/>
      <c r="H1016" s="581"/>
      <c r="I1016" s="629"/>
      <c r="J1016" s="586"/>
      <c r="K1016" s="581"/>
      <c r="L1016" s="587"/>
      <c r="M1016" s="603"/>
      <c r="N1016" s="581"/>
      <c r="O1016" s="627" t="e">
        <f t="shared" si="118"/>
        <v>#DIV/0!</v>
      </c>
      <c r="P1016" s="581"/>
      <c r="Q1016" s="581"/>
      <c r="R1016" s="653"/>
    </row>
    <row r="1017" spans="1:18" ht="16.5" customHeight="1">
      <c r="A1017" s="647">
        <v>4307</v>
      </c>
      <c r="B1017" s="712" t="s">
        <v>199</v>
      </c>
      <c r="C1017" s="603">
        <v>9000</v>
      </c>
      <c r="D1017" s="581">
        <f t="shared" si="114"/>
        <v>9000</v>
      </c>
      <c r="E1017" s="581">
        <f t="shared" si="119"/>
        <v>0</v>
      </c>
      <c r="F1017" s="582">
        <f t="shared" si="120"/>
        <v>0</v>
      </c>
      <c r="G1017" s="603"/>
      <c r="H1017" s="581"/>
      <c r="I1017" s="629"/>
      <c r="J1017" s="586"/>
      <c r="K1017" s="581"/>
      <c r="L1017" s="587"/>
      <c r="M1017" s="603">
        <v>9000</v>
      </c>
      <c r="N1017" s="581"/>
      <c r="O1017" s="627">
        <f t="shared" si="118"/>
        <v>0</v>
      </c>
      <c r="P1017" s="581"/>
      <c r="Q1017" s="581"/>
      <c r="R1017" s="653"/>
    </row>
    <row r="1018" spans="1:18" ht="16.5" customHeight="1">
      <c r="A1018" s="647">
        <v>4417</v>
      </c>
      <c r="B1018" s="712" t="s">
        <v>173</v>
      </c>
      <c r="C1018" s="603">
        <v>3000</v>
      </c>
      <c r="D1018" s="581">
        <f t="shared" si="114"/>
        <v>3000</v>
      </c>
      <c r="E1018" s="581">
        <f t="shared" si="119"/>
        <v>0</v>
      </c>
      <c r="F1018" s="582">
        <f t="shared" si="120"/>
        <v>0</v>
      </c>
      <c r="G1018" s="603"/>
      <c r="H1018" s="581"/>
      <c r="I1018" s="629"/>
      <c r="J1018" s="586"/>
      <c r="K1018" s="581"/>
      <c r="L1018" s="587"/>
      <c r="M1018" s="603">
        <v>3000</v>
      </c>
      <c r="N1018" s="581"/>
      <c r="O1018" s="627">
        <f t="shared" si="118"/>
        <v>0</v>
      </c>
      <c r="P1018" s="581"/>
      <c r="Q1018" s="581"/>
      <c r="R1018" s="653"/>
    </row>
    <row r="1019" spans="1:18" ht="24">
      <c r="A1019" s="647">
        <v>4427</v>
      </c>
      <c r="B1019" s="712" t="s">
        <v>596</v>
      </c>
      <c r="C1019" s="603">
        <v>40000</v>
      </c>
      <c r="D1019" s="581">
        <f t="shared" si="114"/>
        <v>40000</v>
      </c>
      <c r="E1019" s="581">
        <f t="shared" si="119"/>
        <v>0</v>
      </c>
      <c r="F1019" s="582">
        <f t="shared" si="120"/>
        <v>0</v>
      </c>
      <c r="G1019" s="603"/>
      <c r="H1019" s="581"/>
      <c r="I1019" s="629"/>
      <c r="J1019" s="586"/>
      <c r="K1019" s="581"/>
      <c r="L1019" s="587"/>
      <c r="M1019" s="603">
        <v>40000</v>
      </c>
      <c r="N1019" s="581"/>
      <c r="O1019" s="627">
        <f t="shared" si="118"/>
        <v>0</v>
      </c>
      <c r="P1019" s="581"/>
      <c r="Q1019" s="581"/>
      <c r="R1019" s="653"/>
    </row>
    <row r="1020" spans="1:18" ht="12.75">
      <c r="A1020" s="647">
        <v>4437</v>
      </c>
      <c r="B1020" s="712" t="s">
        <v>201</v>
      </c>
      <c r="C1020" s="603">
        <v>1500</v>
      </c>
      <c r="D1020" s="581">
        <f t="shared" si="114"/>
        <v>1500</v>
      </c>
      <c r="E1020" s="581">
        <f t="shared" si="119"/>
        <v>0</v>
      </c>
      <c r="F1020" s="582">
        <f t="shared" si="120"/>
        <v>0</v>
      </c>
      <c r="G1020" s="603"/>
      <c r="H1020" s="581"/>
      <c r="I1020" s="629"/>
      <c r="J1020" s="586"/>
      <c r="K1020" s="581"/>
      <c r="L1020" s="587"/>
      <c r="M1020" s="603">
        <v>1500</v>
      </c>
      <c r="N1020" s="581"/>
      <c r="O1020" s="627">
        <f t="shared" si="118"/>
        <v>0</v>
      </c>
      <c r="P1020" s="581"/>
      <c r="Q1020" s="581"/>
      <c r="R1020" s="653"/>
    </row>
    <row r="1021" spans="1:26" s="639" customFormat="1" ht="48">
      <c r="A1021" s="657"/>
      <c r="B1021" s="738" t="s">
        <v>529</v>
      </c>
      <c r="C1021" s="659">
        <f>SUM(C1022:C1027)</f>
        <v>71094</v>
      </c>
      <c r="D1021" s="660">
        <f t="shared" si="114"/>
        <v>71094</v>
      </c>
      <c r="E1021" s="660">
        <f t="shared" si="119"/>
        <v>38394</v>
      </c>
      <c r="F1021" s="630">
        <f t="shared" si="120"/>
        <v>54.00455734661153</v>
      </c>
      <c r="G1021" s="659">
        <f>SUM(G1022:G1027)</f>
        <v>71094</v>
      </c>
      <c r="H1021" s="660">
        <f>SUM(H1022:H1027)</f>
        <v>38394</v>
      </c>
      <c r="I1021" s="827">
        <f aca="true" t="shared" si="121" ref="I1021:I1073">H1021/G1021*100</f>
        <v>54.00455734661153</v>
      </c>
      <c r="J1021" s="661"/>
      <c r="K1021" s="660"/>
      <c r="L1021" s="662"/>
      <c r="M1021" s="659"/>
      <c r="N1021" s="660"/>
      <c r="O1021" s="867"/>
      <c r="P1021" s="660"/>
      <c r="Q1021" s="660"/>
      <c r="R1021" s="666"/>
      <c r="S1021" s="564"/>
      <c r="T1021" s="564"/>
      <c r="U1021" s="564"/>
      <c r="V1021" s="564"/>
      <c r="W1021" s="565"/>
      <c r="X1021" s="565"/>
      <c r="Y1021" s="565"/>
      <c r="Z1021" s="565"/>
    </row>
    <row r="1022" spans="1:18" ht="24">
      <c r="A1022" s="647">
        <v>4217</v>
      </c>
      <c r="B1022" s="651" t="s">
        <v>191</v>
      </c>
      <c r="C1022" s="603">
        <v>3894</v>
      </c>
      <c r="D1022" s="581">
        <f t="shared" si="114"/>
        <v>3894</v>
      </c>
      <c r="E1022" s="581">
        <f t="shared" si="119"/>
        <v>3894</v>
      </c>
      <c r="F1022" s="582">
        <f t="shared" si="120"/>
        <v>100</v>
      </c>
      <c r="G1022" s="603">
        <v>3894</v>
      </c>
      <c r="H1022" s="581">
        <v>3894</v>
      </c>
      <c r="I1022" s="582">
        <f t="shared" si="121"/>
        <v>100</v>
      </c>
      <c r="J1022" s="586"/>
      <c r="K1022" s="581"/>
      <c r="L1022" s="587"/>
      <c r="M1022" s="603"/>
      <c r="N1022" s="581"/>
      <c r="O1022" s="627"/>
      <c r="P1022" s="581"/>
      <c r="Q1022" s="581"/>
      <c r="R1022" s="653"/>
    </row>
    <row r="1023" spans="1:18" ht="28.5" customHeight="1">
      <c r="A1023" s="647">
        <v>4247</v>
      </c>
      <c r="B1023" s="712" t="s">
        <v>527</v>
      </c>
      <c r="C1023" s="603">
        <v>500</v>
      </c>
      <c r="D1023" s="581">
        <f t="shared" si="114"/>
        <v>500</v>
      </c>
      <c r="E1023" s="581">
        <f t="shared" si="119"/>
        <v>0</v>
      </c>
      <c r="F1023" s="582">
        <f t="shared" si="120"/>
        <v>0</v>
      </c>
      <c r="G1023" s="603">
        <v>500</v>
      </c>
      <c r="H1023" s="581"/>
      <c r="I1023" s="629">
        <f t="shared" si="121"/>
        <v>0</v>
      </c>
      <c r="J1023" s="586"/>
      <c r="K1023" s="581"/>
      <c r="L1023" s="587"/>
      <c r="M1023" s="603"/>
      <c r="N1023" s="581"/>
      <c r="O1023" s="627"/>
      <c r="P1023" s="581"/>
      <c r="Q1023" s="581"/>
      <c r="R1023" s="653"/>
    </row>
    <row r="1024" spans="1:18" ht="18" customHeight="1">
      <c r="A1024" s="647">
        <v>4307</v>
      </c>
      <c r="B1024" s="651" t="s">
        <v>199</v>
      </c>
      <c r="C1024" s="603">
        <v>3000</v>
      </c>
      <c r="D1024" s="581">
        <f t="shared" si="114"/>
        <v>3000</v>
      </c>
      <c r="E1024" s="581">
        <f t="shared" si="119"/>
        <v>0</v>
      </c>
      <c r="F1024" s="582">
        <f t="shared" si="120"/>
        <v>0</v>
      </c>
      <c r="G1024" s="603">
        <v>3000</v>
      </c>
      <c r="H1024" s="581"/>
      <c r="I1024" s="629">
        <f t="shared" si="121"/>
        <v>0</v>
      </c>
      <c r="J1024" s="586"/>
      <c r="K1024" s="581"/>
      <c r="L1024" s="587"/>
      <c r="M1024" s="603"/>
      <c r="N1024" s="581"/>
      <c r="O1024" s="627"/>
      <c r="P1024" s="581"/>
      <c r="Q1024" s="581"/>
      <c r="R1024" s="653"/>
    </row>
    <row r="1025" spans="1:18" ht="24">
      <c r="A1025" s="647">
        <v>4427</v>
      </c>
      <c r="B1025" s="712" t="s">
        <v>596</v>
      </c>
      <c r="C1025" s="603">
        <v>63000</v>
      </c>
      <c r="D1025" s="581">
        <f t="shared" si="114"/>
        <v>63000</v>
      </c>
      <c r="E1025" s="581">
        <f t="shared" si="119"/>
        <v>34500</v>
      </c>
      <c r="F1025" s="582">
        <f t="shared" si="120"/>
        <v>54.761904761904766</v>
      </c>
      <c r="G1025" s="603">
        <v>63000</v>
      </c>
      <c r="H1025" s="581">
        <f>15000+19500</f>
        <v>34500</v>
      </c>
      <c r="I1025" s="629">
        <f t="shared" si="121"/>
        <v>54.761904761904766</v>
      </c>
      <c r="J1025" s="586"/>
      <c r="K1025" s="581"/>
      <c r="L1025" s="587"/>
      <c r="M1025" s="603"/>
      <c r="N1025" s="581"/>
      <c r="O1025" s="627"/>
      <c r="P1025" s="581"/>
      <c r="Q1025" s="581"/>
      <c r="R1025" s="653"/>
    </row>
    <row r="1026" spans="1:18" ht="12.75">
      <c r="A1026" s="647">
        <v>4437</v>
      </c>
      <c r="B1026" s="712" t="s">
        <v>201</v>
      </c>
      <c r="C1026" s="603">
        <v>400</v>
      </c>
      <c r="D1026" s="581">
        <f t="shared" si="114"/>
        <v>400</v>
      </c>
      <c r="E1026" s="581">
        <f t="shared" si="119"/>
        <v>0</v>
      </c>
      <c r="F1026" s="582">
        <f t="shared" si="120"/>
        <v>0</v>
      </c>
      <c r="G1026" s="603">
        <v>400</v>
      </c>
      <c r="H1026" s="581"/>
      <c r="I1026" s="629">
        <f t="shared" si="121"/>
        <v>0</v>
      </c>
      <c r="J1026" s="586"/>
      <c r="K1026" s="581"/>
      <c r="L1026" s="587"/>
      <c r="M1026" s="603"/>
      <c r="N1026" s="581"/>
      <c r="O1026" s="627"/>
      <c r="P1026" s="581"/>
      <c r="Q1026" s="581"/>
      <c r="R1026" s="653"/>
    </row>
    <row r="1027" spans="1:18" ht="36">
      <c r="A1027" s="647">
        <v>4757</v>
      </c>
      <c r="B1027" s="712" t="s">
        <v>589</v>
      </c>
      <c r="C1027" s="603">
        <v>300</v>
      </c>
      <c r="D1027" s="581">
        <f t="shared" si="114"/>
        <v>300</v>
      </c>
      <c r="E1027" s="581">
        <f t="shared" si="119"/>
        <v>0</v>
      </c>
      <c r="F1027" s="582">
        <f t="shared" si="120"/>
        <v>0</v>
      </c>
      <c r="G1027" s="603">
        <v>300</v>
      </c>
      <c r="H1027" s="581"/>
      <c r="I1027" s="629">
        <f t="shared" si="121"/>
        <v>0</v>
      </c>
      <c r="J1027" s="586"/>
      <c r="K1027" s="581"/>
      <c r="L1027" s="587"/>
      <c r="M1027" s="603"/>
      <c r="N1027" s="581"/>
      <c r="O1027" s="627"/>
      <c r="P1027" s="581"/>
      <c r="Q1027" s="581"/>
      <c r="R1027" s="653"/>
    </row>
    <row r="1028" spans="1:26" s="639" customFormat="1" ht="108">
      <c r="A1028" s="657"/>
      <c r="B1028" s="738" t="s">
        <v>530</v>
      </c>
      <c r="C1028" s="659">
        <f>SUM(C1029:C1034)</f>
        <v>55394</v>
      </c>
      <c r="D1028" s="660">
        <f t="shared" si="114"/>
        <v>55394</v>
      </c>
      <c r="E1028" s="660">
        <f t="shared" si="119"/>
        <v>25309</v>
      </c>
      <c r="F1028" s="864">
        <f t="shared" si="120"/>
        <v>45.6890637975232</v>
      </c>
      <c r="G1028" s="659">
        <f>SUM(G1029:G1034)</f>
        <v>55394</v>
      </c>
      <c r="H1028" s="660">
        <f>SUM(H1029:H1034)</f>
        <v>25309</v>
      </c>
      <c r="I1028" s="629">
        <f t="shared" si="121"/>
        <v>45.6890637975232</v>
      </c>
      <c r="J1028" s="661"/>
      <c r="K1028" s="660"/>
      <c r="L1028" s="662"/>
      <c r="M1028" s="659"/>
      <c r="N1028" s="660"/>
      <c r="O1028" s="867"/>
      <c r="P1028" s="660"/>
      <c r="Q1028" s="660"/>
      <c r="R1028" s="666"/>
      <c r="S1028" s="564"/>
      <c r="T1028" s="564"/>
      <c r="U1028" s="564"/>
      <c r="V1028" s="564"/>
      <c r="W1028" s="565"/>
      <c r="X1028" s="565"/>
      <c r="Y1028" s="565"/>
      <c r="Z1028" s="565"/>
    </row>
    <row r="1029" spans="1:18" ht="24">
      <c r="A1029" s="647">
        <v>4217</v>
      </c>
      <c r="B1029" s="651" t="s">
        <v>191</v>
      </c>
      <c r="C1029" s="603">
        <v>2794</v>
      </c>
      <c r="D1029" s="581">
        <f t="shared" si="114"/>
        <v>2794</v>
      </c>
      <c r="E1029" s="581">
        <f t="shared" si="119"/>
        <v>2794</v>
      </c>
      <c r="F1029" s="864">
        <f t="shared" si="120"/>
        <v>100</v>
      </c>
      <c r="G1029" s="603">
        <v>2794</v>
      </c>
      <c r="H1029" s="581">
        <v>2794</v>
      </c>
      <c r="I1029" s="582">
        <f t="shared" si="121"/>
        <v>100</v>
      </c>
      <c r="J1029" s="586"/>
      <c r="K1029" s="581"/>
      <c r="L1029" s="587"/>
      <c r="M1029" s="603"/>
      <c r="N1029" s="581"/>
      <c r="O1029" s="627"/>
      <c r="P1029" s="581"/>
      <c r="Q1029" s="581"/>
      <c r="R1029" s="653"/>
    </row>
    <row r="1030" spans="1:18" ht="28.5" customHeight="1">
      <c r="A1030" s="647">
        <v>4247</v>
      </c>
      <c r="B1030" s="712" t="s">
        <v>527</v>
      </c>
      <c r="C1030" s="603">
        <v>1800</v>
      </c>
      <c r="D1030" s="581">
        <f>G1030+J1030+P1030+M1030</f>
        <v>1800</v>
      </c>
      <c r="E1030" s="581">
        <f t="shared" si="119"/>
        <v>0</v>
      </c>
      <c r="F1030" s="864">
        <f t="shared" si="120"/>
        <v>0</v>
      </c>
      <c r="G1030" s="603">
        <v>1800</v>
      </c>
      <c r="H1030" s="581"/>
      <c r="I1030" s="582">
        <f t="shared" si="121"/>
        <v>0</v>
      </c>
      <c r="J1030" s="586"/>
      <c r="K1030" s="581"/>
      <c r="L1030" s="587"/>
      <c r="M1030" s="603"/>
      <c r="N1030" s="581"/>
      <c r="O1030" s="627"/>
      <c r="P1030" s="581"/>
      <c r="Q1030" s="581"/>
      <c r="R1030" s="653"/>
    </row>
    <row r="1031" spans="1:18" ht="15.75" customHeight="1">
      <c r="A1031" s="647">
        <v>4307</v>
      </c>
      <c r="B1031" s="651" t="s">
        <v>199</v>
      </c>
      <c r="C1031" s="603">
        <v>5000</v>
      </c>
      <c r="D1031" s="581">
        <f>G1031+J1031+P1031+M1031</f>
        <v>5000</v>
      </c>
      <c r="E1031" s="581">
        <f t="shared" si="119"/>
        <v>0</v>
      </c>
      <c r="F1031" s="864">
        <f t="shared" si="120"/>
        <v>0</v>
      </c>
      <c r="G1031" s="603">
        <v>5000</v>
      </c>
      <c r="H1031" s="581"/>
      <c r="I1031" s="582">
        <f t="shared" si="121"/>
        <v>0</v>
      </c>
      <c r="J1031" s="586"/>
      <c r="K1031" s="581"/>
      <c r="L1031" s="587"/>
      <c r="M1031" s="603"/>
      <c r="N1031" s="581"/>
      <c r="O1031" s="627"/>
      <c r="P1031" s="581"/>
      <c r="Q1031" s="581"/>
      <c r="R1031" s="653"/>
    </row>
    <row r="1032" spans="1:18" ht="24">
      <c r="A1032" s="647">
        <v>4427</v>
      </c>
      <c r="B1032" s="712" t="s">
        <v>596</v>
      </c>
      <c r="C1032" s="603">
        <v>45000</v>
      </c>
      <c r="D1032" s="581">
        <f>G1032+J1032+P1032+M1032</f>
        <v>45000</v>
      </c>
      <c r="E1032" s="581">
        <f t="shared" si="119"/>
        <v>22270</v>
      </c>
      <c r="F1032" s="864">
        <f t="shared" si="120"/>
        <v>49.48888888888889</v>
      </c>
      <c r="G1032" s="603">
        <v>45000</v>
      </c>
      <c r="H1032" s="581">
        <f>22270</f>
        <v>22270</v>
      </c>
      <c r="I1032" s="582">
        <f t="shared" si="121"/>
        <v>49.48888888888889</v>
      </c>
      <c r="J1032" s="586"/>
      <c r="K1032" s="581"/>
      <c r="L1032" s="587"/>
      <c r="M1032" s="603"/>
      <c r="N1032" s="581"/>
      <c r="O1032" s="627"/>
      <c r="P1032" s="581"/>
      <c r="Q1032" s="581"/>
      <c r="R1032" s="653"/>
    </row>
    <row r="1033" spans="1:18" ht="12.75">
      <c r="A1033" s="647">
        <v>4437</v>
      </c>
      <c r="B1033" s="712" t="s">
        <v>201</v>
      </c>
      <c r="C1033" s="603">
        <v>500</v>
      </c>
      <c r="D1033" s="581">
        <f>G1033+J1033+P1033+M1033</f>
        <v>500</v>
      </c>
      <c r="E1033" s="581">
        <f t="shared" si="119"/>
        <v>245</v>
      </c>
      <c r="F1033" s="864">
        <f t="shared" si="120"/>
        <v>49</v>
      </c>
      <c r="G1033" s="603">
        <v>500</v>
      </c>
      <c r="H1033" s="581">
        <v>245</v>
      </c>
      <c r="I1033" s="582">
        <f t="shared" si="121"/>
        <v>49</v>
      </c>
      <c r="J1033" s="586"/>
      <c r="K1033" s="581"/>
      <c r="L1033" s="587"/>
      <c r="M1033" s="603"/>
      <c r="N1033" s="581"/>
      <c r="O1033" s="627"/>
      <c r="P1033" s="581"/>
      <c r="Q1033" s="581"/>
      <c r="R1033" s="653"/>
    </row>
    <row r="1034" spans="1:18" ht="36">
      <c r="A1034" s="647">
        <v>4757</v>
      </c>
      <c r="B1034" s="712" t="s">
        <v>589</v>
      </c>
      <c r="C1034" s="603">
        <v>300</v>
      </c>
      <c r="D1034" s="581">
        <f t="shared" si="114"/>
        <v>300</v>
      </c>
      <c r="E1034" s="581">
        <f t="shared" si="119"/>
        <v>0</v>
      </c>
      <c r="F1034" s="864">
        <f t="shared" si="120"/>
        <v>0</v>
      </c>
      <c r="G1034" s="603">
        <v>300</v>
      </c>
      <c r="H1034" s="581"/>
      <c r="I1034" s="582">
        <f t="shared" si="121"/>
        <v>0</v>
      </c>
      <c r="J1034" s="586"/>
      <c r="K1034" s="581"/>
      <c r="L1034" s="587"/>
      <c r="M1034" s="603"/>
      <c r="N1034" s="581"/>
      <c r="O1034" s="627"/>
      <c r="P1034" s="581"/>
      <c r="Q1034" s="581"/>
      <c r="R1034" s="653"/>
    </row>
    <row r="1035" spans="1:26" s="639" customFormat="1" ht="96.75" customHeight="1">
      <c r="A1035" s="657"/>
      <c r="B1035" s="738" t="s">
        <v>531</v>
      </c>
      <c r="C1035" s="659">
        <f>SUM(C1036:C1040)</f>
        <v>34550</v>
      </c>
      <c r="D1035" s="660">
        <f t="shared" si="114"/>
        <v>34550</v>
      </c>
      <c r="E1035" s="660">
        <f t="shared" si="119"/>
        <v>4200</v>
      </c>
      <c r="F1035" s="868">
        <f t="shared" si="120"/>
        <v>12.156295224312592</v>
      </c>
      <c r="G1035" s="659">
        <f>SUM(G1036:G1040)</f>
        <v>34550</v>
      </c>
      <c r="H1035" s="660">
        <f>SUM(H1036:H1040)</f>
        <v>4200</v>
      </c>
      <c r="I1035" s="827">
        <f t="shared" si="121"/>
        <v>12.156295224312592</v>
      </c>
      <c r="J1035" s="661"/>
      <c r="K1035" s="660"/>
      <c r="L1035" s="662"/>
      <c r="M1035" s="659"/>
      <c r="N1035" s="660"/>
      <c r="O1035" s="867"/>
      <c r="P1035" s="660"/>
      <c r="Q1035" s="660"/>
      <c r="R1035" s="666"/>
      <c r="S1035" s="564"/>
      <c r="T1035" s="564"/>
      <c r="U1035" s="564"/>
      <c r="V1035" s="564"/>
      <c r="W1035" s="565"/>
      <c r="X1035" s="565"/>
      <c r="Y1035" s="565"/>
      <c r="Z1035" s="565"/>
    </row>
    <row r="1036" spans="1:18" ht="24" hidden="1">
      <c r="A1036" s="647">
        <v>4217</v>
      </c>
      <c r="B1036" s="651" t="s">
        <v>191</v>
      </c>
      <c r="C1036" s="603"/>
      <c r="D1036" s="581">
        <f t="shared" si="114"/>
        <v>0</v>
      </c>
      <c r="E1036" s="581">
        <f t="shared" si="119"/>
        <v>0</v>
      </c>
      <c r="F1036" s="864" t="e">
        <f t="shared" si="120"/>
        <v>#DIV/0!</v>
      </c>
      <c r="G1036" s="603"/>
      <c r="H1036" s="581"/>
      <c r="I1036" s="629" t="e">
        <f t="shared" si="121"/>
        <v>#DIV/0!</v>
      </c>
      <c r="J1036" s="586"/>
      <c r="K1036" s="581"/>
      <c r="L1036" s="587"/>
      <c r="M1036" s="603"/>
      <c r="N1036" s="581"/>
      <c r="O1036" s="627"/>
      <c r="P1036" s="581"/>
      <c r="Q1036" s="581"/>
      <c r="R1036" s="653"/>
    </row>
    <row r="1037" spans="1:18" ht="18.75" customHeight="1">
      <c r="A1037" s="647">
        <v>4307</v>
      </c>
      <c r="B1037" s="651" t="s">
        <v>199</v>
      </c>
      <c r="C1037" s="603">
        <v>11500</v>
      </c>
      <c r="D1037" s="581">
        <f t="shared" si="114"/>
        <v>11500</v>
      </c>
      <c r="E1037" s="581">
        <f t="shared" si="119"/>
        <v>4200</v>
      </c>
      <c r="F1037" s="864">
        <f t="shared" si="120"/>
        <v>36.52173913043478</v>
      </c>
      <c r="G1037" s="603">
        <v>11500</v>
      </c>
      <c r="H1037" s="581">
        <v>4200</v>
      </c>
      <c r="I1037" s="629">
        <f t="shared" si="121"/>
        <v>36.52173913043478</v>
      </c>
      <c r="J1037" s="586"/>
      <c r="K1037" s="581"/>
      <c r="L1037" s="587"/>
      <c r="M1037" s="603"/>
      <c r="N1037" s="581"/>
      <c r="O1037" s="627"/>
      <c r="P1037" s="581"/>
      <c r="Q1037" s="581"/>
      <c r="R1037" s="653"/>
    </row>
    <row r="1038" spans="1:18" ht="24">
      <c r="A1038" s="647">
        <v>4427</v>
      </c>
      <c r="B1038" s="712" t="s">
        <v>596</v>
      </c>
      <c r="C1038" s="603">
        <v>21500</v>
      </c>
      <c r="D1038" s="581">
        <f t="shared" si="114"/>
        <v>21500</v>
      </c>
      <c r="E1038" s="581">
        <f t="shared" si="119"/>
        <v>0</v>
      </c>
      <c r="F1038" s="864">
        <f t="shared" si="120"/>
        <v>0</v>
      </c>
      <c r="G1038" s="603">
        <v>21500</v>
      </c>
      <c r="H1038" s="581"/>
      <c r="I1038" s="629">
        <f t="shared" si="121"/>
        <v>0</v>
      </c>
      <c r="J1038" s="586"/>
      <c r="K1038" s="581"/>
      <c r="L1038" s="587"/>
      <c r="M1038" s="603"/>
      <c r="N1038" s="581"/>
      <c r="O1038" s="627"/>
      <c r="P1038" s="581"/>
      <c r="Q1038" s="581"/>
      <c r="R1038" s="653"/>
    </row>
    <row r="1039" spans="1:18" ht="12.75">
      <c r="A1039" s="647">
        <v>4437</v>
      </c>
      <c r="B1039" s="712" t="s">
        <v>201</v>
      </c>
      <c r="C1039" s="603">
        <v>600</v>
      </c>
      <c r="D1039" s="581">
        <f t="shared" si="114"/>
        <v>600</v>
      </c>
      <c r="E1039" s="581">
        <f t="shared" si="119"/>
        <v>0</v>
      </c>
      <c r="F1039" s="864">
        <f t="shared" si="120"/>
        <v>0</v>
      </c>
      <c r="G1039" s="603">
        <v>600</v>
      </c>
      <c r="H1039" s="581"/>
      <c r="I1039" s="629">
        <f t="shared" si="121"/>
        <v>0</v>
      </c>
      <c r="J1039" s="586"/>
      <c r="K1039" s="581"/>
      <c r="L1039" s="587"/>
      <c r="M1039" s="603"/>
      <c r="N1039" s="581"/>
      <c r="O1039" s="627"/>
      <c r="P1039" s="581"/>
      <c r="Q1039" s="581"/>
      <c r="R1039" s="653"/>
    </row>
    <row r="1040" spans="1:18" ht="36">
      <c r="A1040" s="647">
        <v>4757</v>
      </c>
      <c r="B1040" s="712" t="s">
        <v>589</v>
      </c>
      <c r="C1040" s="603">
        <v>950</v>
      </c>
      <c r="D1040" s="581">
        <f t="shared" si="114"/>
        <v>950</v>
      </c>
      <c r="E1040" s="581">
        <f t="shared" si="119"/>
        <v>0</v>
      </c>
      <c r="F1040" s="864">
        <f t="shared" si="120"/>
        <v>0</v>
      </c>
      <c r="G1040" s="603">
        <v>950</v>
      </c>
      <c r="H1040" s="581"/>
      <c r="I1040" s="629">
        <f t="shared" si="121"/>
        <v>0</v>
      </c>
      <c r="J1040" s="586"/>
      <c r="K1040" s="581"/>
      <c r="L1040" s="587"/>
      <c r="M1040" s="603"/>
      <c r="N1040" s="581"/>
      <c r="O1040" s="627"/>
      <c r="P1040" s="581"/>
      <c r="Q1040" s="581"/>
      <c r="R1040" s="653"/>
    </row>
    <row r="1041" spans="1:18" ht="37.5" customHeight="1">
      <c r="A1041" s="657"/>
      <c r="B1041" s="738" t="s">
        <v>532</v>
      </c>
      <c r="C1041" s="659">
        <f>SUM(C1042:C1043)</f>
        <v>3966</v>
      </c>
      <c r="D1041" s="660">
        <f>G1041+J1041+P1041+M1041</f>
        <v>4035</v>
      </c>
      <c r="E1041" s="660">
        <f t="shared" si="119"/>
        <v>3966</v>
      </c>
      <c r="F1041" s="868">
        <f t="shared" si="120"/>
        <v>98.2899628252788</v>
      </c>
      <c r="G1041" s="659">
        <f>SUM(G1042:G1043)</f>
        <v>4035</v>
      </c>
      <c r="H1041" s="660">
        <f>SUM(H1042:H1043)</f>
        <v>3966</v>
      </c>
      <c r="I1041" s="630">
        <f t="shared" si="121"/>
        <v>98.2899628252788</v>
      </c>
      <c r="J1041" s="586"/>
      <c r="K1041" s="581"/>
      <c r="L1041" s="587"/>
      <c r="M1041" s="603"/>
      <c r="N1041" s="581"/>
      <c r="O1041" s="627"/>
      <c r="P1041" s="581"/>
      <c r="Q1041" s="581"/>
      <c r="R1041" s="653"/>
    </row>
    <row r="1042" spans="1:18" ht="24">
      <c r="A1042" s="647">
        <v>4427</v>
      </c>
      <c r="B1042" s="712" t="s">
        <v>596</v>
      </c>
      <c r="C1042" s="603">
        <v>3966</v>
      </c>
      <c r="D1042" s="581">
        <f>G1042+J1042+P1042+M1042</f>
        <v>4035</v>
      </c>
      <c r="E1042" s="581">
        <f t="shared" si="119"/>
        <v>3966</v>
      </c>
      <c r="F1042" s="864">
        <f t="shared" si="120"/>
        <v>98.2899628252788</v>
      </c>
      <c r="G1042" s="603">
        <f>3966+69</f>
        <v>4035</v>
      </c>
      <c r="H1042" s="581">
        <v>3966</v>
      </c>
      <c r="I1042" s="582">
        <f t="shared" si="121"/>
        <v>98.2899628252788</v>
      </c>
      <c r="J1042" s="586"/>
      <c r="K1042" s="581"/>
      <c r="L1042" s="587"/>
      <c r="M1042" s="603"/>
      <c r="N1042" s="581"/>
      <c r="O1042" s="627"/>
      <c r="P1042" s="581"/>
      <c r="Q1042" s="581"/>
      <c r="R1042" s="653"/>
    </row>
    <row r="1043" spans="1:18" ht="12.75" hidden="1">
      <c r="A1043" s="647">
        <v>4437</v>
      </c>
      <c r="B1043" s="712" t="s">
        <v>201</v>
      </c>
      <c r="C1043" s="603"/>
      <c r="D1043" s="581">
        <f>G1043+J1043+P1043+M1043</f>
        <v>0</v>
      </c>
      <c r="E1043" s="581">
        <f t="shared" si="119"/>
        <v>0</v>
      </c>
      <c r="F1043" s="864" t="e">
        <f t="shared" si="120"/>
        <v>#DIV/0!</v>
      </c>
      <c r="G1043" s="603"/>
      <c r="H1043" s="581"/>
      <c r="I1043" s="629" t="e">
        <f t="shared" si="121"/>
        <v>#DIV/0!</v>
      </c>
      <c r="J1043" s="586"/>
      <c r="K1043" s="581"/>
      <c r="L1043" s="587"/>
      <c r="M1043" s="603"/>
      <c r="N1043" s="581"/>
      <c r="O1043" s="627"/>
      <c r="P1043" s="581"/>
      <c r="Q1043" s="581"/>
      <c r="R1043" s="653"/>
    </row>
    <row r="1044" spans="1:26" s="639" customFormat="1" ht="48">
      <c r="A1044" s="657"/>
      <c r="B1044" s="798" t="s">
        <v>533</v>
      </c>
      <c r="C1044" s="659">
        <f>SUM(C1045:C1065)</f>
        <v>455707</v>
      </c>
      <c r="D1044" s="660">
        <f t="shared" si="114"/>
        <v>526398</v>
      </c>
      <c r="E1044" s="660">
        <f t="shared" si="119"/>
        <v>56276</v>
      </c>
      <c r="F1044" s="868">
        <f t="shared" si="120"/>
        <v>10.690770101710113</v>
      </c>
      <c r="G1044" s="659">
        <f>SUM(G1045:G1065)</f>
        <v>526398</v>
      </c>
      <c r="H1044" s="660">
        <f>SUM(H1045:H1065)</f>
        <v>56276</v>
      </c>
      <c r="I1044" s="827">
        <f t="shared" si="121"/>
        <v>10.690770101710113</v>
      </c>
      <c r="J1044" s="661"/>
      <c r="K1044" s="660"/>
      <c r="L1044" s="662"/>
      <c r="M1044" s="659"/>
      <c r="N1044" s="660"/>
      <c r="O1044" s="867"/>
      <c r="P1044" s="660"/>
      <c r="Q1044" s="660"/>
      <c r="R1044" s="666"/>
      <c r="S1044" s="564"/>
      <c r="T1044" s="564"/>
      <c r="U1044" s="564"/>
      <c r="V1044" s="564"/>
      <c r="W1044" s="565"/>
      <c r="X1044" s="565"/>
      <c r="Y1044" s="565"/>
      <c r="Z1044" s="565"/>
    </row>
    <row r="1045" spans="1:18" ht="25.5" customHeight="1">
      <c r="A1045" s="647">
        <v>4018</v>
      </c>
      <c r="B1045" s="651" t="s">
        <v>181</v>
      </c>
      <c r="C1045" s="603"/>
      <c r="D1045" s="581">
        <f t="shared" si="114"/>
        <v>55394</v>
      </c>
      <c r="E1045" s="581">
        <f t="shared" si="119"/>
        <v>4226</v>
      </c>
      <c r="F1045" s="864">
        <f t="shared" si="120"/>
        <v>7.628985088637759</v>
      </c>
      <c r="G1045" s="603">
        <v>55394</v>
      </c>
      <c r="H1045" s="581">
        <v>4226</v>
      </c>
      <c r="I1045" s="629">
        <f t="shared" si="121"/>
        <v>7.628985088637759</v>
      </c>
      <c r="J1045" s="586"/>
      <c r="K1045" s="581"/>
      <c r="L1045" s="587"/>
      <c r="M1045" s="603"/>
      <c r="N1045" s="581"/>
      <c r="O1045" s="627"/>
      <c r="P1045" s="581"/>
      <c r="Q1045" s="581"/>
      <c r="R1045" s="653"/>
    </row>
    <row r="1046" spans="1:18" ht="25.5" customHeight="1">
      <c r="A1046" s="647">
        <v>4019</v>
      </c>
      <c r="B1046" s="651" t="s">
        <v>181</v>
      </c>
      <c r="C1046" s="603"/>
      <c r="D1046" s="581">
        <f>G1046+J1046+P1046+M1046</f>
        <v>21276</v>
      </c>
      <c r="E1046" s="581">
        <f>SUM(H1046+K1046+N1046+Q1046)</f>
        <v>1623</v>
      </c>
      <c r="F1046" s="864">
        <f>E1046/D1046*100</f>
        <v>7.628313592780597</v>
      </c>
      <c r="G1046" s="603">
        <v>21276</v>
      </c>
      <c r="H1046" s="581">
        <v>1623</v>
      </c>
      <c r="I1046" s="629">
        <f t="shared" si="121"/>
        <v>7.628313592780597</v>
      </c>
      <c r="J1046" s="586"/>
      <c r="K1046" s="581"/>
      <c r="L1046" s="587"/>
      <c r="M1046" s="603"/>
      <c r="N1046" s="581"/>
      <c r="O1046" s="627"/>
      <c r="P1046" s="581"/>
      <c r="Q1046" s="581"/>
      <c r="R1046" s="653"/>
    </row>
    <row r="1047" spans="1:18" ht="28.5" customHeight="1">
      <c r="A1047" s="647">
        <v>4118</v>
      </c>
      <c r="B1047" s="651" t="s">
        <v>187</v>
      </c>
      <c r="C1047" s="603">
        <v>9788</v>
      </c>
      <c r="D1047" s="581">
        <f>G1047+J1047+P1047+M1047</f>
        <v>11162</v>
      </c>
      <c r="E1047" s="581">
        <f>SUM(H1047+K1047+N1047+Q1047)</f>
        <v>1987</v>
      </c>
      <c r="F1047" s="864">
        <f>E1047/D1047*100</f>
        <v>17.80146927074001</v>
      </c>
      <c r="G1047" s="603">
        <v>11162</v>
      </c>
      <c r="H1047" s="581">
        <v>1987</v>
      </c>
      <c r="I1047" s="629">
        <f t="shared" si="121"/>
        <v>17.80146927074001</v>
      </c>
      <c r="J1047" s="586"/>
      <c r="K1047" s="581"/>
      <c r="L1047" s="587"/>
      <c r="M1047" s="603"/>
      <c r="N1047" s="581"/>
      <c r="O1047" s="627"/>
      <c r="P1047" s="581"/>
      <c r="Q1047" s="581"/>
      <c r="R1047" s="653"/>
    </row>
    <row r="1048" spans="1:18" ht="27" customHeight="1">
      <c r="A1048" s="647">
        <v>4119</v>
      </c>
      <c r="B1048" s="651" t="s">
        <v>187</v>
      </c>
      <c r="C1048" s="603">
        <v>3760</v>
      </c>
      <c r="D1048" s="581">
        <f>G1048+J1048+P1048+M1048</f>
        <v>4287</v>
      </c>
      <c r="E1048" s="581">
        <f t="shared" si="119"/>
        <v>763</v>
      </c>
      <c r="F1048" s="864">
        <f t="shared" si="120"/>
        <v>17.797993935152785</v>
      </c>
      <c r="G1048" s="603">
        <f>3760+527</f>
        <v>4287</v>
      </c>
      <c r="H1048" s="581">
        <v>763</v>
      </c>
      <c r="I1048" s="629">
        <f t="shared" si="121"/>
        <v>17.797993935152785</v>
      </c>
      <c r="J1048" s="586"/>
      <c r="K1048" s="581"/>
      <c r="L1048" s="587"/>
      <c r="M1048" s="603"/>
      <c r="N1048" s="581"/>
      <c r="O1048" s="627"/>
      <c r="P1048" s="581"/>
      <c r="Q1048" s="581"/>
      <c r="R1048" s="653"/>
    </row>
    <row r="1049" spans="1:18" ht="12.75">
      <c r="A1049" s="647">
        <v>4128</v>
      </c>
      <c r="B1049" s="651" t="s">
        <v>619</v>
      </c>
      <c r="C1049" s="603">
        <v>1580</v>
      </c>
      <c r="D1049" s="581">
        <f>G1049+J1049+P1049+M1049</f>
        <v>1806</v>
      </c>
      <c r="E1049" s="581">
        <f t="shared" si="119"/>
        <v>307</v>
      </c>
      <c r="F1049" s="864">
        <f t="shared" si="120"/>
        <v>16.99889258028793</v>
      </c>
      <c r="G1049" s="603">
        <f>1580+226</f>
        <v>1806</v>
      </c>
      <c r="H1049" s="581">
        <v>307</v>
      </c>
      <c r="I1049" s="629">
        <f t="shared" si="121"/>
        <v>16.99889258028793</v>
      </c>
      <c r="J1049" s="586"/>
      <c r="K1049" s="581"/>
      <c r="L1049" s="587"/>
      <c r="M1049" s="603"/>
      <c r="N1049" s="581"/>
      <c r="O1049" s="627"/>
      <c r="P1049" s="581"/>
      <c r="Q1049" s="581"/>
      <c r="R1049" s="653"/>
    </row>
    <row r="1050" spans="1:18" ht="12.75">
      <c r="A1050" s="647">
        <v>4129</v>
      </c>
      <c r="B1050" s="651" t="s">
        <v>619</v>
      </c>
      <c r="C1050" s="603">
        <v>607</v>
      </c>
      <c r="D1050" s="581">
        <f>G1050+J1050+P1050+M1050</f>
        <v>694</v>
      </c>
      <c r="E1050" s="581">
        <f t="shared" si="119"/>
        <v>118</v>
      </c>
      <c r="F1050" s="864">
        <f t="shared" si="120"/>
        <v>17.002881844380404</v>
      </c>
      <c r="G1050" s="603">
        <f>607+87</f>
        <v>694</v>
      </c>
      <c r="H1050" s="581">
        <v>118</v>
      </c>
      <c r="I1050" s="629">
        <f t="shared" si="121"/>
        <v>17.002881844380404</v>
      </c>
      <c r="J1050" s="586"/>
      <c r="K1050" s="581"/>
      <c r="L1050" s="587"/>
      <c r="M1050" s="603"/>
      <c r="N1050" s="581"/>
      <c r="O1050" s="627"/>
      <c r="P1050" s="581"/>
      <c r="Q1050" s="581"/>
      <c r="R1050" s="653"/>
    </row>
    <row r="1051" spans="1:18" ht="24">
      <c r="A1051" s="647">
        <v>4178</v>
      </c>
      <c r="B1051" s="651" t="s">
        <v>221</v>
      </c>
      <c r="C1051" s="603">
        <v>64424</v>
      </c>
      <c r="D1051" s="581">
        <f aca="true" t="shared" si="122" ref="D1051:D1064">G1051+J1051+P1051+M1051</f>
        <v>18044</v>
      </c>
      <c r="E1051" s="581">
        <f t="shared" si="119"/>
        <v>12978</v>
      </c>
      <c r="F1051" s="864">
        <f t="shared" si="120"/>
        <v>71.9241853247617</v>
      </c>
      <c r="G1051" s="603">
        <f>64424+9014-55394</f>
        <v>18044</v>
      </c>
      <c r="H1051" s="581">
        <v>12978</v>
      </c>
      <c r="I1051" s="629">
        <f t="shared" si="121"/>
        <v>71.9241853247617</v>
      </c>
      <c r="J1051" s="586"/>
      <c r="K1051" s="581"/>
      <c r="L1051" s="587"/>
      <c r="M1051" s="603"/>
      <c r="N1051" s="581"/>
      <c r="O1051" s="627"/>
      <c r="P1051" s="581"/>
      <c r="Q1051" s="581"/>
      <c r="R1051" s="653"/>
    </row>
    <row r="1052" spans="1:18" ht="24">
      <c r="A1052" s="647">
        <v>4179</v>
      </c>
      <c r="B1052" s="651" t="s">
        <v>221</v>
      </c>
      <c r="C1052" s="603">
        <v>24744</v>
      </c>
      <c r="D1052" s="581">
        <f t="shared" si="122"/>
        <v>6931</v>
      </c>
      <c r="E1052" s="581">
        <f t="shared" si="119"/>
        <v>4985</v>
      </c>
      <c r="F1052" s="864">
        <f t="shared" si="120"/>
        <v>71.9232433992209</v>
      </c>
      <c r="G1052" s="603">
        <f>24744+3463-21276</f>
        <v>6931</v>
      </c>
      <c r="H1052" s="581">
        <v>4985</v>
      </c>
      <c r="I1052" s="629">
        <f t="shared" si="121"/>
        <v>71.9232433992209</v>
      </c>
      <c r="J1052" s="586"/>
      <c r="K1052" s="581"/>
      <c r="L1052" s="587"/>
      <c r="M1052" s="603"/>
      <c r="N1052" s="581"/>
      <c r="O1052" s="627"/>
      <c r="P1052" s="581"/>
      <c r="Q1052" s="581"/>
      <c r="R1052" s="653"/>
    </row>
    <row r="1053" spans="1:18" ht="24">
      <c r="A1053" s="647">
        <v>4218</v>
      </c>
      <c r="B1053" s="651" t="s">
        <v>191</v>
      </c>
      <c r="C1053" s="603">
        <v>1301</v>
      </c>
      <c r="D1053" s="581">
        <f t="shared" si="122"/>
        <v>1301</v>
      </c>
      <c r="E1053" s="581">
        <f t="shared" si="119"/>
        <v>0</v>
      </c>
      <c r="F1053" s="864">
        <f t="shared" si="120"/>
        <v>0</v>
      </c>
      <c r="G1053" s="603">
        <v>1301</v>
      </c>
      <c r="H1053" s="581"/>
      <c r="I1053" s="629">
        <f t="shared" si="121"/>
        <v>0</v>
      </c>
      <c r="J1053" s="586"/>
      <c r="K1053" s="581"/>
      <c r="L1053" s="587"/>
      <c r="M1053" s="603"/>
      <c r="N1053" s="581"/>
      <c r="O1053" s="627"/>
      <c r="P1053" s="581"/>
      <c r="Q1053" s="581"/>
      <c r="R1053" s="653"/>
    </row>
    <row r="1054" spans="1:18" ht="24">
      <c r="A1054" s="647">
        <v>4219</v>
      </c>
      <c r="B1054" s="651" t="s">
        <v>191</v>
      </c>
      <c r="C1054" s="603">
        <v>500</v>
      </c>
      <c r="D1054" s="581">
        <f t="shared" si="122"/>
        <v>500</v>
      </c>
      <c r="E1054" s="581">
        <f t="shared" si="119"/>
        <v>0</v>
      </c>
      <c r="F1054" s="864">
        <f t="shared" si="120"/>
        <v>0</v>
      </c>
      <c r="G1054" s="603">
        <v>500</v>
      </c>
      <c r="H1054" s="581"/>
      <c r="I1054" s="629">
        <f t="shared" si="121"/>
        <v>0</v>
      </c>
      <c r="J1054" s="586"/>
      <c r="K1054" s="581"/>
      <c r="L1054" s="587"/>
      <c r="M1054" s="603"/>
      <c r="N1054" s="581"/>
      <c r="O1054" s="627"/>
      <c r="P1054" s="581"/>
      <c r="Q1054" s="581"/>
      <c r="R1054" s="653"/>
    </row>
    <row r="1055" spans="1:18" ht="16.5" customHeight="1">
      <c r="A1055" s="647">
        <v>4308</v>
      </c>
      <c r="B1055" s="712" t="s">
        <v>199</v>
      </c>
      <c r="C1055" s="603">
        <v>28539</v>
      </c>
      <c r="D1055" s="581">
        <f t="shared" si="122"/>
        <v>46963</v>
      </c>
      <c r="E1055" s="581">
        <f t="shared" si="119"/>
        <v>5956</v>
      </c>
      <c r="F1055" s="864">
        <f t="shared" si="120"/>
        <v>12.682324383024934</v>
      </c>
      <c r="G1055" s="603">
        <f>28539+18424</f>
        <v>46963</v>
      </c>
      <c r="H1055" s="581">
        <v>5956</v>
      </c>
      <c r="I1055" s="629">
        <f t="shared" si="121"/>
        <v>12.682324383024934</v>
      </c>
      <c r="J1055" s="586"/>
      <c r="K1055" s="581"/>
      <c r="L1055" s="587"/>
      <c r="M1055" s="603"/>
      <c r="N1055" s="581"/>
      <c r="O1055" s="627"/>
      <c r="P1055" s="581"/>
      <c r="Q1055" s="581"/>
      <c r="R1055" s="653"/>
    </row>
    <row r="1056" spans="1:18" ht="17.25" customHeight="1">
      <c r="A1056" s="647">
        <v>4309</v>
      </c>
      <c r="B1056" s="712" t="s">
        <v>199</v>
      </c>
      <c r="C1056" s="603">
        <v>10962</v>
      </c>
      <c r="D1056" s="581">
        <f t="shared" si="122"/>
        <v>18038</v>
      </c>
      <c r="E1056" s="581">
        <f t="shared" si="119"/>
        <v>2288</v>
      </c>
      <c r="F1056" s="864">
        <f t="shared" si="120"/>
        <v>12.684333074620247</v>
      </c>
      <c r="G1056" s="603">
        <f>10962+7076</f>
        <v>18038</v>
      </c>
      <c r="H1056" s="581">
        <v>2288</v>
      </c>
      <c r="I1056" s="629">
        <f t="shared" si="121"/>
        <v>12.684333074620247</v>
      </c>
      <c r="J1056" s="586"/>
      <c r="K1056" s="581"/>
      <c r="L1056" s="587"/>
      <c r="M1056" s="603"/>
      <c r="N1056" s="581"/>
      <c r="O1056" s="627"/>
      <c r="P1056" s="581"/>
      <c r="Q1056" s="581"/>
      <c r="R1056" s="653"/>
    </row>
    <row r="1057" spans="1:18" ht="24">
      <c r="A1057" s="647">
        <v>4358</v>
      </c>
      <c r="B1057" s="651" t="s">
        <v>584</v>
      </c>
      <c r="C1057" s="603">
        <v>15173</v>
      </c>
      <c r="D1057" s="581">
        <f>G1057+J1057+P1057+M1057</f>
        <v>15173</v>
      </c>
      <c r="E1057" s="581">
        <f>SUM(H1057+K1057+N1057+Q1057)</f>
        <v>0</v>
      </c>
      <c r="F1057" s="864">
        <f>E1057/D1057*100</f>
        <v>0</v>
      </c>
      <c r="G1057" s="603">
        <v>15173</v>
      </c>
      <c r="H1057" s="581"/>
      <c r="I1057" s="629">
        <f t="shared" si="121"/>
        <v>0</v>
      </c>
      <c r="J1057" s="586"/>
      <c r="K1057" s="581"/>
      <c r="L1057" s="587"/>
      <c r="M1057" s="603"/>
      <c r="N1057" s="581"/>
      <c r="O1057" s="627"/>
      <c r="P1057" s="581"/>
      <c r="Q1057" s="581"/>
      <c r="R1057" s="653"/>
    </row>
    <row r="1058" spans="1:18" ht="24">
      <c r="A1058" s="647">
        <v>4359</v>
      </c>
      <c r="B1058" s="651" t="s">
        <v>584</v>
      </c>
      <c r="C1058" s="603">
        <v>5828</v>
      </c>
      <c r="D1058" s="581">
        <f>G1058+J1058+P1058+M1058</f>
        <v>5828</v>
      </c>
      <c r="E1058" s="581">
        <f>SUM(H1058+K1058+N1058+Q1058)</f>
        <v>0</v>
      </c>
      <c r="F1058" s="864">
        <f>E1058/D1058*100</f>
        <v>0</v>
      </c>
      <c r="G1058" s="603">
        <v>5828</v>
      </c>
      <c r="H1058" s="581"/>
      <c r="I1058" s="629">
        <f t="shared" si="121"/>
        <v>0</v>
      </c>
      <c r="J1058" s="586"/>
      <c r="K1058" s="581"/>
      <c r="L1058" s="587"/>
      <c r="M1058" s="603"/>
      <c r="N1058" s="581"/>
      <c r="O1058" s="627"/>
      <c r="P1058" s="581"/>
      <c r="Q1058" s="581"/>
      <c r="R1058" s="653"/>
    </row>
    <row r="1059" spans="1:18" ht="12.75">
      <c r="A1059" s="647">
        <v>4438</v>
      </c>
      <c r="B1059" s="651" t="s">
        <v>201</v>
      </c>
      <c r="C1059" s="603">
        <v>11560</v>
      </c>
      <c r="D1059" s="581">
        <f>G1059+J1059+P1059+M1059</f>
        <v>17340</v>
      </c>
      <c r="E1059" s="581">
        <f>SUM(H1059+K1059+N1059+Q1059)</f>
        <v>0</v>
      </c>
      <c r="F1059" s="864">
        <f>E1059/D1059*100</f>
        <v>0</v>
      </c>
      <c r="G1059" s="603">
        <f>11560+5780</f>
        <v>17340</v>
      </c>
      <c r="H1059" s="581"/>
      <c r="I1059" s="629">
        <f t="shared" si="121"/>
        <v>0</v>
      </c>
      <c r="J1059" s="586"/>
      <c r="K1059" s="581"/>
      <c r="L1059" s="587"/>
      <c r="M1059" s="603"/>
      <c r="N1059" s="581"/>
      <c r="O1059" s="627"/>
      <c r="P1059" s="581"/>
      <c r="Q1059" s="581"/>
      <c r="R1059" s="653"/>
    </row>
    <row r="1060" spans="1:18" ht="12.75">
      <c r="A1060" s="647">
        <v>4439</v>
      </c>
      <c r="B1060" s="651" t="s">
        <v>201</v>
      </c>
      <c r="C1060" s="603">
        <v>4440</v>
      </c>
      <c r="D1060" s="581">
        <f t="shared" si="122"/>
        <v>6660</v>
      </c>
      <c r="E1060" s="581">
        <f t="shared" si="119"/>
        <v>0</v>
      </c>
      <c r="F1060" s="864">
        <f t="shared" si="120"/>
        <v>0</v>
      </c>
      <c r="G1060" s="603">
        <f>4440+2220</f>
        <v>6660</v>
      </c>
      <c r="H1060" s="581"/>
      <c r="I1060" s="629">
        <f t="shared" si="121"/>
        <v>0</v>
      </c>
      <c r="J1060" s="586"/>
      <c r="K1060" s="581"/>
      <c r="L1060" s="587"/>
      <c r="M1060" s="603"/>
      <c r="N1060" s="581"/>
      <c r="O1060" s="627"/>
      <c r="P1060" s="581"/>
      <c r="Q1060" s="581"/>
      <c r="R1060" s="653"/>
    </row>
    <row r="1061" spans="1:18" ht="36">
      <c r="A1061" s="647">
        <v>4758</v>
      </c>
      <c r="B1061" s="712" t="s">
        <v>589</v>
      </c>
      <c r="C1061" s="603">
        <v>16257</v>
      </c>
      <c r="D1061" s="581">
        <f t="shared" si="122"/>
        <v>32513</v>
      </c>
      <c r="E1061" s="581">
        <f t="shared" si="119"/>
        <v>15205</v>
      </c>
      <c r="F1061" s="864">
        <f t="shared" si="120"/>
        <v>46.765909021006976</v>
      </c>
      <c r="G1061" s="603">
        <f>16257+16256</f>
        <v>32513</v>
      </c>
      <c r="H1061" s="581">
        <v>15205</v>
      </c>
      <c r="I1061" s="629">
        <f t="shared" si="121"/>
        <v>46.765909021006976</v>
      </c>
      <c r="J1061" s="586"/>
      <c r="K1061" s="581"/>
      <c r="L1061" s="587"/>
      <c r="M1061" s="603"/>
      <c r="N1061" s="581"/>
      <c r="O1061" s="627"/>
      <c r="P1061" s="581"/>
      <c r="Q1061" s="581"/>
      <c r="R1061" s="653"/>
    </row>
    <row r="1062" spans="1:18" ht="36">
      <c r="A1062" s="647">
        <v>4759</v>
      </c>
      <c r="B1062" s="712" t="s">
        <v>589</v>
      </c>
      <c r="C1062" s="603">
        <v>6244</v>
      </c>
      <c r="D1062" s="581">
        <f t="shared" si="122"/>
        <v>12488</v>
      </c>
      <c r="E1062" s="581">
        <f t="shared" si="119"/>
        <v>5840</v>
      </c>
      <c r="F1062" s="864">
        <f t="shared" si="120"/>
        <v>46.764894298526585</v>
      </c>
      <c r="G1062" s="603">
        <f>6244+6244</f>
        <v>12488</v>
      </c>
      <c r="H1062" s="581">
        <v>5840</v>
      </c>
      <c r="I1062" s="629">
        <f t="shared" si="121"/>
        <v>46.764894298526585</v>
      </c>
      <c r="J1062" s="586"/>
      <c r="K1062" s="581"/>
      <c r="L1062" s="587"/>
      <c r="M1062" s="603"/>
      <c r="N1062" s="581"/>
      <c r="O1062" s="627"/>
      <c r="P1062" s="581"/>
      <c r="Q1062" s="581"/>
      <c r="R1062" s="653"/>
    </row>
    <row r="1063" spans="1:18" ht="48" hidden="1">
      <c r="A1063" s="647">
        <v>6060</v>
      </c>
      <c r="B1063" s="651" t="s">
        <v>628</v>
      </c>
      <c r="C1063" s="603"/>
      <c r="D1063" s="581">
        <f t="shared" si="122"/>
        <v>0</v>
      </c>
      <c r="E1063" s="581">
        <f t="shared" si="119"/>
        <v>0</v>
      </c>
      <c r="F1063" s="864" t="e">
        <f t="shared" si="120"/>
        <v>#DIV/0!</v>
      </c>
      <c r="G1063" s="603"/>
      <c r="H1063" s="581"/>
      <c r="I1063" s="629" t="e">
        <f t="shared" si="121"/>
        <v>#DIV/0!</v>
      </c>
      <c r="J1063" s="586"/>
      <c r="K1063" s="581"/>
      <c r="L1063" s="587"/>
      <c r="M1063" s="603"/>
      <c r="N1063" s="581"/>
      <c r="O1063" s="627"/>
      <c r="P1063" s="581"/>
      <c r="Q1063" s="581"/>
      <c r="R1063" s="653"/>
    </row>
    <row r="1064" spans="1:18" ht="36" customHeight="1">
      <c r="A1064" s="647">
        <v>6068</v>
      </c>
      <c r="B1064" s="651" t="s">
        <v>628</v>
      </c>
      <c r="C1064" s="603">
        <v>180625</v>
      </c>
      <c r="D1064" s="581">
        <f t="shared" si="122"/>
        <v>180625</v>
      </c>
      <c r="E1064" s="581">
        <f t="shared" si="119"/>
        <v>0</v>
      </c>
      <c r="F1064" s="864">
        <f t="shared" si="120"/>
        <v>0</v>
      </c>
      <c r="G1064" s="603">
        <v>180625</v>
      </c>
      <c r="H1064" s="581"/>
      <c r="I1064" s="629">
        <f t="shared" si="121"/>
        <v>0</v>
      </c>
      <c r="J1064" s="586"/>
      <c r="K1064" s="581"/>
      <c r="L1064" s="587"/>
      <c r="M1064" s="603"/>
      <c r="N1064" s="581"/>
      <c r="O1064" s="627"/>
      <c r="P1064" s="581"/>
      <c r="Q1064" s="581"/>
      <c r="R1064" s="653"/>
    </row>
    <row r="1065" spans="1:18" ht="38.25" customHeight="1" thickBot="1">
      <c r="A1065" s="647">
        <v>6069</v>
      </c>
      <c r="B1065" s="651" t="s">
        <v>628</v>
      </c>
      <c r="C1065" s="603">
        <v>69375</v>
      </c>
      <c r="D1065" s="581">
        <f>G1065+J1065+P1065+M1065</f>
        <v>69375</v>
      </c>
      <c r="E1065" s="581">
        <f>SUM(H1065+K1065+N1065+Q1065)</f>
        <v>0</v>
      </c>
      <c r="F1065" s="864">
        <f>E1065/D1065*100</f>
        <v>0</v>
      </c>
      <c r="G1065" s="603">
        <v>69375</v>
      </c>
      <c r="H1065" s="581"/>
      <c r="I1065" s="629">
        <f t="shared" si="121"/>
        <v>0</v>
      </c>
      <c r="J1065" s="586"/>
      <c r="K1065" s="581"/>
      <c r="L1065" s="587"/>
      <c r="M1065" s="603"/>
      <c r="N1065" s="581"/>
      <c r="O1065" s="627"/>
      <c r="P1065" s="581"/>
      <c r="Q1065" s="581"/>
      <c r="R1065" s="653"/>
    </row>
    <row r="1066" spans="1:18" ht="21" customHeight="1" thickBot="1" thickTop="1">
      <c r="A1066" s="632">
        <v>803</v>
      </c>
      <c r="B1066" s="633" t="s">
        <v>770</v>
      </c>
      <c r="C1066" s="634">
        <f>SUM(C1067)+C1078</f>
        <v>525000</v>
      </c>
      <c r="D1066" s="556">
        <f t="shared" si="114"/>
        <v>525000</v>
      </c>
      <c r="E1066" s="556">
        <f>E1067+E1078</f>
        <v>6000</v>
      </c>
      <c r="F1066" s="869">
        <f>E1066/D1066*100</f>
        <v>1.1428571428571428</v>
      </c>
      <c r="G1066" s="634">
        <f>G1067+G1078</f>
        <v>525000</v>
      </c>
      <c r="H1066" s="556">
        <f>H1067+H1078</f>
        <v>6000</v>
      </c>
      <c r="I1066" s="740">
        <f t="shared" si="121"/>
        <v>1.1428571428571428</v>
      </c>
      <c r="J1066" s="560"/>
      <c r="K1066" s="556"/>
      <c r="L1066" s="636"/>
      <c r="M1066" s="634"/>
      <c r="N1066" s="556"/>
      <c r="O1066" s="637"/>
      <c r="P1066" s="556"/>
      <c r="Q1066" s="556"/>
      <c r="R1066" s="741"/>
    </row>
    <row r="1067" spans="1:18" ht="30.75" customHeight="1" thickTop="1">
      <c r="A1067" s="765">
        <v>80309</v>
      </c>
      <c r="B1067" s="766" t="s">
        <v>771</v>
      </c>
      <c r="C1067" s="767">
        <f>SUM(C1068:C1070)</f>
        <v>20000</v>
      </c>
      <c r="D1067" s="569">
        <f t="shared" si="114"/>
        <v>20000</v>
      </c>
      <c r="E1067" s="569">
        <f>H1067+K1067+Q1067+N1067</f>
        <v>6000</v>
      </c>
      <c r="F1067" s="870">
        <f>E1067/D1067*100</f>
        <v>30</v>
      </c>
      <c r="G1067" s="767">
        <f>SUM(G1068:G1070)</f>
        <v>20000</v>
      </c>
      <c r="H1067" s="569">
        <f>SUM(H1068:H1070)</f>
        <v>6000</v>
      </c>
      <c r="I1067" s="743">
        <f t="shared" si="121"/>
        <v>30</v>
      </c>
      <c r="J1067" s="574"/>
      <c r="K1067" s="569"/>
      <c r="L1067" s="575"/>
      <c r="M1067" s="767"/>
      <c r="N1067" s="569"/>
      <c r="O1067" s="807"/>
      <c r="P1067" s="569"/>
      <c r="Q1067" s="569"/>
      <c r="R1067" s="871"/>
    </row>
    <row r="1068" spans="1:18" ht="50.25" customHeight="1">
      <c r="A1068" s="667">
        <v>2800</v>
      </c>
      <c r="B1068" s="668" t="s">
        <v>778</v>
      </c>
      <c r="C1068" s="603">
        <v>20000</v>
      </c>
      <c r="D1068" s="615">
        <f t="shared" si="114"/>
        <v>20000</v>
      </c>
      <c r="E1068" s="615">
        <f>SUM(H1068+K1068+N1068+Q1068)</f>
        <v>6000</v>
      </c>
      <c r="F1068" s="872">
        <f>E1068/D1068*100</f>
        <v>30</v>
      </c>
      <c r="G1068" s="603">
        <v>20000</v>
      </c>
      <c r="H1068" s="581">
        <v>6000</v>
      </c>
      <c r="I1068" s="623">
        <f t="shared" si="121"/>
        <v>30</v>
      </c>
      <c r="J1068" s="586"/>
      <c r="K1068" s="581"/>
      <c r="L1068" s="587"/>
      <c r="M1068" s="603"/>
      <c r="N1068" s="581"/>
      <c r="O1068" s="649"/>
      <c r="P1068" s="581"/>
      <c r="Q1068" s="581"/>
      <c r="R1068" s="653"/>
    </row>
    <row r="1069" spans="1:18" ht="12.75" hidden="1">
      <c r="A1069" s="647">
        <v>3250</v>
      </c>
      <c r="B1069" s="651" t="s">
        <v>772</v>
      </c>
      <c r="C1069" s="603"/>
      <c r="D1069" s="581">
        <f t="shared" si="114"/>
        <v>0</v>
      </c>
      <c r="E1069" s="581">
        <f aca="true" t="shared" si="123" ref="E1069:E1077">SUM(H1069+K1069+N1069+Q1069)</f>
        <v>0</v>
      </c>
      <c r="F1069" s="864"/>
      <c r="G1069" s="603">
        <f>10000-10000</f>
        <v>0</v>
      </c>
      <c r="H1069" s="581"/>
      <c r="I1069" s="629"/>
      <c r="J1069" s="586"/>
      <c r="K1069" s="581"/>
      <c r="L1069" s="587"/>
      <c r="M1069" s="603"/>
      <c r="N1069" s="581"/>
      <c r="O1069" s="649"/>
      <c r="P1069" s="581"/>
      <c r="Q1069" s="581"/>
      <c r="R1069" s="653"/>
    </row>
    <row r="1070" spans="1:26" s="639" customFormat="1" ht="48" hidden="1">
      <c r="A1070" s="657"/>
      <c r="B1070" s="798" t="s">
        <v>773</v>
      </c>
      <c r="C1070" s="659">
        <f>SUM(C1071:C1077)</f>
        <v>0</v>
      </c>
      <c r="D1070" s="660">
        <f t="shared" si="114"/>
        <v>0</v>
      </c>
      <c r="E1070" s="660">
        <f t="shared" si="123"/>
        <v>0</v>
      </c>
      <c r="F1070" s="864" t="e">
        <f aca="true" t="shared" si="124" ref="F1070:F1075">E1070/D1070*100</f>
        <v>#DIV/0!</v>
      </c>
      <c r="G1070" s="659">
        <f>SUM(G1071:G1077)</f>
        <v>0</v>
      </c>
      <c r="H1070" s="660">
        <f>SUM(H1071:H1077)</f>
        <v>0</v>
      </c>
      <c r="I1070" s="629" t="e">
        <f t="shared" si="121"/>
        <v>#DIV/0!</v>
      </c>
      <c r="J1070" s="661"/>
      <c r="K1070" s="660"/>
      <c r="L1070" s="662"/>
      <c r="M1070" s="659"/>
      <c r="N1070" s="660"/>
      <c r="O1070" s="800"/>
      <c r="P1070" s="660"/>
      <c r="Q1070" s="660"/>
      <c r="R1070" s="666"/>
      <c r="S1070" s="564"/>
      <c r="T1070" s="564"/>
      <c r="U1070" s="564"/>
      <c r="V1070" s="564"/>
      <c r="W1070" s="565"/>
      <c r="X1070" s="565"/>
      <c r="Y1070" s="565"/>
      <c r="Z1070" s="565"/>
    </row>
    <row r="1071" spans="1:18" ht="24" hidden="1">
      <c r="A1071" s="647">
        <v>3218</v>
      </c>
      <c r="B1071" s="651" t="s">
        <v>774</v>
      </c>
      <c r="C1071" s="603"/>
      <c r="D1071" s="581">
        <f t="shared" si="114"/>
        <v>0</v>
      </c>
      <c r="E1071" s="581">
        <f t="shared" si="123"/>
        <v>0</v>
      </c>
      <c r="F1071" s="864" t="e">
        <f t="shared" si="124"/>
        <v>#DIV/0!</v>
      </c>
      <c r="G1071" s="603"/>
      <c r="H1071" s="581"/>
      <c r="I1071" s="582" t="e">
        <f t="shared" si="121"/>
        <v>#DIV/0!</v>
      </c>
      <c r="J1071" s="586"/>
      <c r="K1071" s="581"/>
      <c r="L1071" s="587"/>
      <c r="M1071" s="603"/>
      <c r="N1071" s="581"/>
      <c r="O1071" s="649"/>
      <c r="P1071" s="581"/>
      <c r="Q1071" s="581"/>
      <c r="R1071" s="653"/>
    </row>
    <row r="1072" spans="1:18" ht="24" hidden="1">
      <c r="A1072" s="647">
        <v>3219</v>
      </c>
      <c r="B1072" s="651" t="s">
        <v>774</v>
      </c>
      <c r="C1072" s="603"/>
      <c r="D1072" s="581">
        <f t="shared" si="114"/>
        <v>0</v>
      </c>
      <c r="E1072" s="581">
        <f t="shared" si="123"/>
        <v>0</v>
      </c>
      <c r="F1072" s="864" t="e">
        <f t="shared" si="124"/>
        <v>#DIV/0!</v>
      </c>
      <c r="G1072" s="603"/>
      <c r="H1072" s="581"/>
      <c r="I1072" s="582" t="e">
        <f t="shared" si="121"/>
        <v>#DIV/0!</v>
      </c>
      <c r="J1072" s="586"/>
      <c r="K1072" s="581"/>
      <c r="L1072" s="587"/>
      <c r="M1072" s="603"/>
      <c r="N1072" s="581"/>
      <c r="O1072" s="649"/>
      <c r="P1072" s="581"/>
      <c r="Q1072" s="581"/>
      <c r="R1072" s="653"/>
    </row>
    <row r="1073" spans="1:18" ht="24" hidden="1">
      <c r="A1073" s="647">
        <v>3210</v>
      </c>
      <c r="B1073" s="651" t="s">
        <v>774</v>
      </c>
      <c r="C1073" s="603"/>
      <c r="D1073" s="581">
        <f>G1073+J1073+P1073+M1073</f>
        <v>0</v>
      </c>
      <c r="E1073" s="581">
        <f>SUM(H1073+K1073+N1073+Q1073)</f>
        <v>0</v>
      </c>
      <c r="F1073" s="864" t="e">
        <f t="shared" si="124"/>
        <v>#DIV/0!</v>
      </c>
      <c r="G1073" s="603"/>
      <c r="H1073" s="581"/>
      <c r="I1073" s="582" t="e">
        <f t="shared" si="121"/>
        <v>#DIV/0!</v>
      </c>
      <c r="J1073" s="586"/>
      <c r="K1073" s="581"/>
      <c r="L1073" s="587"/>
      <c r="M1073" s="603"/>
      <c r="N1073" s="581"/>
      <c r="O1073" s="649"/>
      <c r="P1073" s="581"/>
      <c r="Q1073" s="581"/>
      <c r="R1073" s="653"/>
    </row>
    <row r="1074" spans="1:18" ht="24" hidden="1">
      <c r="A1074" s="647">
        <v>4218</v>
      </c>
      <c r="B1074" s="828" t="s">
        <v>191</v>
      </c>
      <c r="C1074" s="603"/>
      <c r="D1074" s="581">
        <f aca="true" t="shared" si="125" ref="D1074:D1084">G1074+J1074+P1074+M1074</f>
        <v>0</v>
      </c>
      <c r="E1074" s="581">
        <f t="shared" si="123"/>
        <v>0</v>
      </c>
      <c r="F1074" s="864" t="e">
        <f t="shared" si="124"/>
        <v>#DIV/0!</v>
      </c>
      <c r="G1074" s="603"/>
      <c r="H1074" s="581"/>
      <c r="I1074" s="582" t="e">
        <f>H1074/G1074*100</f>
        <v>#DIV/0!</v>
      </c>
      <c r="J1074" s="586"/>
      <c r="K1074" s="581"/>
      <c r="L1074" s="587"/>
      <c r="M1074" s="603"/>
      <c r="N1074" s="581"/>
      <c r="O1074" s="649"/>
      <c r="P1074" s="581"/>
      <c r="Q1074" s="581"/>
      <c r="R1074" s="653"/>
    </row>
    <row r="1075" spans="1:18" ht="24" hidden="1">
      <c r="A1075" s="647">
        <v>4219</v>
      </c>
      <c r="B1075" s="828" t="s">
        <v>191</v>
      </c>
      <c r="C1075" s="603"/>
      <c r="D1075" s="581">
        <f t="shared" si="125"/>
        <v>0</v>
      </c>
      <c r="E1075" s="581">
        <f t="shared" si="123"/>
        <v>0</v>
      </c>
      <c r="F1075" s="864" t="e">
        <f t="shared" si="124"/>
        <v>#DIV/0!</v>
      </c>
      <c r="G1075" s="603"/>
      <c r="H1075" s="581"/>
      <c r="I1075" s="582" t="e">
        <f>H1075/G1075*100</f>
        <v>#DIV/0!</v>
      </c>
      <c r="J1075" s="586"/>
      <c r="K1075" s="581"/>
      <c r="L1075" s="587"/>
      <c r="M1075" s="603"/>
      <c r="N1075" s="581"/>
      <c r="O1075" s="649"/>
      <c r="P1075" s="581"/>
      <c r="Q1075" s="581"/>
      <c r="R1075" s="653"/>
    </row>
    <row r="1076" spans="1:18" ht="24" hidden="1">
      <c r="A1076" s="647">
        <v>4308</v>
      </c>
      <c r="B1076" s="651" t="s">
        <v>199</v>
      </c>
      <c r="C1076" s="603"/>
      <c r="D1076" s="581">
        <f t="shared" si="125"/>
        <v>0</v>
      </c>
      <c r="E1076" s="581">
        <f t="shared" si="123"/>
        <v>0</v>
      </c>
      <c r="F1076" s="864"/>
      <c r="G1076" s="603"/>
      <c r="H1076" s="581"/>
      <c r="I1076" s="629"/>
      <c r="J1076" s="586"/>
      <c r="K1076" s="581"/>
      <c r="L1076" s="587"/>
      <c r="M1076" s="603"/>
      <c r="N1076" s="581"/>
      <c r="O1076" s="649"/>
      <c r="P1076" s="581"/>
      <c r="Q1076" s="581"/>
      <c r="R1076" s="653"/>
    </row>
    <row r="1077" spans="1:18" ht="24" hidden="1">
      <c r="A1077" s="647">
        <v>4309</v>
      </c>
      <c r="B1077" s="651" t="s">
        <v>199</v>
      </c>
      <c r="C1077" s="674"/>
      <c r="D1077" s="581">
        <f t="shared" si="125"/>
        <v>0</v>
      </c>
      <c r="E1077" s="581">
        <f t="shared" si="123"/>
        <v>0</v>
      </c>
      <c r="F1077" s="864"/>
      <c r="G1077" s="674"/>
      <c r="H1077" s="675"/>
      <c r="I1077" s="629"/>
      <c r="J1077" s="676"/>
      <c r="K1077" s="675"/>
      <c r="L1077" s="677"/>
      <c r="M1077" s="674"/>
      <c r="N1077" s="675"/>
      <c r="O1077" s="689"/>
      <c r="P1077" s="675"/>
      <c r="Q1077" s="675"/>
      <c r="R1077" s="680"/>
    </row>
    <row r="1078" spans="1:18" ht="17.25" customHeight="1">
      <c r="A1078" s="640">
        <v>80395</v>
      </c>
      <c r="B1078" s="742" t="s">
        <v>213</v>
      </c>
      <c r="C1078" s="608">
        <f>SUM(C1079:C1082)</f>
        <v>505000</v>
      </c>
      <c r="D1078" s="595">
        <f>G1078+J1078+P1078+M1078</f>
        <v>505000</v>
      </c>
      <c r="E1078" s="595">
        <f>H1078+K1078+Q1078+N1078</f>
        <v>0</v>
      </c>
      <c r="F1078" s="624">
        <f aca="true" t="shared" si="126" ref="F1078:F1089">E1078/D1078*100</f>
        <v>0</v>
      </c>
      <c r="G1078" s="608">
        <f>SUM(G1079:G1083)</f>
        <v>505000</v>
      </c>
      <c r="H1078" s="595">
        <f>SUM(H1079:H1083)</f>
        <v>0</v>
      </c>
      <c r="I1078" s="624">
        <f aca="true" t="shared" si="127" ref="I1078:I1089">H1078/G1078*100</f>
        <v>0</v>
      </c>
      <c r="J1078" s="736"/>
      <c r="K1078" s="735"/>
      <c r="L1078" s="737"/>
      <c r="M1078" s="734"/>
      <c r="N1078" s="735"/>
      <c r="O1078" s="645"/>
      <c r="P1078" s="735"/>
      <c r="Q1078" s="735"/>
      <c r="R1078" s="731"/>
    </row>
    <row r="1079" spans="1:18" ht="51" customHeight="1" hidden="1">
      <c r="A1079" s="667">
        <v>2800</v>
      </c>
      <c r="B1079" s="668" t="s">
        <v>778</v>
      </c>
      <c r="C1079" s="606"/>
      <c r="D1079" s="581">
        <f>G1079+J1079+P1079+M1079</f>
        <v>0</v>
      </c>
      <c r="E1079" s="581">
        <f>SUM(H1079+K1079+N1079+Q1079)</f>
        <v>0</v>
      </c>
      <c r="F1079" s="864" t="e">
        <f>E1079/D1079*100</f>
        <v>#DIV/0!</v>
      </c>
      <c r="G1079" s="606"/>
      <c r="H1079" s="615"/>
      <c r="I1079" s="582" t="e">
        <f t="shared" si="127"/>
        <v>#DIV/0!</v>
      </c>
      <c r="J1079" s="618"/>
      <c r="K1079" s="615"/>
      <c r="L1079" s="619"/>
      <c r="M1079" s="606"/>
      <c r="N1079" s="615"/>
      <c r="O1079" s="686"/>
      <c r="P1079" s="615"/>
      <c r="Q1079" s="615"/>
      <c r="R1079" s="671"/>
    </row>
    <row r="1080" spans="1:18" ht="35.25" customHeight="1">
      <c r="A1080" s="647">
        <v>3040</v>
      </c>
      <c r="B1080" s="651" t="s">
        <v>775</v>
      </c>
      <c r="C1080" s="603">
        <v>5000</v>
      </c>
      <c r="D1080" s="581">
        <f t="shared" si="125"/>
        <v>5000</v>
      </c>
      <c r="E1080" s="581">
        <f>SUM(H1080+K1080+N1080+Q1080)</f>
        <v>0</v>
      </c>
      <c r="F1080" s="864"/>
      <c r="G1080" s="603">
        <v>5000</v>
      </c>
      <c r="H1080" s="581"/>
      <c r="I1080" s="582">
        <f t="shared" si="127"/>
        <v>0</v>
      </c>
      <c r="J1080" s="586"/>
      <c r="K1080" s="581"/>
      <c r="L1080" s="587"/>
      <c r="M1080" s="603"/>
      <c r="N1080" s="581"/>
      <c r="O1080" s="585"/>
      <c r="P1080" s="581"/>
      <c r="Q1080" s="581"/>
      <c r="R1080" s="653"/>
    </row>
    <row r="1081" spans="1:18" ht="18" customHeight="1" hidden="1">
      <c r="A1081" s="647">
        <v>4300</v>
      </c>
      <c r="B1081" s="712" t="s">
        <v>199</v>
      </c>
      <c r="C1081" s="603"/>
      <c r="D1081" s="581">
        <f>G1081+J1081+P1081+M1081</f>
        <v>0</v>
      </c>
      <c r="E1081" s="581">
        <f>SUM(H1081+K1081+N1081+Q1081)</f>
        <v>0</v>
      </c>
      <c r="F1081" s="864" t="e">
        <f>E1081/D1081*100</f>
        <v>#DIV/0!</v>
      </c>
      <c r="G1081" s="603"/>
      <c r="H1081" s="581"/>
      <c r="I1081" s="582" t="e">
        <f t="shared" si="127"/>
        <v>#DIV/0!</v>
      </c>
      <c r="J1081" s="586"/>
      <c r="K1081" s="581"/>
      <c r="L1081" s="587"/>
      <c r="M1081" s="603"/>
      <c r="N1081" s="581"/>
      <c r="O1081" s="585"/>
      <c r="P1081" s="581"/>
      <c r="Q1081" s="581"/>
      <c r="R1081" s="653"/>
    </row>
    <row r="1082" spans="1:18" ht="113.25" customHeight="1" thickBot="1">
      <c r="A1082" s="647">
        <v>6010</v>
      </c>
      <c r="B1082" s="687" t="s">
        <v>534</v>
      </c>
      <c r="C1082" s="603">
        <v>500000</v>
      </c>
      <c r="D1082" s="581">
        <f>G1082+J1082+P1082+M1082</f>
        <v>500000</v>
      </c>
      <c r="E1082" s="581">
        <f>SUM(H1082+K1082+N1082+Q1082)</f>
        <v>0</v>
      </c>
      <c r="F1082" s="864">
        <f>E1082/D1082*100</f>
        <v>0</v>
      </c>
      <c r="G1082" s="603">
        <v>500000</v>
      </c>
      <c r="H1082" s="581"/>
      <c r="I1082" s="582">
        <f t="shared" si="127"/>
        <v>0</v>
      </c>
      <c r="J1082" s="586"/>
      <c r="K1082" s="581"/>
      <c r="L1082" s="587"/>
      <c r="M1082" s="603"/>
      <c r="N1082" s="581"/>
      <c r="O1082" s="585"/>
      <c r="P1082" s="581"/>
      <c r="Q1082" s="581"/>
      <c r="R1082" s="653"/>
    </row>
    <row r="1083" spans="1:18" ht="108.75" hidden="1" thickBot="1">
      <c r="A1083" s="647">
        <v>6220</v>
      </c>
      <c r="B1083" s="651" t="s">
        <v>285</v>
      </c>
      <c r="C1083" s="603"/>
      <c r="D1083" s="581">
        <f t="shared" si="125"/>
        <v>0</v>
      </c>
      <c r="E1083" s="581">
        <f>SUM(H1083+K1083+N1083+Q1083)</f>
        <v>0</v>
      </c>
      <c r="F1083" s="864" t="e">
        <f t="shared" si="126"/>
        <v>#DIV/0!</v>
      </c>
      <c r="G1083" s="603">
        <f>271500-271500</f>
        <v>0</v>
      </c>
      <c r="H1083" s="581"/>
      <c r="I1083" s="582" t="e">
        <f t="shared" si="127"/>
        <v>#DIV/0!</v>
      </c>
      <c r="J1083" s="586"/>
      <c r="K1083" s="581"/>
      <c r="L1083" s="587"/>
      <c r="M1083" s="603"/>
      <c r="N1083" s="581"/>
      <c r="O1083" s="585"/>
      <c r="P1083" s="581"/>
      <c r="Q1083" s="581"/>
      <c r="R1083" s="653"/>
    </row>
    <row r="1084" spans="1:26" s="639" customFormat="1" ht="17.25" customHeight="1" thickBot="1" thickTop="1">
      <c r="A1084" s="632">
        <v>851</v>
      </c>
      <c r="B1084" s="633" t="s">
        <v>776</v>
      </c>
      <c r="C1084" s="634">
        <f>C1088+C1092+C1100+C1121+C1123+C1139+C1085</f>
        <v>3406000</v>
      </c>
      <c r="D1084" s="556">
        <f t="shared" si="125"/>
        <v>3406000</v>
      </c>
      <c r="E1084" s="556">
        <f>H1084+K1084+Q1084+N1084</f>
        <v>771303</v>
      </c>
      <c r="F1084" s="869">
        <f t="shared" si="126"/>
        <v>22.645419847328245</v>
      </c>
      <c r="G1084" s="634">
        <f>G1088+G1092+G1100+G1121+G1123+G1139+G1085</f>
        <v>3391000</v>
      </c>
      <c r="H1084" s="556">
        <f>H1088+H1092+H1100+H1121+H1123+H1139+H1085</f>
        <v>768776</v>
      </c>
      <c r="I1084" s="740">
        <f t="shared" si="127"/>
        <v>22.671070480684165</v>
      </c>
      <c r="J1084" s="560"/>
      <c r="K1084" s="556"/>
      <c r="L1084" s="636"/>
      <c r="M1084" s="775"/>
      <c r="N1084" s="556"/>
      <c r="O1084" s="873"/>
      <c r="P1084" s="556">
        <f>P1088+P1092+P1100+P1121+P1123+P1139</f>
        <v>15000</v>
      </c>
      <c r="Q1084" s="556">
        <f>Q1088+Q1092+Q1100+Q1121+Q1123+Q1139</f>
        <v>2527</v>
      </c>
      <c r="R1084" s="559">
        <f>Q1084/P1084*100</f>
        <v>16.846666666666664</v>
      </c>
      <c r="S1084" s="564"/>
      <c r="T1084" s="564"/>
      <c r="U1084" s="564"/>
      <c r="V1084" s="564"/>
      <c r="W1084" s="565"/>
      <c r="X1084" s="565"/>
      <c r="Y1084" s="565"/>
      <c r="Z1084" s="565"/>
    </row>
    <row r="1085" spans="1:26" s="639" customFormat="1" ht="17.25" customHeight="1" hidden="1">
      <c r="A1085" s="765">
        <v>85111</v>
      </c>
      <c r="B1085" s="766" t="s">
        <v>777</v>
      </c>
      <c r="C1085" s="767">
        <f>SUM(C1086)</f>
        <v>0</v>
      </c>
      <c r="D1085" s="664">
        <f>G1085+J1085+M1085+P1085</f>
        <v>0</v>
      </c>
      <c r="E1085" s="664">
        <f>Q1085+N1085+K1085+H1085</f>
        <v>0</v>
      </c>
      <c r="F1085" s="874" t="e">
        <f t="shared" si="126"/>
        <v>#DIV/0!</v>
      </c>
      <c r="G1085" s="767">
        <f>SUM(G1086:G1087)</f>
        <v>0</v>
      </c>
      <c r="H1085" s="569">
        <f>SUM(H1086:H1087)</f>
        <v>0</v>
      </c>
      <c r="I1085" s="743" t="e">
        <f t="shared" si="127"/>
        <v>#DIV/0!</v>
      </c>
      <c r="J1085" s="574"/>
      <c r="K1085" s="569"/>
      <c r="L1085" s="575"/>
      <c r="M1085" s="767"/>
      <c r="N1085" s="569"/>
      <c r="O1085" s="807"/>
      <c r="P1085" s="569"/>
      <c r="Q1085" s="569"/>
      <c r="R1085" s="743"/>
      <c r="S1085" s="564"/>
      <c r="T1085" s="564"/>
      <c r="U1085" s="564"/>
      <c r="V1085" s="564"/>
      <c r="W1085" s="565"/>
      <c r="X1085" s="565"/>
      <c r="Y1085" s="565"/>
      <c r="Z1085" s="565"/>
    </row>
    <row r="1086" spans="1:18" ht="60.75" hidden="1" thickTop="1">
      <c r="A1086" s="647">
        <v>2800</v>
      </c>
      <c r="B1086" s="651" t="s">
        <v>778</v>
      </c>
      <c r="C1086" s="603"/>
      <c r="D1086" s="615">
        <f>G1086+J1086+M1086+P1086</f>
        <v>0</v>
      </c>
      <c r="E1086" s="615">
        <f>Q1086+N1086+K1086+H1086</f>
        <v>0</v>
      </c>
      <c r="F1086" s="582" t="e">
        <f t="shared" si="126"/>
        <v>#DIV/0!</v>
      </c>
      <c r="G1086" s="603"/>
      <c r="H1086" s="581"/>
      <c r="I1086" s="582" t="e">
        <f t="shared" si="127"/>
        <v>#DIV/0!</v>
      </c>
      <c r="J1086" s="586"/>
      <c r="K1086" s="581"/>
      <c r="L1086" s="587"/>
      <c r="M1086" s="603"/>
      <c r="N1086" s="581"/>
      <c r="O1086" s="649"/>
      <c r="P1086" s="581"/>
      <c r="Q1086" s="581"/>
      <c r="R1086" s="629"/>
    </row>
    <row r="1087" spans="1:18" ht="24.75" hidden="1" thickTop="1">
      <c r="A1087" s="647">
        <v>4300</v>
      </c>
      <c r="B1087" s="651" t="s">
        <v>199</v>
      </c>
      <c r="C1087" s="603"/>
      <c r="D1087" s="581">
        <f>G1087+J1087+M1087+P1087</f>
        <v>0</v>
      </c>
      <c r="E1087" s="581">
        <f>Q1087+N1087+K1087+H1087</f>
        <v>0</v>
      </c>
      <c r="F1087" s="582" t="e">
        <f t="shared" si="126"/>
        <v>#DIV/0!</v>
      </c>
      <c r="G1087" s="603"/>
      <c r="H1087" s="581"/>
      <c r="I1087" s="629" t="e">
        <f t="shared" si="127"/>
        <v>#DIV/0!</v>
      </c>
      <c r="J1087" s="586"/>
      <c r="K1087" s="581"/>
      <c r="L1087" s="587"/>
      <c r="M1087" s="603"/>
      <c r="N1087" s="581"/>
      <c r="O1087" s="649"/>
      <c r="P1087" s="581"/>
      <c r="Q1087" s="581"/>
      <c r="R1087" s="629"/>
    </row>
    <row r="1088" spans="1:18" ht="25.5" customHeight="1" thickTop="1">
      <c r="A1088" s="640">
        <v>85149</v>
      </c>
      <c r="B1088" s="742" t="s">
        <v>779</v>
      </c>
      <c r="C1088" s="593">
        <f>SUM(C1089:C1091)</f>
        <v>515000</v>
      </c>
      <c r="D1088" s="595">
        <f>G1088+J1088+P1088+M1088</f>
        <v>515000</v>
      </c>
      <c r="E1088" s="594">
        <f>SUM(E1089:E1091)</f>
        <v>50000</v>
      </c>
      <c r="F1088" s="857">
        <f t="shared" si="126"/>
        <v>9.70873786407767</v>
      </c>
      <c r="G1088" s="593">
        <f>SUM(G1089:G1091)</f>
        <v>515000</v>
      </c>
      <c r="H1088" s="594">
        <f>SUM(H1089:H1091)</f>
        <v>50000</v>
      </c>
      <c r="I1088" s="751">
        <f t="shared" si="127"/>
        <v>9.70873786407767</v>
      </c>
      <c r="J1088" s="690"/>
      <c r="K1088" s="594"/>
      <c r="L1088" s="682"/>
      <c r="M1088" s="593"/>
      <c r="N1088" s="594"/>
      <c r="O1088" s="711"/>
      <c r="P1088" s="594"/>
      <c r="Q1088" s="594"/>
      <c r="R1088" s="646"/>
    </row>
    <row r="1089" spans="1:18" ht="24">
      <c r="A1089" s="667">
        <v>4210</v>
      </c>
      <c r="B1089" s="875" t="s">
        <v>191</v>
      </c>
      <c r="C1089" s="606">
        <v>5000</v>
      </c>
      <c r="D1089" s="615">
        <f>G1089+J1089+P1089+M1089</f>
        <v>5000</v>
      </c>
      <c r="E1089" s="615">
        <f>SUM(H1089+K1089+N1089+Q1089)</f>
        <v>0</v>
      </c>
      <c r="F1089" s="872">
        <f t="shared" si="126"/>
        <v>0</v>
      </c>
      <c r="G1089" s="606">
        <v>5000</v>
      </c>
      <c r="H1089" s="615"/>
      <c r="I1089" s="623">
        <f t="shared" si="127"/>
        <v>0</v>
      </c>
      <c r="J1089" s="618"/>
      <c r="K1089" s="615"/>
      <c r="L1089" s="619"/>
      <c r="M1089" s="606"/>
      <c r="N1089" s="615"/>
      <c r="O1089" s="686"/>
      <c r="P1089" s="615"/>
      <c r="Q1089" s="615"/>
      <c r="R1089" s="671"/>
    </row>
    <row r="1090" spans="1:18" ht="52.5" customHeight="1" hidden="1">
      <c r="A1090" s="647">
        <v>2570</v>
      </c>
      <c r="B1090" s="875" t="s">
        <v>780</v>
      </c>
      <c r="C1090" s="603"/>
      <c r="D1090" s="581">
        <f>G1090+J1090+P1090+M1090</f>
        <v>0</v>
      </c>
      <c r="E1090" s="581">
        <f>SUM(H1090+K1090+N1090+Q1090)</f>
        <v>0</v>
      </c>
      <c r="F1090" s="876"/>
      <c r="G1090" s="603"/>
      <c r="H1090" s="581"/>
      <c r="I1090" s="585"/>
      <c r="J1090" s="586"/>
      <c r="K1090" s="581"/>
      <c r="L1090" s="587"/>
      <c r="M1090" s="603"/>
      <c r="N1090" s="581"/>
      <c r="O1090" s="649"/>
      <c r="P1090" s="581"/>
      <c r="Q1090" s="581"/>
      <c r="R1090" s="653"/>
    </row>
    <row r="1091" spans="1:18" ht="16.5" customHeight="1">
      <c r="A1091" s="672">
        <v>4300</v>
      </c>
      <c r="B1091" s="877" t="s">
        <v>199</v>
      </c>
      <c r="C1091" s="674">
        <v>510000</v>
      </c>
      <c r="D1091" s="675">
        <f aca="true" t="shared" si="128" ref="D1091:D1126">G1091+J1091+P1091+M1091</f>
        <v>510000</v>
      </c>
      <c r="E1091" s="675">
        <f aca="true" t="shared" si="129" ref="E1091:E1099">SUM(H1091+K1091+N1091+Q1091)</f>
        <v>50000</v>
      </c>
      <c r="F1091" s="878">
        <f aca="true" t="shared" si="130" ref="F1091:F1154">E1091/D1091*100</f>
        <v>9.803921568627452</v>
      </c>
      <c r="G1091" s="674">
        <v>510000</v>
      </c>
      <c r="H1091" s="688">
        <v>50000</v>
      </c>
      <c r="I1091" s="710">
        <f>H1091/G1091*100</f>
        <v>9.803921568627452</v>
      </c>
      <c r="J1091" s="814"/>
      <c r="K1091" s="675"/>
      <c r="L1091" s="677"/>
      <c r="M1091" s="813"/>
      <c r="N1091" s="688"/>
      <c r="O1091" s="815"/>
      <c r="P1091" s="688"/>
      <c r="Q1091" s="688"/>
      <c r="R1091" s="816"/>
    </row>
    <row r="1092" spans="1:26" s="639" customFormat="1" ht="13.5" customHeight="1">
      <c r="A1092" s="640">
        <v>85153</v>
      </c>
      <c r="B1092" s="742" t="s">
        <v>781</v>
      </c>
      <c r="C1092" s="608">
        <f>SUM(C1093:C1099)</f>
        <v>150000</v>
      </c>
      <c r="D1092" s="595">
        <f t="shared" si="128"/>
        <v>150000</v>
      </c>
      <c r="E1092" s="595">
        <f t="shared" si="129"/>
        <v>17950</v>
      </c>
      <c r="F1092" s="857">
        <f t="shared" si="130"/>
        <v>11.966666666666667</v>
      </c>
      <c r="G1092" s="608">
        <f>SUM(G1093:G1099)</f>
        <v>150000</v>
      </c>
      <c r="H1092" s="595">
        <f>SUM(H1093:H1099)</f>
        <v>17950</v>
      </c>
      <c r="I1092" s="751">
        <f aca="true" t="shared" si="131" ref="I1092:I1148">H1092/G1092*100</f>
        <v>11.966666666666667</v>
      </c>
      <c r="J1092" s="600"/>
      <c r="K1092" s="595"/>
      <c r="L1092" s="601"/>
      <c r="M1092" s="608"/>
      <c r="N1092" s="595"/>
      <c r="O1092" s="645"/>
      <c r="P1092" s="595"/>
      <c r="Q1092" s="595"/>
      <c r="R1092" s="731"/>
      <c r="S1092" s="564"/>
      <c r="T1092" s="564"/>
      <c r="U1092" s="564"/>
      <c r="V1092" s="564"/>
      <c r="W1092" s="565"/>
      <c r="X1092" s="565"/>
      <c r="Y1092" s="565"/>
      <c r="Z1092" s="565"/>
    </row>
    <row r="1093" spans="1:18" ht="72" customHeight="1" hidden="1">
      <c r="A1093" s="879">
        <v>2620</v>
      </c>
      <c r="B1093" s="668" t="s">
        <v>535</v>
      </c>
      <c r="C1093" s="606"/>
      <c r="D1093" s="615">
        <f t="shared" si="128"/>
        <v>0</v>
      </c>
      <c r="E1093" s="615">
        <f t="shared" si="129"/>
        <v>0</v>
      </c>
      <c r="F1093" s="872" t="e">
        <f t="shared" si="130"/>
        <v>#DIV/0!</v>
      </c>
      <c r="G1093" s="606">
        <f>3000-3000</f>
        <v>0</v>
      </c>
      <c r="H1093" s="615">
        <f>3000-3000</f>
        <v>0</v>
      </c>
      <c r="I1093" s="623" t="e">
        <f t="shared" si="131"/>
        <v>#DIV/0!</v>
      </c>
      <c r="J1093" s="618"/>
      <c r="K1093" s="615"/>
      <c r="L1093" s="619"/>
      <c r="M1093" s="606"/>
      <c r="N1093" s="615"/>
      <c r="O1093" s="686"/>
      <c r="P1093" s="615"/>
      <c r="Q1093" s="615"/>
      <c r="R1093" s="671"/>
    </row>
    <row r="1094" spans="1:18" ht="96" hidden="1">
      <c r="A1094" s="647">
        <v>2570</v>
      </c>
      <c r="B1094" s="875" t="s">
        <v>782</v>
      </c>
      <c r="C1094" s="603"/>
      <c r="D1094" s="581">
        <f t="shared" si="128"/>
        <v>0</v>
      </c>
      <c r="E1094" s="581">
        <f t="shared" si="129"/>
        <v>0</v>
      </c>
      <c r="F1094" s="864" t="e">
        <f t="shared" si="130"/>
        <v>#DIV/0!</v>
      </c>
      <c r="G1094" s="603"/>
      <c r="H1094" s="581"/>
      <c r="I1094" s="629" t="e">
        <f t="shared" si="131"/>
        <v>#DIV/0!</v>
      </c>
      <c r="J1094" s="586"/>
      <c r="K1094" s="581"/>
      <c r="L1094" s="587"/>
      <c r="M1094" s="603"/>
      <c r="N1094" s="581"/>
      <c r="O1094" s="649"/>
      <c r="P1094" s="581"/>
      <c r="Q1094" s="581"/>
      <c r="R1094" s="653"/>
    </row>
    <row r="1095" spans="1:18" ht="61.5" customHeight="1">
      <c r="A1095" s="739">
        <v>2820</v>
      </c>
      <c r="B1095" s="651" t="s">
        <v>593</v>
      </c>
      <c r="C1095" s="603">
        <v>100000</v>
      </c>
      <c r="D1095" s="581">
        <f t="shared" si="128"/>
        <v>100000</v>
      </c>
      <c r="E1095" s="581">
        <f t="shared" si="129"/>
        <v>17950</v>
      </c>
      <c r="F1095" s="864">
        <f t="shared" si="130"/>
        <v>17.95</v>
      </c>
      <c r="G1095" s="603">
        <v>100000</v>
      </c>
      <c r="H1095" s="581">
        <v>17950</v>
      </c>
      <c r="I1095" s="582">
        <f t="shared" si="131"/>
        <v>17.95</v>
      </c>
      <c r="J1095" s="586"/>
      <c r="K1095" s="581"/>
      <c r="L1095" s="587"/>
      <c r="M1095" s="603"/>
      <c r="N1095" s="581"/>
      <c r="O1095" s="649"/>
      <c r="P1095" s="581"/>
      <c r="Q1095" s="581"/>
      <c r="R1095" s="653"/>
    </row>
    <row r="1096" spans="1:18" ht="48" hidden="1">
      <c r="A1096" s="647">
        <v>6060</v>
      </c>
      <c r="B1096" s="651" t="s">
        <v>628</v>
      </c>
      <c r="C1096" s="603"/>
      <c r="D1096" s="581">
        <f t="shared" si="128"/>
        <v>0</v>
      </c>
      <c r="E1096" s="581">
        <f t="shared" si="129"/>
        <v>0</v>
      </c>
      <c r="F1096" s="864" t="e">
        <f t="shared" si="130"/>
        <v>#DIV/0!</v>
      </c>
      <c r="G1096" s="603"/>
      <c r="H1096" s="581"/>
      <c r="I1096" s="582" t="e">
        <f t="shared" si="131"/>
        <v>#DIV/0!</v>
      </c>
      <c r="J1096" s="586"/>
      <c r="K1096" s="581"/>
      <c r="L1096" s="587"/>
      <c r="M1096" s="603"/>
      <c r="N1096" s="581"/>
      <c r="O1096" s="649"/>
      <c r="P1096" s="581"/>
      <c r="Q1096" s="581"/>
      <c r="R1096" s="653"/>
    </row>
    <row r="1097" spans="1:18" ht="24">
      <c r="A1097" s="647">
        <v>3000</v>
      </c>
      <c r="B1097" s="651" t="s">
        <v>699</v>
      </c>
      <c r="C1097" s="603">
        <v>15000</v>
      </c>
      <c r="D1097" s="581">
        <f t="shared" si="128"/>
        <v>15000</v>
      </c>
      <c r="E1097" s="581">
        <f t="shared" si="129"/>
        <v>0</v>
      </c>
      <c r="F1097" s="864">
        <f t="shared" si="130"/>
        <v>0</v>
      </c>
      <c r="G1097" s="603">
        <v>15000</v>
      </c>
      <c r="H1097" s="581"/>
      <c r="I1097" s="582">
        <f t="shared" si="131"/>
        <v>0</v>
      </c>
      <c r="J1097" s="586"/>
      <c r="K1097" s="581"/>
      <c r="L1097" s="587"/>
      <c r="M1097" s="603"/>
      <c r="N1097" s="581"/>
      <c r="O1097" s="649"/>
      <c r="P1097" s="581"/>
      <c r="Q1097" s="581"/>
      <c r="R1097" s="653"/>
    </row>
    <row r="1098" spans="1:18" ht="24">
      <c r="A1098" s="647">
        <v>4210</v>
      </c>
      <c r="B1098" s="651" t="s">
        <v>191</v>
      </c>
      <c r="C1098" s="603">
        <v>5000</v>
      </c>
      <c r="D1098" s="581">
        <f t="shared" si="128"/>
        <v>5000</v>
      </c>
      <c r="E1098" s="581">
        <f t="shared" si="129"/>
        <v>0</v>
      </c>
      <c r="F1098" s="864">
        <f t="shared" si="130"/>
        <v>0</v>
      </c>
      <c r="G1098" s="603">
        <v>5000</v>
      </c>
      <c r="H1098" s="581"/>
      <c r="I1098" s="582">
        <f t="shared" si="131"/>
        <v>0</v>
      </c>
      <c r="J1098" s="586"/>
      <c r="K1098" s="581"/>
      <c r="L1098" s="587"/>
      <c r="M1098" s="603"/>
      <c r="N1098" s="581"/>
      <c r="O1098" s="649"/>
      <c r="P1098" s="581"/>
      <c r="Q1098" s="581"/>
      <c r="R1098" s="653"/>
    </row>
    <row r="1099" spans="1:18" ht="12.75" customHeight="1">
      <c r="A1099" s="647">
        <v>4300</v>
      </c>
      <c r="B1099" s="651" t="s">
        <v>199</v>
      </c>
      <c r="C1099" s="603">
        <v>30000</v>
      </c>
      <c r="D1099" s="581">
        <f t="shared" si="128"/>
        <v>30000</v>
      </c>
      <c r="E1099" s="581">
        <f t="shared" si="129"/>
        <v>0</v>
      </c>
      <c r="F1099" s="864">
        <f t="shared" si="130"/>
        <v>0</v>
      </c>
      <c r="G1099" s="603">
        <v>30000</v>
      </c>
      <c r="H1099" s="581"/>
      <c r="I1099" s="582">
        <f t="shared" si="131"/>
        <v>0</v>
      </c>
      <c r="J1099" s="586"/>
      <c r="K1099" s="581"/>
      <c r="L1099" s="587"/>
      <c r="M1099" s="603"/>
      <c r="N1099" s="581"/>
      <c r="O1099" s="649"/>
      <c r="P1099" s="581"/>
      <c r="Q1099" s="581"/>
      <c r="R1099" s="653"/>
    </row>
    <row r="1100" spans="1:18" ht="24" customHeight="1">
      <c r="A1100" s="640">
        <v>85154</v>
      </c>
      <c r="B1100" s="742" t="s">
        <v>783</v>
      </c>
      <c r="C1100" s="608">
        <f>SUM(C1101:C1120)</f>
        <v>2184000</v>
      </c>
      <c r="D1100" s="595">
        <f t="shared" si="128"/>
        <v>2184000</v>
      </c>
      <c r="E1100" s="595">
        <f>H1100+K1100+Q1100+N1100</f>
        <v>529286</v>
      </c>
      <c r="F1100" s="857">
        <f t="shared" si="130"/>
        <v>24.23470695970696</v>
      </c>
      <c r="G1100" s="608">
        <f>SUM(G1101:G1120)</f>
        <v>2184000</v>
      </c>
      <c r="H1100" s="595">
        <f>SUM(H1101:H1120)</f>
        <v>529286</v>
      </c>
      <c r="I1100" s="751">
        <f t="shared" si="131"/>
        <v>24.23470695970696</v>
      </c>
      <c r="J1100" s="600"/>
      <c r="K1100" s="595"/>
      <c r="L1100" s="601"/>
      <c r="M1100" s="608"/>
      <c r="N1100" s="595"/>
      <c r="O1100" s="645"/>
      <c r="P1100" s="595"/>
      <c r="Q1100" s="595"/>
      <c r="R1100" s="731"/>
    </row>
    <row r="1101" spans="1:18" ht="48" hidden="1">
      <c r="A1101" s="667">
        <v>2480</v>
      </c>
      <c r="B1101" s="668" t="s">
        <v>766</v>
      </c>
      <c r="C1101" s="606"/>
      <c r="D1101" s="615">
        <f t="shared" si="128"/>
        <v>0</v>
      </c>
      <c r="E1101" s="615">
        <f aca="true" t="shared" si="132" ref="E1101:E1120">SUM(H1101+K1101+N1101+Q1101)</f>
        <v>0</v>
      </c>
      <c r="F1101" s="872" t="e">
        <f t="shared" si="130"/>
        <v>#DIV/0!</v>
      </c>
      <c r="G1101" s="606"/>
      <c r="H1101" s="615"/>
      <c r="I1101" s="623" t="e">
        <f t="shared" si="131"/>
        <v>#DIV/0!</v>
      </c>
      <c r="J1101" s="618"/>
      <c r="K1101" s="615"/>
      <c r="L1101" s="619"/>
      <c r="M1101" s="606"/>
      <c r="N1101" s="615"/>
      <c r="O1101" s="686"/>
      <c r="P1101" s="615"/>
      <c r="Q1101" s="615"/>
      <c r="R1101" s="671"/>
    </row>
    <row r="1102" spans="1:18" ht="61.5" customHeight="1">
      <c r="A1102" s="647">
        <v>2820</v>
      </c>
      <c r="B1102" s="651" t="s">
        <v>593</v>
      </c>
      <c r="C1102" s="603">
        <v>1000000</v>
      </c>
      <c r="D1102" s="581">
        <f t="shared" si="128"/>
        <v>1000000</v>
      </c>
      <c r="E1102" s="581">
        <f t="shared" si="132"/>
        <v>298066</v>
      </c>
      <c r="F1102" s="864">
        <f t="shared" si="130"/>
        <v>29.8066</v>
      </c>
      <c r="G1102" s="603">
        <v>1000000</v>
      </c>
      <c r="H1102" s="581">
        <v>298066</v>
      </c>
      <c r="I1102" s="582">
        <f t="shared" si="131"/>
        <v>29.8066</v>
      </c>
      <c r="J1102" s="586"/>
      <c r="K1102" s="581"/>
      <c r="L1102" s="587"/>
      <c r="M1102" s="603"/>
      <c r="N1102" s="581"/>
      <c r="O1102" s="649"/>
      <c r="P1102" s="581"/>
      <c r="Q1102" s="581"/>
      <c r="R1102" s="653"/>
    </row>
    <row r="1103" spans="1:18" ht="25.5" customHeight="1">
      <c r="A1103" s="647">
        <v>3000</v>
      </c>
      <c r="B1103" s="651" t="s">
        <v>699</v>
      </c>
      <c r="C1103" s="603">
        <v>55000</v>
      </c>
      <c r="D1103" s="581">
        <f t="shared" si="128"/>
        <v>55000</v>
      </c>
      <c r="E1103" s="581">
        <f t="shared" si="132"/>
        <v>0</v>
      </c>
      <c r="F1103" s="864">
        <f t="shared" si="130"/>
        <v>0</v>
      </c>
      <c r="G1103" s="603">
        <v>55000</v>
      </c>
      <c r="H1103" s="581"/>
      <c r="I1103" s="582">
        <f t="shared" si="131"/>
        <v>0</v>
      </c>
      <c r="J1103" s="586"/>
      <c r="K1103" s="581"/>
      <c r="L1103" s="587"/>
      <c r="M1103" s="603"/>
      <c r="N1103" s="581"/>
      <c r="O1103" s="649"/>
      <c r="P1103" s="581"/>
      <c r="Q1103" s="581"/>
      <c r="R1103" s="653"/>
    </row>
    <row r="1104" spans="1:18" ht="25.5" customHeight="1">
      <c r="A1104" s="647">
        <v>4110</v>
      </c>
      <c r="B1104" s="651" t="s">
        <v>187</v>
      </c>
      <c r="C1104" s="603"/>
      <c r="D1104" s="581">
        <f>G1104+J1104+P1104+M1104</f>
        <v>1647</v>
      </c>
      <c r="E1104" s="581">
        <f t="shared" si="132"/>
        <v>0</v>
      </c>
      <c r="F1104" s="864">
        <f>E1104/D1104*100</f>
        <v>0</v>
      </c>
      <c r="G1104" s="603">
        <v>1647</v>
      </c>
      <c r="H1104" s="581"/>
      <c r="I1104" s="582">
        <f t="shared" si="131"/>
        <v>0</v>
      </c>
      <c r="J1104" s="586"/>
      <c r="K1104" s="581"/>
      <c r="L1104" s="587"/>
      <c r="M1104" s="603"/>
      <c r="N1104" s="581"/>
      <c r="O1104" s="649"/>
      <c r="P1104" s="581"/>
      <c r="Q1104" s="581"/>
      <c r="R1104" s="653"/>
    </row>
    <row r="1105" spans="1:18" ht="12.75">
      <c r="A1105" s="647">
        <v>4120</v>
      </c>
      <c r="B1105" s="651" t="s">
        <v>619</v>
      </c>
      <c r="C1105" s="603"/>
      <c r="D1105" s="581">
        <f>G1105+J1105+P1105+M1105</f>
        <v>245</v>
      </c>
      <c r="E1105" s="581">
        <f t="shared" si="132"/>
        <v>0</v>
      </c>
      <c r="F1105" s="864">
        <f>E1105/D1105*100</f>
        <v>0</v>
      </c>
      <c r="G1105" s="603">
        <v>245</v>
      </c>
      <c r="H1105" s="581"/>
      <c r="I1105" s="582">
        <f t="shared" si="131"/>
        <v>0</v>
      </c>
      <c r="J1105" s="586"/>
      <c r="K1105" s="581"/>
      <c r="L1105" s="587"/>
      <c r="M1105" s="603"/>
      <c r="N1105" s="581"/>
      <c r="O1105" s="649"/>
      <c r="P1105" s="581"/>
      <c r="Q1105" s="581"/>
      <c r="R1105" s="653"/>
    </row>
    <row r="1106" spans="1:18" ht="24.75" customHeight="1">
      <c r="A1106" s="647">
        <v>4170</v>
      </c>
      <c r="B1106" s="651" t="s">
        <v>221</v>
      </c>
      <c r="C1106" s="603">
        <v>60000</v>
      </c>
      <c r="D1106" s="581">
        <f>G1106+J1106+P1106+M1106</f>
        <v>68200</v>
      </c>
      <c r="E1106" s="581">
        <f t="shared" si="132"/>
        <v>9500</v>
      </c>
      <c r="F1106" s="864">
        <f>E1106/D1106*100</f>
        <v>13.929618768328444</v>
      </c>
      <c r="G1106" s="603">
        <f>60000+8200</f>
        <v>68200</v>
      </c>
      <c r="H1106" s="581">
        <v>9500</v>
      </c>
      <c r="I1106" s="629">
        <f t="shared" si="131"/>
        <v>13.929618768328444</v>
      </c>
      <c r="J1106" s="586"/>
      <c r="K1106" s="581"/>
      <c r="L1106" s="587"/>
      <c r="M1106" s="603"/>
      <c r="N1106" s="581"/>
      <c r="O1106" s="649"/>
      <c r="P1106" s="581"/>
      <c r="Q1106" s="581"/>
      <c r="R1106" s="653"/>
    </row>
    <row r="1107" spans="1:18" ht="24" customHeight="1">
      <c r="A1107" s="647">
        <v>4210</v>
      </c>
      <c r="B1107" s="651" t="s">
        <v>191</v>
      </c>
      <c r="C1107" s="603">
        <v>100000</v>
      </c>
      <c r="D1107" s="581">
        <f t="shared" si="128"/>
        <v>114000</v>
      </c>
      <c r="E1107" s="581">
        <f t="shared" si="132"/>
        <v>42426</v>
      </c>
      <c r="F1107" s="864">
        <f t="shared" si="130"/>
        <v>37.21578947368421</v>
      </c>
      <c r="G1107" s="603">
        <f>100000+14000</f>
        <v>114000</v>
      </c>
      <c r="H1107" s="581">
        <f>42425+1</f>
        <v>42426</v>
      </c>
      <c r="I1107" s="582">
        <f t="shared" si="131"/>
        <v>37.21578947368421</v>
      </c>
      <c r="J1107" s="586"/>
      <c r="K1107" s="581"/>
      <c r="L1107" s="587"/>
      <c r="M1107" s="603"/>
      <c r="N1107" s="581"/>
      <c r="O1107" s="649"/>
      <c r="P1107" s="581"/>
      <c r="Q1107" s="581"/>
      <c r="R1107" s="653"/>
    </row>
    <row r="1108" spans="1:18" ht="14.25" customHeight="1">
      <c r="A1108" s="647">
        <v>4220</v>
      </c>
      <c r="B1108" s="651" t="s">
        <v>710</v>
      </c>
      <c r="C1108" s="603">
        <v>18000</v>
      </c>
      <c r="D1108" s="581">
        <f>G1108+J1108+P1108+M1108</f>
        <v>18000</v>
      </c>
      <c r="E1108" s="581">
        <f t="shared" si="132"/>
        <v>8000</v>
      </c>
      <c r="F1108" s="864">
        <f>E1108/D1108*100</f>
        <v>44.44444444444444</v>
      </c>
      <c r="G1108" s="603">
        <v>18000</v>
      </c>
      <c r="H1108" s="581">
        <v>8000</v>
      </c>
      <c r="I1108" s="629">
        <f t="shared" si="131"/>
        <v>44.44444444444444</v>
      </c>
      <c r="J1108" s="586"/>
      <c r="K1108" s="581"/>
      <c r="L1108" s="587"/>
      <c r="M1108" s="603"/>
      <c r="N1108" s="581"/>
      <c r="O1108" s="649"/>
      <c r="P1108" s="581"/>
      <c r="Q1108" s="581"/>
      <c r="R1108" s="653"/>
    </row>
    <row r="1109" spans="1:18" ht="26.25" customHeight="1">
      <c r="A1109" s="647">
        <v>4240</v>
      </c>
      <c r="B1109" s="651" t="s">
        <v>608</v>
      </c>
      <c r="C1109" s="603">
        <v>10000</v>
      </c>
      <c r="D1109" s="581">
        <f t="shared" si="128"/>
        <v>10000</v>
      </c>
      <c r="E1109" s="581">
        <f t="shared" si="132"/>
        <v>0</v>
      </c>
      <c r="F1109" s="864">
        <f t="shared" si="130"/>
        <v>0</v>
      </c>
      <c r="G1109" s="603">
        <v>10000</v>
      </c>
      <c r="H1109" s="581"/>
      <c r="I1109" s="629">
        <f t="shared" si="131"/>
        <v>0</v>
      </c>
      <c r="J1109" s="586"/>
      <c r="K1109" s="581"/>
      <c r="L1109" s="587"/>
      <c r="M1109" s="603"/>
      <c r="N1109" s="581"/>
      <c r="O1109" s="649"/>
      <c r="P1109" s="581"/>
      <c r="Q1109" s="581"/>
      <c r="R1109" s="653"/>
    </row>
    <row r="1110" spans="1:18" ht="17.25" customHeight="1">
      <c r="A1110" s="647">
        <v>4270</v>
      </c>
      <c r="B1110" s="651" t="s">
        <v>197</v>
      </c>
      <c r="C1110" s="603">
        <v>150000</v>
      </c>
      <c r="D1110" s="581">
        <f t="shared" si="128"/>
        <v>128400</v>
      </c>
      <c r="E1110" s="581">
        <f t="shared" si="132"/>
        <v>0</v>
      </c>
      <c r="F1110" s="864">
        <f>E1110/D1110*100</f>
        <v>0</v>
      </c>
      <c r="G1110" s="603">
        <f>150000-21600</f>
        <v>128400</v>
      </c>
      <c r="H1110" s="581"/>
      <c r="I1110" s="582">
        <f t="shared" si="131"/>
        <v>0</v>
      </c>
      <c r="J1110" s="586"/>
      <c r="K1110" s="581"/>
      <c r="L1110" s="587"/>
      <c r="M1110" s="603"/>
      <c r="N1110" s="581"/>
      <c r="O1110" s="649"/>
      <c r="P1110" s="581"/>
      <c r="Q1110" s="581"/>
      <c r="R1110" s="653"/>
    </row>
    <row r="1111" spans="1:18" ht="13.5" customHeight="1">
      <c r="A1111" s="647">
        <v>4300</v>
      </c>
      <c r="B1111" s="651" t="s">
        <v>199</v>
      </c>
      <c r="C1111" s="603">
        <v>684000</v>
      </c>
      <c r="D1111" s="581">
        <f t="shared" si="128"/>
        <v>672400</v>
      </c>
      <c r="E1111" s="581">
        <f t="shared" si="132"/>
        <v>170124</v>
      </c>
      <c r="F1111" s="864">
        <f t="shared" si="130"/>
        <v>25.301011302795956</v>
      </c>
      <c r="G1111" s="603">
        <f>684000-11600</f>
        <v>672400</v>
      </c>
      <c r="H1111" s="581">
        <v>170124</v>
      </c>
      <c r="I1111" s="629">
        <f t="shared" si="131"/>
        <v>25.301011302795956</v>
      </c>
      <c r="J1111" s="586"/>
      <c r="K1111" s="581"/>
      <c r="L1111" s="587"/>
      <c r="M1111" s="603"/>
      <c r="N1111" s="581"/>
      <c r="O1111" s="649"/>
      <c r="P1111" s="581"/>
      <c r="Q1111" s="581"/>
      <c r="R1111" s="653"/>
    </row>
    <row r="1112" spans="1:18" ht="38.25" customHeight="1">
      <c r="A1112" s="647">
        <v>4390</v>
      </c>
      <c r="B1112" s="651" t="s">
        <v>222</v>
      </c>
      <c r="C1112" s="603">
        <v>20000</v>
      </c>
      <c r="D1112" s="581">
        <f>G1112+J1112+P1112+M1112</f>
        <v>20000</v>
      </c>
      <c r="E1112" s="581">
        <f t="shared" si="132"/>
        <v>0</v>
      </c>
      <c r="F1112" s="864"/>
      <c r="G1112" s="603">
        <v>20000</v>
      </c>
      <c r="H1112" s="581"/>
      <c r="I1112" s="629">
        <f t="shared" si="131"/>
        <v>0</v>
      </c>
      <c r="J1112" s="586"/>
      <c r="K1112" s="581"/>
      <c r="L1112" s="587"/>
      <c r="M1112" s="603"/>
      <c r="N1112" s="581"/>
      <c r="O1112" s="649"/>
      <c r="P1112" s="581"/>
      <c r="Q1112" s="581"/>
      <c r="R1112" s="653"/>
    </row>
    <row r="1113" spans="1:18" ht="13.5" customHeight="1">
      <c r="A1113" s="647">
        <v>4410</v>
      </c>
      <c r="B1113" s="651" t="s">
        <v>173</v>
      </c>
      <c r="C1113" s="603">
        <v>2000</v>
      </c>
      <c r="D1113" s="581">
        <f t="shared" si="128"/>
        <v>2000</v>
      </c>
      <c r="E1113" s="581">
        <f t="shared" si="132"/>
        <v>0</v>
      </c>
      <c r="F1113" s="864">
        <f t="shared" si="130"/>
        <v>0</v>
      </c>
      <c r="G1113" s="603">
        <v>2000</v>
      </c>
      <c r="H1113" s="581"/>
      <c r="I1113" s="582">
        <f t="shared" si="131"/>
        <v>0</v>
      </c>
      <c r="J1113" s="586"/>
      <c r="K1113" s="581"/>
      <c r="L1113" s="587"/>
      <c r="M1113" s="603"/>
      <c r="N1113" s="581"/>
      <c r="O1113" s="649"/>
      <c r="P1113" s="581"/>
      <c r="Q1113" s="581"/>
      <c r="R1113" s="653"/>
    </row>
    <row r="1114" spans="1:18" ht="13.5" customHeight="1" hidden="1">
      <c r="A1114" s="647">
        <v>4430</v>
      </c>
      <c r="B1114" s="651" t="s">
        <v>201</v>
      </c>
      <c r="C1114" s="603"/>
      <c r="D1114" s="581">
        <f t="shared" si="128"/>
        <v>0</v>
      </c>
      <c r="E1114" s="581">
        <f t="shared" si="132"/>
        <v>0</v>
      </c>
      <c r="F1114" s="864" t="e">
        <f t="shared" si="130"/>
        <v>#DIV/0!</v>
      </c>
      <c r="G1114" s="603"/>
      <c r="H1114" s="581"/>
      <c r="I1114" s="582" t="e">
        <f t="shared" si="131"/>
        <v>#DIV/0!</v>
      </c>
      <c r="J1114" s="586"/>
      <c r="K1114" s="581"/>
      <c r="L1114" s="587"/>
      <c r="M1114" s="603"/>
      <c r="N1114" s="581"/>
      <c r="O1114" s="649"/>
      <c r="P1114" s="581"/>
      <c r="Q1114" s="581"/>
      <c r="R1114" s="653"/>
    </row>
    <row r="1115" spans="1:18" ht="26.25" customHeight="1">
      <c r="A1115" s="647">
        <v>4610</v>
      </c>
      <c r="B1115" s="651" t="s">
        <v>784</v>
      </c>
      <c r="C1115" s="603">
        <v>3000</v>
      </c>
      <c r="D1115" s="581">
        <f>G1115+J1115+P1115+M1115</f>
        <v>3000</v>
      </c>
      <c r="E1115" s="581">
        <f t="shared" si="132"/>
        <v>240</v>
      </c>
      <c r="F1115" s="864">
        <f>E1115/D1115*100</f>
        <v>8</v>
      </c>
      <c r="G1115" s="603">
        <v>3000</v>
      </c>
      <c r="H1115" s="581">
        <v>240</v>
      </c>
      <c r="I1115" s="582">
        <f t="shared" si="131"/>
        <v>8</v>
      </c>
      <c r="J1115" s="586"/>
      <c r="K1115" s="581"/>
      <c r="L1115" s="587"/>
      <c r="M1115" s="603"/>
      <c r="N1115" s="581"/>
      <c r="O1115" s="649"/>
      <c r="P1115" s="581"/>
      <c r="Q1115" s="581"/>
      <c r="R1115" s="653"/>
    </row>
    <row r="1116" spans="1:18" ht="36" customHeight="1">
      <c r="A1116" s="647">
        <v>4700</v>
      </c>
      <c r="B1116" s="712" t="s">
        <v>588</v>
      </c>
      <c r="C1116" s="603">
        <v>4000</v>
      </c>
      <c r="D1116" s="581">
        <f>G1116+J1116+P1116+M1116</f>
        <v>4000</v>
      </c>
      <c r="E1116" s="581">
        <f t="shared" si="132"/>
        <v>0</v>
      </c>
      <c r="F1116" s="864">
        <f>E1116/D1116*100</f>
        <v>0</v>
      </c>
      <c r="G1116" s="603">
        <v>4000</v>
      </c>
      <c r="H1116" s="581"/>
      <c r="I1116" s="582">
        <f t="shared" si="131"/>
        <v>0</v>
      </c>
      <c r="J1116" s="586"/>
      <c r="K1116" s="581"/>
      <c r="L1116" s="587"/>
      <c r="M1116" s="603"/>
      <c r="N1116" s="581"/>
      <c r="O1116" s="649"/>
      <c r="P1116" s="581"/>
      <c r="Q1116" s="581"/>
      <c r="R1116" s="653"/>
    </row>
    <row r="1117" spans="1:18" ht="52.5" customHeight="1">
      <c r="A1117" s="647">
        <v>4740</v>
      </c>
      <c r="B1117" s="712" t="s">
        <v>215</v>
      </c>
      <c r="C1117" s="603">
        <v>500</v>
      </c>
      <c r="D1117" s="581">
        <f>G1117+J1117+P1117+M1117</f>
        <v>1008</v>
      </c>
      <c r="E1117" s="581">
        <f t="shared" si="132"/>
        <v>350</v>
      </c>
      <c r="F1117" s="864">
        <f>E1117/D1117*100</f>
        <v>34.72222222222222</v>
      </c>
      <c r="G1117" s="603">
        <f>500+508</f>
        <v>1008</v>
      </c>
      <c r="H1117" s="581">
        <v>350</v>
      </c>
      <c r="I1117" s="582">
        <f t="shared" si="131"/>
        <v>34.72222222222222</v>
      </c>
      <c r="J1117" s="586"/>
      <c r="K1117" s="581"/>
      <c r="L1117" s="587"/>
      <c r="M1117" s="603"/>
      <c r="N1117" s="581"/>
      <c r="O1117" s="649"/>
      <c r="P1117" s="581"/>
      <c r="Q1117" s="581"/>
      <c r="R1117" s="653"/>
    </row>
    <row r="1118" spans="1:18" ht="36">
      <c r="A1118" s="647">
        <v>4750</v>
      </c>
      <c r="B1118" s="712" t="s">
        <v>589</v>
      </c>
      <c r="C1118" s="603">
        <v>500</v>
      </c>
      <c r="D1118" s="581">
        <f>G1118+J1118+P1118+M1118</f>
        <v>1500</v>
      </c>
      <c r="E1118" s="581">
        <f t="shared" si="132"/>
        <v>580</v>
      </c>
      <c r="F1118" s="864">
        <f>E1118/D1118*100</f>
        <v>38.666666666666664</v>
      </c>
      <c r="G1118" s="603">
        <f>500+1000</f>
        <v>1500</v>
      </c>
      <c r="H1118" s="581">
        <v>580</v>
      </c>
      <c r="I1118" s="582">
        <f t="shared" si="131"/>
        <v>38.666666666666664</v>
      </c>
      <c r="J1118" s="586"/>
      <c r="K1118" s="581"/>
      <c r="L1118" s="587"/>
      <c r="M1118" s="603"/>
      <c r="N1118" s="581"/>
      <c r="O1118" s="649"/>
      <c r="P1118" s="581"/>
      <c r="Q1118" s="581"/>
      <c r="R1118" s="653"/>
    </row>
    <row r="1119" spans="1:18" ht="41.25" customHeight="1">
      <c r="A1119" s="647">
        <v>6060</v>
      </c>
      <c r="B1119" s="712" t="s">
        <v>590</v>
      </c>
      <c r="C1119" s="603">
        <v>10000</v>
      </c>
      <c r="D1119" s="581">
        <f>G1119+J1119+P1119+M1119</f>
        <v>50000</v>
      </c>
      <c r="E1119" s="581">
        <f t="shared" si="132"/>
        <v>0</v>
      </c>
      <c r="F1119" s="864">
        <f>E1119/D1119*100</f>
        <v>0</v>
      </c>
      <c r="G1119" s="603">
        <f>10000+40000</f>
        <v>50000</v>
      </c>
      <c r="H1119" s="581"/>
      <c r="I1119" s="582">
        <f t="shared" si="131"/>
        <v>0</v>
      </c>
      <c r="J1119" s="586"/>
      <c r="K1119" s="581"/>
      <c r="L1119" s="587"/>
      <c r="M1119" s="603"/>
      <c r="N1119" s="581"/>
      <c r="O1119" s="649"/>
      <c r="P1119" s="581"/>
      <c r="Q1119" s="581"/>
      <c r="R1119" s="653"/>
    </row>
    <row r="1120" spans="1:18" ht="24.75" customHeight="1">
      <c r="A1120" s="672">
        <v>6050</v>
      </c>
      <c r="B1120" s="687" t="s">
        <v>245</v>
      </c>
      <c r="C1120" s="674">
        <v>67000</v>
      </c>
      <c r="D1120" s="675">
        <f t="shared" si="128"/>
        <v>34600</v>
      </c>
      <c r="E1120" s="675">
        <f t="shared" si="132"/>
        <v>0</v>
      </c>
      <c r="F1120" s="878">
        <f t="shared" si="130"/>
        <v>0</v>
      </c>
      <c r="G1120" s="674">
        <f>67000-32400</f>
        <v>34600</v>
      </c>
      <c r="H1120" s="675"/>
      <c r="I1120" s="643">
        <f t="shared" si="131"/>
        <v>0</v>
      </c>
      <c r="J1120" s="676"/>
      <c r="K1120" s="675"/>
      <c r="L1120" s="677"/>
      <c r="M1120" s="674"/>
      <c r="N1120" s="675"/>
      <c r="O1120" s="689"/>
      <c r="P1120" s="675"/>
      <c r="Q1120" s="675"/>
      <c r="R1120" s="680"/>
    </row>
    <row r="1121" spans="1:26" s="639" customFormat="1" ht="75.75" customHeight="1">
      <c r="A1121" s="640">
        <v>85156</v>
      </c>
      <c r="B1121" s="742" t="s">
        <v>785</v>
      </c>
      <c r="C1121" s="608">
        <f>SUM(C1122)</f>
        <v>15000</v>
      </c>
      <c r="D1121" s="595">
        <f t="shared" si="128"/>
        <v>15000</v>
      </c>
      <c r="E1121" s="595">
        <f>SUM(E1122)</f>
        <v>2527</v>
      </c>
      <c r="F1121" s="857">
        <f>E1121/D1121*100</f>
        <v>16.846666666666664</v>
      </c>
      <c r="G1121" s="608"/>
      <c r="H1121" s="595"/>
      <c r="I1121" s="731"/>
      <c r="J1121" s="600"/>
      <c r="K1121" s="595"/>
      <c r="L1121" s="601"/>
      <c r="M1121" s="608"/>
      <c r="N1121" s="595"/>
      <c r="O1121" s="737"/>
      <c r="P1121" s="595">
        <f>SUM(P1122)</f>
        <v>15000</v>
      </c>
      <c r="Q1121" s="595">
        <f>SUM(Q1122)</f>
        <v>2527</v>
      </c>
      <c r="R1121" s="624">
        <f>Q1121/P1121*100</f>
        <v>16.846666666666664</v>
      </c>
      <c r="S1121" s="564"/>
      <c r="T1121" s="564"/>
      <c r="U1121" s="564"/>
      <c r="V1121" s="564"/>
      <c r="W1121" s="565"/>
      <c r="X1121" s="565"/>
      <c r="Y1121" s="565"/>
      <c r="Z1121" s="565"/>
    </row>
    <row r="1122" spans="1:26" s="639" customFormat="1" ht="23.25" customHeight="1">
      <c r="A1122" s="647">
        <v>4130</v>
      </c>
      <c r="B1122" s="651" t="s">
        <v>741</v>
      </c>
      <c r="C1122" s="603">
        <v>15000</v>
      </c>
      <c r="D1122" s="581">
        <f t="shared" si="128"/>
        <v>15000</v>
      </c>
      <c r="E1122" s="581">
        <f>SUM(H1122+K1122+N1122+Q1122)</f>
        <v>2527</v>
      </c>
      <c r="F1122" s="864">
        <f>E1122/D1122*100</f>
        <v>16.846666666666664</v>
      </c>
      <c r="G1122" s="603"/>
      <c r="H1122" s="581"/>
      <c r="I1122" s="653"/>
      <c r="J1122" s="586"/>
      <c r="K1122" s="581"/>
      <c r="L1122" s="587"/>
      <c r="M1122" s="603"/>
      <c r="N1122" s="581"/>
      <c r="O1122" s="587"/>
      <c r="P1122" s="581">
        <v>15000</v>
      </c>
      <c r="Q1122" s="581">
        <v>2527</v>
      </c>
      <c r="R1122" s="627">
        <f>Q1122/P1122*100</f>
        <v>16.846666666666664</v>
      </c>
      <c r="S1122" s="564"/>
      <c r="T1122" s="564"/>
      <c r="U1122" s="564"/>
      <c r="V1122" s="564"/>
      <c r="W1122" s="565"/>
      <c r="X1122" s="565"/>
      <c r="Y1122" s="565"/>
      <c r="Z1122" s="565"/>
    </row>
    <row r="1123" spans="1:18" ht="13.5" customHeight="1" hidden="1">
      <c r="A1123" s="640">
        <v>85158</v>
      </c>
      <c r="B1123" s="856" t="s">
        <v>786</v>
      </c>
      <c r="C1123" s="608">
        <f>SUM(C1125:C1138)</f>
        <v>0</v>
      </c>
      <c r="D1123" s="595">
        <f t="shared" si="128"/>
        <v>0</v>
      </c>
      <c r="E1123" s="595">
        <f>SUM(E1124:E1138)</f>
        <v>0</v>
      </c>
      <c r="F1123" s="857" t="e">
        <f t="shared" si="130"/>
        <v>#DIV/0!</v>
      </c>
      <c r="G1123" s="730">
        <f>SUM(G1124:G1138)</f>
        <v>0</v>
      </c>
      <c r="H1123" s="595">
        <f>SUM(H1124:H1138)</f>
        <v>0</v>
      </c>
      <c r="I1123" s="751" t="e">
        <f t="shared" si="131"/>
        <v>#DIV/0!</v>
      </c>
      <c r="J1123" s="600"/>
      <c r="K1123" s="595"/>
      <c r="L1123" s="601"/>
      <c r="M1123" s="608"/>
      <c r="N1123" s="595"/>
      <c r="O1123" s="645"/>
      <c r="P1123" s="595"/>
      <c r="Q1123" s="595"/>
      <c r="R1123" s="880"/>
    </row>
    <row r="1124" spans="1:18" ht="36.75" customHeight="1" hidden="1">
      <c r="A1124" s="667">
        <v>3020</v>
      </c>
      <c r="B1124" s="668" t="s">
        <v>680</v>
      </c>
      <c r="C1124" s="606">
        <v>0</v>
      </c>
      <c r="D1124" s="615">
        <f>G1124+J1124+P1124+M1124</f>
        <v>0</v>
      </c>
      <c r="E1124" s="615">
        <f>SUM(H1124+K1124+N1124+Q1124)</f>
        <v>0</v>
      </c>
      <c r="F1124" s="872" t="e">
        <f t="shared" si="130"/>
        <v>#DIV/0!</v>
      </c>
      <c r="G1124" s="606"/>
      <c r="H1124" s="615"/>
      <c r="I1124" s="623" t="e">
        <f>H1124/G1124*100</f>
        <v>#DIV/0!</v>
      </c>
      <c r="J1124" s="881"/>
      <c r="K1124" s="882"/>
      <c r="L1124" s="883"/>
      <c r="M1124" s="884"/>
      <c r="N1124" s="882"/>
      <c r="O1124" s="686"/>
      <c r="P1124" s="882"/>
      <c r="Q1124" s="882"/>
      <c r="R1124" s="885"/>
    </row>
    <row r="1125" spans="1:18" ht="24.75" customHeight="1" hidden="1">
      <c r="A1125" s="647">
        <v>4010</v>
      </c>
      <c r="B1125" s="828" t="s">
        <v>703</v>
      </c>
      <c r="C1125" s="603"/>
      <c r="D1125" s="581">
        <f t="shared" si="128"/>
        <v>0</v>
      </c>
      <c r="E1125" s="581">
        <f>SUM(H1125+K1125+N1125+Q1125)</f>
        <v>0</v>
      </c>
      <c r="F1125" s="864" t="e">
        <f t="shared" si="130"/>
        <v>#DIV/0!</v>
      </c>
      <c r="G1125" s="603"/>
      <c r="H1125" s="581"/>
      <c r="I1125" s="629" t="e">
        <f t="shared" si="131"/>
        <v>#DIV/0!</v>
      </c>
      <c r="J1125" s="586"/>
      <c r="K1125" s="581"/>
      <c r="L1125" s="587"/>
      <c r="M1125" s="603"/>
      <c r="N1125" s="581"/>
      <c r="O1125" s="649"/>
      <c r="P1125" s="581"/>
      <c r="Q1125" s="581"/>
      <c r="R1125" s="886"/>
    </row>
    <row r="1126" spans="1:18" ht="21.75" customHeight="1" hidden="1">
      <c r="A1126" s="647">
        <v>4040</v>
      </c>
      <c r="B1126" s="828" t="s">
        <v>249</v>
      </c>
      <c r="C1126" s="603"/>
      <c r="D1126" s="581">
        <f t="shared" si="128"/>
        <v>0</v>
      </c>
      <c r="E1126" s="581">
        <f>SUM(H1126+K1126+N1126+Q1126)</f>
        <v>0</v>
      </c>
      <c r="F1126" s="864" t="e">
        <f t="shared" si="130"/>
        <v>#DIV/0!</v>
      </c>
      <c r="G1126" s="603"/>
      <c r="H1126" s="581"/>
      <c r="I1126" s="629" t="e">
        <f t="shared" si="131"/>
        <v>#DIV/0!</v>
      </c>
      <c r="J1126" s="586"/>
      <c r="K1126" s="581"/>
      <c r="L1126" s="587"/>
      <c r="M1126" s="603"/>
      <c r="N1126" s="581"/>
      <c r="O1126" s="649"/>
      <c r="P1126" s="581"/>
      <c r="Q1126" s="581"/>
      <c r="R1126" s="886"/>
    </row>
    <row r="1127" spans="1:18" ht="24.75" customHeight="1" hidden="1">
      <c r="A1127" s="647">
        <v>4110</v>
      </c>
      <c r="B1127" s="828" t="s">
        <v>187</v>
      </c>
      <c r="C1127" s="603"/>
      <c r="D1127" s="581">
        <f>G1127+J1127+P1127+M1127</f>
        <v>0</v>
      </c>
      <c r="E1127" s="581">
        <f>SUM(H1127+K1127+N1127+Q1127)</f>
        <v>0</v>
      </c>
      <c r="F1127" s="864" t="e">
        <f t="shared" si="130"/>
        <v>#DIV/0!</v>
      </c>
      <c r="G1127" s="603"/>
      <c r="H1127" s="581"/>
      <c r="I1127" s="629" t="e">
        <f t="shared" si="131"/>
        <v>#DIV/0!</v>
      </c>
      <c r="J1127" s="586"/>
      <c r="K1127" s="581"/>
      <c r="L1127" s="587"/>
      <c r="M1127" s="581"/>
      <c r="N1127" s="581"/>
      <c r="O1127" s="649"/>
      <c r="P1127" s="581"/>
      <c r="Q1127" s="581"/>
      <c r="R1127" s="886"/>
    </row>
    <row r="1128" spans="1:18" ht="11.25" customHeight="1" hidden="1">
      <c r="A1128" s="647">
        <v>4120</v>
      </c>
      <c r="B1128" s="828" t="s">
        <v>619</v>
      </c>
      <c r="C1128" s="603"/>
      <c r="D1128" s="581">
        <f>G1128+J1128+P1128+M1128</f>
        <v>0</v>
      </c>
      <c r="E1128" s="581">
        <f>SUM(H1128+K1128+N1128+Q1128)</f>
        <v>0</v>
      </c>
      <c r="F1128" s="864" t="e">
        <f t="shared" si="130"/>
        <v>#DIV/0!</v>
      </c>
      <c r="G1128" s="603"/>
      <c r="H1128" s="581"/>
      <c r="I1128" s="629" t="e">
        <f t="shared" si="131"/>
        <v>#DIV/0!</v>
      </c>
      <c r="J1128" s="586"/>
      <c r="K1128" s="581"/>
      <c r="L1128" s="587"/>
      <c r="M1128" s="581"/>
      <c r="N1128" s="581"/>
      <c r="O1128" s="649"/>
      <c r="P1128" s="581"/>
      <c r="Q1128" s="581"/>
      <c r="R1128" s="886"/>
    </row>
    <row r="1129" spans="1:18" ht="22.5" customHeight="1" hidden="1">
      <c r="A1129" s="647">
        <v>4210</v>
      </c>
      <c r="B1129" s="828" t="s">
        <v>191</v>
      </c>
      <c r="C1129" s="603"/>
      <c r="D1129" s="581">
        <f aca="true" t="shared" si="133" ref="D1129:D1146">G1129+J1129+P1129+M1129</f>
        <v>0</v>
      </c>
      <c r="E1129" s="581">
        <f aca="true" t="shared" si="134" ref="E1129:E1138">SUM(H1129+K1129+N1129+Q1129)</f>
        <v>0</v>
      </c>
      <c r="F1129" s="864" t="e">
        <f t="shared" si="130"/>
        <v>#DIV/0!</v>
      </c>
      <c r="G1129" s="603"/>
      <c r="H1129" s="581"/>
      <c r="I1129" s="629" t="e">
        <f t="shared" si="131"/>
        <v>#DIV/0!</v>
      </c>
      <c r="J1129" s="586"/>
      <c r="K1129" s="581"/>
      <c r="L1129" s="587"/>
      <c r="M1129" s="581"/>
      <c r="N1129" s="581"/>
      <c r="O1129" s="649"/>
      <c r="P1129" s="581"/>
      <c r="Q1129" s="581"/>
      <c r="R1129" s="886"/>
    </row>
    <row r="1130" spans="1:18" ht="11.25" customHeight="1" hidden="1">
      <c r="A1130" s="647">
        <v>4260</v>
      </c>
      <c r="B1130" s="828" t="s">
        <v>195</v>
      </c>
      <c r="C1130" s="603"/>
      <c r="D1130" s="581">
        <f t="shared" si="133"/>
        <v>0</v>
      </c>
      <c r="E1130" s="581">
        <f t="shared" si="134"/>
        <v>0</v>
      </c>
      <c r="F1130" s="864" t="e">
        <f t="shared" si="130"/>
        <v>#DIV/0!</v>
      </c>
      <c r="G1130" s="603"/>
      <c r="H1130" s="581"/>
      <c r="I1130" s="629" t="e">
        <f t="shared" si="131"/>
        <v>#DIV/0!</v>
      </c>
      <c r="J1130" s="586"/>
      <c r="K1130" s="581"/>
      <c r="L1130" s="587"/>
      <c r="M1130" s="581"/>
      <c r="N1130" s="581"/>
      <c r="O1130" s="649"/>
      <c r="P1130" s="581"/>
      <c r="Q1130" s="581"/>
      <c r="R1130" s="886"/>
    </row>
    <row r="1131" spans="1:18" ht="11.25" customHeight="1" hidden="1">
      <c r="A1131" s="647">
        <v>4270</v>
      </c>
      <c r="B1131" s="828" t="s">
        <v>197</v>
      </c>
      <c r="C1131" s="603"/>
      <c r="D1131" s="581">
        <f t="shared" si="133"/>
        <v>0</v>
      </c>
      <c r="E1131" s="581">
        <f t="shared" si="134"/>
        <v>0</v>
      </c>
      <c r="F1131" s="864" t="e">
        <f t="shared" si="130"/>
        <v>#DIV/0!</v>
      </c>
      <c r="G1131" s="603"/>
      <c r="H1131" s="581"/>
      <c r="I1131" s="629" t="e">
        <f t="shared" si="131"/>
        <v>#DIV/0!</v>
      </c>
      <c r="J1131" s="586"/>
      <c r="K1131" s="581"/>
      <c r="L1131" s="587"/>
      <c r="M1131" s="581"/>
      <c r="N1131" s="581"/>
      <c r="O1131" s="649"/>
      <c r="P1131" s="581"/>
      <c r="Q1131" s="581"/>
      <c r="R1131" s="886"/>
    </row>
    <row r="1132" spans="1:18" ht="24" customHeight="1" hidden="1">
      <c r="A1132" s="647">
        <v>4280</v>
      </c>
      <c r="B1132" s="828" t="s">
        <v>536</v>
      </c>
      <c r="C1132" s="603"/>
      <c r="D1132" s="581">
        <f t="shared" si="133"/>
        <v>0</v>
      </c>
      <c r="E1132" s="581">
        <f t="shared" si="134"/>
        <v>0</v>
      </c>
      <c r="F1132" s="864" t="e">
        <f t="shared" si="130"/>
        <v>#DIV/0!</v>
      </c>
      <c r="G1132" s="603"/>
      <c r="H1132" s="581"/>
      <c r="I1132" s="629" t="e">
        <f t="shared" si="131"/>
        <v>#DIV/0!</v>
      </c>
      <c r="J1132" s="586"/>
      <c r="K1132" s="581"/>
      <c r="L1132" s="587"/>
      <c r="M1132" s="581"/>
      <c r="N1132" s="581"/>
      <c r="O1132" s="649"/>
      <c r="P1132" s="581"/>
      <c r="Q1132" s="581"/>
      <c r="R1132" s="886"/>
    </row>
    <row r="1133" spans="1:18" ht="11.25" customHeight="1" hidden="1">
      <c r="A1133" s="647">
        <v>4300</v>
      </c>
      <c r="B1133" s="828" t="s">
        <v>199</v>
      </c>
      <c r="C1133" s="603"/>
      <c r="D1133" s="581">
        <f t="shared" si="133"/>
        <v>0</v>
      </c>
      <c r="E1133" s="581">
        <f t="shared" si="134"/>
        <v>0</v>
      </c>
      <c r="F1133" s="864" t="e">
        <f t="shared" si="130"/>
        <v>#DIV/0!</v>
      </c>
      <c r="G1133" s="603"/>
      <c r="H1133" s="581"/>
      <c r="I1133" s="629" t="e">
        <f t="shared" si="131"/>
        <v>#DIV/0!</v>
      </c>
      <c r="J1133" s="586"/>
      <c r="K1133" s="581"/>
      <c r="L1133" s="587"/>
      <c r="M1133" s="581"/>
      <c r="N1133" s="581"/>
      <c r="O1133" s="649"/>
      <c r="P1133" s="581"/>
      <c r="Q1133" s="581"/>
      <c r="R1133" s="886"/>
    </row>
    <row r="1134" spans="1:18" ht="12.75" customHeight="1" hidden="1">
      <c r="A1134" s="647">
        <v>4410</v>
      </c>
      <c r="B1134" s="828" t="s">
        <v>173</v>
      </c>
      <c r="C1134" s="603"/>
      <c r="D1134" s="581">
        <f t="shared" si="133"/>
        <v>0</v>
      </c>
      <c r="E1134" s="581">
        <f t="shared" si="134"/>
        <v>0</v>
      </c>
      <c r="F1134" s="864" t="e">
        <f t="shared" si="130"/>
        <v>#DIV/0!</v>
      </c>
      <c r="G1134" s="603"/>
      <c r="H1134" s="581"/>
      <c r="I1134" s="629" t="e">
        <f t="shared" si="131"/>
        <v>#DIV/0!</v>
      </c>
      <c r="J1134" s="586"/>
      <c r="K1134" s="581"/>
      <c r="L1134" s="587"/>
      <c r="M1134" s="581"/>
      <c r="N1134" s="581"/>
      <c r="O1134" s="649"/>
      <c r="P1134" s="581"/>
      <c r="Q1134" s="581"/>
      <c r="R1134" s="886"/>
    </row>
    <row r="1135" spans="1:18" ht="12.75" customHeight="1" hidden="1">
      <c r="A1135" s="647">
        <v>4430</v>
      </c>
      <c r="B1135" s="828" t="s">
        <v>201</v>
      </c>
      <c r="C1135" s="603"/>
      <c r="D1135" s="581">
        <f t="shared" si="133"/>
        <v>0</v>
      </c>
      <c r="E1135" s="581">
        <f t="shared" si="134"/>
        <v>0</v>
      </c>
      <c r="F1135" s="864" t="e">
        <f t="shared" si="130"/>
        <v>#DIV/0!</v>
      </c>
      <c r="G1135" s="603"/>
      <c r="H1135" s="583"/>
      <c r="I1135" s="629" t="e">
        <f t="shared" si="131"/>
        <v>#DIV/0!</v>
      </c>
      <c r="J1135" s="584"/>
      <c r="K1135" s="581"/>
      <c r="L1135" s="587"/>
      <c r="M1135" s="583"/>
      <c r="N1135" s="583"/>
      <c r="O1135" s="692"/>
      <c r="P1135" s="583"/>
      <c r="Q1135" s="583"/>
      <c r="R1135" s="761"/>
    </row>
    <row r="1136" spans="1:18" ht="11.25" customHeight="1" hidden="1">
      <c r="A1136" s="647">
        <v>4440</v>
      </c>
      <c r="B1136" s="828" t="s">
        <v>203</v>
      </c>
      <c r="C1136" s="603"/>
      <c r="D1136" s="581">
        <f t="shared" si="133"/>
        <v>0</v>
      </c>
      <c r="E1136" s="581">
        <f t="shared" si="134"/>
        <v>0</v>
      </c>
      <c r="F1136" s="864" t="e">
        <f t="shared" si="130"/>
        <v>#DIV/0!</v>
      </c>
      <c r="G1136" s="603"/>
      <c r="H1136" s="581"/>
      <c r="I1136" s="629" t="e">
        <f t="shared" si="131"/>
        <v>#DIV/0!</v>
      </c>
      <c r="J1136" s="586"/>
      <c r="K1136" s="581"/>
      <c r="L1136" s="587"/>
      <c r="M1136" s="581"/>
      <c r="N1136" s="581"/>
      <c r="O1136" s="649"/>
      <c r="P1136" s="581"/>
      <c r="Q1136" s="581"/>
      <c r="R1136" s="886"/>
    </row>
    <row r="1137" spans="1:26" s="639" customFormat="1" ht="12.75" customHeight="1" hidden="1">
      <c r="A1137" s="647">
        <v>4480</v>
      </c>
      <c r="B1137" s="828" t="s">
        <v>205</v>
      </c>
      <c r="C1137" s="603"/>
      <c r="D1137" s="581">
        <f t="shared" si="133"/>
        <v>0</v>
      </c>
      <c r="E1137" s="581">
        <f t="shared" si="134"/>
        <v>0</v>
      </c>
      <c r="F1137" s="864" t="e">
        <f t="shared" si="130"/>
        <v>#DIV/0!</v>
      </c>
      <c r="G1137" s="603"/>
      <c r="H1137" s="581"/>
      <c r="I1137" s="629" t="e">
        <f t="shared" si="131"/>
        <v>#DIV/0!</v>
      </c>
      <c r="J1137" s="586"/>
      <c r="K1137" s="581"/>
      <c r="L1137" s="587"/>
      <c r="M1137" s="581"/>
      <c r="N1137" s="581"/>
      <c r="O1137" s="649"/>
      <c r="P1137" s="581"/>
      <c r="Q1137" s="581"/>
      <c r="R1137" s="886"/>
      <c r="S1137" s="564"/>
      <c r="T1137" s="564"/>
      <c r="U1137" s="564"/>
      <c r="V1137" s="564"/>
      <c r="W1137" s="565"/>
      <c r="X1137" s="565"/>
      <c r="Y1137" s="565"/>
      <c r="Z1137" s="565"/>
    </row>
    <row r="1138" spans="1:26" s="639" customFormat="1" ht="36" hidden="1">
      <c r="A1138" s="672">
        <v>4520</v>
      </c>
      <c r="B1138" s="877" t="s">
        <v>787</v>
      </c>
      <c r="C1138" s="674"/>
      <c r="D1138" s="675">
        <f t="shared" si="133"/>
        <v>0</v>
      </c>
      <c r="E1138" s="675">
        <f t="shared" si="134"/>
        <v>0</v>
      </c>
      <c r="F1138" s="878" t="e">
        <f t="shared" si="130"/>
        <v>#DIV/0!</v>
      </c>
      <c r="G1138" s="674"/>
      <c r="H1138" s="675"/>
      <c r="I1138" s="710" t="e">
        <f t="shared" si="131"/>
        <v>#DIV/0!</v>
      </c>
      <c r="J1138" s="676"/>
      <c r="K1138" s="675"/>
      <c r="L1138" s="677"/>
      <c r="M1138" s="675"/>
      <c r="N1138" s="675"/>
      <c r="O1138" s="689"/>
      <c r="P1138" s="675"/>
      <c r="Q1138" s="675"/>
      <c r="R1138" s="887"/>
      <c r="S1138" s="564"/>
      <c r="T1138" s="564"/>
      <c r="U1138" s="564"/>
      <c r="V1138" s="564"/>
      <c r="W1138" s="565"/>
      <c r="X1138" s="565"/>
      <c r="Y1138" s="565"/>
      <c r="Z1138" s="565"/>
    </row>
    <row r="1139" spans="1:26" s="760" customFormat="1" ht="11.25" customHeight="1">
      <c r="A1139" s="640">
        <v>85195</v>
      </c>
      <c r="B1139" s="856" t="s">
        <v>213</v>
      </c>
      <c r="C1139" s="608">
        <f>SUM(C1140:C1146)</f>
        <v>542000</v>
      </c>
      <c r="D1139" s="595">
        <f>G1139+J1139+P1139+M1139</f>
        <v>542000</v>
      </c>
      <c r="E1139" s="595">
        <f>H1139+K1139+Q1139+N1139</f>
        <v>171540</v>
      </c>
      <c r="F1139" s="857">
        <f t="shared" si="130"/>
        <v>31.649446494464943</v>
      </c>
      <c r="G1139" s="608">
        <f>SUM(G1140:G1148)</f>
        <v>542000</v>
      </c>
      <c r="H1139" s="595">
        <f>SUM(H1140:H1148)</f>
        <v>171540</v>
      </c>
      <c r="I1139" s="596">
        <f t="shared" si="131"/>
        <v>31.649446494464943</v>
      </c>
      <c r="J1139" s="600"/>
      <c r="K1139" s="595"/>
      <c r="L1139" s="601"/>
      <c r="M1139" s="595"/>
      <c r="N1139" s="595"/>
      <c r="O1139" s="645"/>
      <c r="P1139" s="595"/>
      <c r="Q1139" s="595"/>
      <c r="R1139" s="880"/>
      <c r="S1139" s="758"/>
      <c r="T1139" s="758"/>
      <c r="U1139" s="758"/>
      <c r="V1139" s="758"/>
      <c r="W1139" s="759"/>
      <c r="X1139" s="759"/>
      <c r="Y1139" s="759"/>
      <c r="Z1139" s="759"/>
    </row>
    <row r="1140" spans="1:26" s="702" customFormat="1" ht="62.25" customHeight="1">
      <c r="A1140" s="667">
        <v>2820</v>
      </c>
      <c r="B1140" s="875" t="s">
        <v>668</v>
      </c>
      <c r="C1140" s="606">
        <v>144000</v>
      </c>
      <c r="D1140" s="615">
        <f t="shared" si="133"/>
        <v>144000</v>
      </c>
      <c r="E1140" s="615">
        <f aca="true" t="shared" si="135" ref="E1140:E1146">SUM(H1140+K1140+N1140+Q1140)</f>
        <v>75500</v>
      </c>
      <c r="F1140" s="872">
        <f t="shared" si="130"/>
        <v>52.43055555555556</v>
      </c>
      <c r="G1140" s="606">
        <v>144000</v>
      </c>
      <c r="H1140" s="615">
        <v>75500</v>
      </c>
      <c r="I1140" s="604">
        <f t="shared" si="131"/>
        <v>52.43055555555556</v>
      </c>
      <c r="J1140" s="618"/>
      <c r="K1140" s="615"/>
      <c r="L1140" s="619"/>
      <c r="M1140" s="615"/>
      <c r="N1140" s="615"/>
      <c r="O1140" s="686"/>
      <c r="P1140" s="615"/>
      <c r="Q1140" s="615"/>
      <c r="R1140" s="671"/>
      <c r="S1140" s="700"/>
      <c r="T1140" s="700"/>
      <c r="U1140" s="700"/>
      <c r="V1140" s="700"/>
      <c r="W1140" s="701"/>
      <c r="X1140" s="701"/>
      <c r="Y1140" s="701"/>
      <c r="Z1140" s="701"/>
    </row>
    <row r="1141" spans="1:26" s="702" customFormat="1" ht="24" hidden="1">
      <c r="A1141" s="647">
        <v>4210</v>
      </c>
      <c r="B1141" s="651" t="s">
        <v>191</v>
      </c>
      <c r="C1141" s="603"/>
      <c r="D1141" s="581">
        <f>G1141+J1141+P1141+M1141</f>
        <v>0</v>
      </c>
      <c r="E1141" s="581">
        <f>SUM(H1141+K1141+N1141+Q1141)</f>
        <v>0</v>
      </c>
      <c r="F1141" s="864" t="e">
        <f>E1141/D1141*100</f>
        <v>#DIV/0!</v>
      </c>
      <c r="G1141" s="603"/>
      <c r="H1141" s="581"/>
      <c r="I1141" s="582" t="e">
        <f t="shared" si="131"/>
        <v>#DIV/0!</v>
      </c>
      <c r="J1141" s="586"/>
      <c r="K1141" s="581"/>
      <c r="L1141" s="587"/>
      <c r="M1141" s="581"/>
      <c r="N1141" s="581"/>
      <c r="O1141" s="649"/>
      <c r="P1141" s="581"/>
      <c r="Q1141" s="581"/>
      <c r="R1141" s="653"/>
      <c r="S1141" s="700"/>
      <c r="T1141" s="700"/>
      <c r="U1141" s="700"/>
      <c r="V1141" s="700"/>
      <c r="W1141" s="701"/>
      <c r="X1141" s="701"/>
      <c r="Y1141" s="701"/>
      <c r="Z1141" s="701"/>
    </row>
    <row r="1142" spans="1:26" s="702" customFormat="1" ht="24" hidden="1">
      <c r="A1142" s="647">
        <v>4170</v>
      </c>
      <c r="B1142" s="651" t="s">
        <v>221</v>
      </c>
      <c r="C1142" s="603"/>
      <c r="D1142" s="581">
        <f>G1142+J1142+P1142+M1142</f>
        <v>0</v>
      </c>
      <c r="E1142" s="581">
        <f t="shared" si="135"/>
        <v>0</v>
      </c>
      <c r="F1142" s="864"/>
      <c r="G1142" s="603"/>
      <c r="H1142" s="581"/>
      <c r="I1142" s="582" t="e">
        <f t="shared" si="131"/>
        <v>#DIV/0!</v>
      </c>
      <c r="J1142" s="586"/>
      <c r="K1142" s="581"/>
      <c r="L1142" s="587"/>
      <c r="M1142" s="581"/>
      <c r="N1142" s="581"/>
      <c r="O1142" s="649"/>
      <c r="P1142" s="581"/>
      <c r="Q1142" s="581"/>
      <c r="R1142" s="653"/>
      <c r="S1142" s="700"/>
      <c r="T1142" s="700"/>
      <c r="U1142" s="700"/>
      <c r="V1142" s="700"/>
      <c r="W1142" s="701"/>
      <c r="X1142" s="701"/>
      <c r="Y1142" s="701"/>
      <c r="Z1142" s="701"/>
    </row>
    <row r="1143" spans="1:26" s="702" customFormat="1" ht="24" hidden="1">
      <c r="A1143" s="647">
        <v>4270</v>
      </c>
      <c r="B1143" s="651" t="s">
        <v>197</v>
      </c>
      <c r="C1143" s="603"/>
      <c r="D1143" s="581">
        <f>G1143+J1143+P1143+M1143</f>
        <v>0</v>
      </c>
      <c r="E1143" s="581">
        <f t="shared" si="135"/>
        <v>0</v>
      </c>
      <c r="F1143" s="864" t="e">
        <f>E1143/D1143*100</f>
        <v>#DIV/0!</v>
      </c>
      <c r="G1143" s="603"/>
      <c r="H1143" s="581"/>
      <c r="I1143" s="582" t="e">
        <f t="shared" si="131"/>
        <v>#DIV/0!</v>
      </c>
      <c r="J1143" s="586"/>
      <c r="K1143" s="581"/>
      <c r="L1143" s="587"/>
      <c r="M1143" s="581"/>
      <c r="N1143" s="581"/>
      <c r="O1143" s="649"/>
      <c r="P1143" s="581"/>
      <c r="Q1143" s="581"/>
      <c r="R1143" s="653"/>
      <c r="S1143" s="700"/>
      <c r="T1143" s="700"/>
      <c r="U1143" s="700"/>
      <c r="V1143" s="700"/>
      <c r="W1143" s="701"/>
      <c r="X1143" s="701"/>
      <c r="Y1143" s="701"/>
      <c r="Z1143" s="701"/>
    </row>
    <row r="1144" spans="1:26" s="702" customFormat="1" ht="12.75" customHeight="1" thickBot="1">
      <c r="A1144" s="647">
        <v>4300</v>
      </c>
      <c r="B1144" s="828" t="s">
        <v>216</v>
      </c>
      <c r="C1144" s="603">
        <v>398000</v>
      </c>
      <c r="D1144" s="581">
        <f t="shared" si="133"/>
        <v>398000</v>
      </c>
      <c r="E1144" s="581">
        <f t="shared" si="135"/>
        <v>96040</v>
      </c>
      <c r="F1144" s="864">
        <f t="shared" si="130"/>
        <v>24.13065326633166</v>
      </c>
      <c r="G1144" s="603">
        <v>398000</v>
      </c>
      <c r="H1144" s="581">
        <v>96040</v>
      </c>
      <c r="I1144" s="582">
        <f t="shared" si="131"/>
        <v>24.13065326633166</v>
      </c>
      <c r="J1144" s="586"/>
      <c r="K1144" s="581"/>
      <c r="L1144" s="587"/>
      <c r="M1144" s="581"/>
      <c r="N1144" s="581"/>
      <c r="O1144" s="649"/>
      <c r="P1144" s="581"/>
      <c r="Q1144" s="581"/>
      <c r="R1144" s="653"/>
      <c r="S1144" s="700"/>
      <c r="T1144" s="700"/>
      <c r="U1144" s="700"/>
      <c r="V1144" s="700"/>
      <c r="W1144" s="701"/>
      <c r="X1144" s="701"/>
      <c r="Y1144" s="701"/>
      <c r="Z1144" s="701"/>
    </row>
    <row r="1145" spans="1:18" ht="60.75" hidden="1" thickBot="1">
      <c r="A1145" s="647">
        <v>6050</v>
      </c>
      <c r="B1145" s="651" t="s">
        <v>537</v>
      </c>
      <c r="C1145" s="603"/>
      <c r="D1145" s="581">
        <f>G1145+J1145+P1145+M1145</f>
        <v>0</v>
      </c>
      <c r="E1145" s="581">
        <f t="shared" si="135"/>
        <v>0</v>
      </c>
      <c r="F1145" s="864" t="e">
        <f>E1145/D1145*100</f>
        <v>#DIV/0!</v>
      </c>
      <c r="G1145" s="603"/>
      <c r="H1145" s="583"/>
      <c r="I1145" s="582" t="e">
        <f t="shared" si="131"/>
        <v>#DIV/0!</v>
      </c>
      <c r="J1145" s="584"/>
      <c r="K1145" s="581"/>
      <c r="L1145" s="587"/>
      <c r="M1145" s="583"/>
      <c r="N1145" s="583"/>
      <c r="O1145" s="692"/>
      <c r="P1145" s="583"/>
      <c r="Q1145" s="583"/>
      <c r="R1145" s="650"/>
    </row>
    <row r="1146" spans="1:18" ht="48.75" hidden="1" thickBot="1">
      <c r="A1146" s="647">
        <v>6050</v>
      </c>
      <c r="B1146" s="651" t="s">
        <v>538</v>
      </c>
      <c r="C1146" s="603"/>
      <c r="D1146" s="581">
        <f t="shared" si="133"/>
        <v>0</v>
      </c>
      <c r="E1146" s="581">
        <f t="shared" si="135"/>
        <v>0</v>
      </c>
      <c r="F1146" s="864" t="e">
        <f t="shared" si="130"/>
        <v>#DIV/0!</v>
      </c>
      <c r="G1146" s="603"/>
      <c r="H1146" s="583"/>
      <c r="I1146" s="582" t="e">
        <f t="shared" si="131"/>
        <v>#DIV/0!</v>
      </c>
      <c r="J1146" s="584"/>
      <c r="K1146" s="581"/>
      <c r="L1146" s="587"/>
      <c r="M1146" s="583"/>
      <c r="N1146" s="583"/>
      <c r="O1146" s="692"/>
      <c r="P1146" s="583"/>
      <c r="Q1146" s="583"/>
      <c r="R1146" s="650"/>
    </row>
    <row r="1147" spans="1:18" ht="48.75" hidden="1" thickBot="1">
      <c r="A1147" s="647">
        <v>6060</v>
      </c>
      <c r="B1147" s="651" t="s">
        <v>590</v>
      </c>
      <c r="C1147" s="603"/>
      <c r="D1147" s="581">
        <f>G1147+J1147+P1147+M1147</f>
        <v>0</v>
      </c>
      <c r="E1147" s="581">
        <f>SUM(H1147+K1147+N1147+Q1147)</f>
        <v>0</v>
      </c>
      <c r="F1147" s="864" t="e">
        <f>E1147/D1147*100</f>
        <v>#DIV/0!</v>
      </c>
      <c r="G1147" s="603"/>
      <c r="H1147" s="583"/>
      <c r="I1147" s="582" t="e">
        <f t="shared" si="131"/>
        <v>#DIV/0!</v>
      </c>
      <c r="J1147" s="584"/>
      <c r="K1147" s="581"/>
      <c r="L1147" s="587"/>
      <c r="M1147" s="888"/>
      <c r="N1147" s="583"/>
      <c r="O1147" s="692"/>
      <c r="P1147" s="583"/>
      <c r="Q1147" s="583"/>
      <c r="R1147" s="650"/>
    </row>
    <row r="1148" spans="1:18" ht="108.75" hidden="1" thickBot="1">
      <c r="A1148" s="836">
        <v>6210</v>
      </c>
      <c r="B1148" s="889" t="s">
        <v>604</v>
      </c>
      <c r="C1148" s="603"/>
      <c r="D1148" s="581">
        <f>G1148+J1148+P1148+M1148</f>
        <v>0</v>
      </c>
      <c r="E1148" s="581">
        <f>SUM(H1148+K1148+N1148+Q1148)</f>
        <v>0</v>
      </c>
      <c r="F1148" s="864" t="e">
        <f>E1148/D1148*100</f>
        <v>#DIV/0!</v>
      </c>
      <c r="G1148" s="603"/>
      <c r="H1148" s="583"/>
      <c r="I1148" s="582" t="e">
        <f t="shared" si="131"/>
        <v>#DIV/0!</v>
      </c>
      <c r="J1148" s="584"/>
      <c r="K1148" s="581"/>
      <c r="L1148" s="587"/>
      <c r="M1148" s="888"/>
      <c r="N1148" s="583"/>
      <c r="O1148" s="692"/>
      <c r="P1148" s="583"/>
      <c r="Q1148" s="583"/>
      <c r="R1148" s="650"/>
    </row>
    <row r="1149" spans="1:26" s="893" customFormat="1" ht="14.25" thickBot="1" thickTop="1">
      <c r="A1149" s="890">
        <v>852</v>
      </c>
      <c r="B1149" s="891" t="s">
        <v>788</v>
      </c>
      <c r="C1149" s="634">
        <f>C1150+C1212+C1215+C1291+C1303+C1327+C1330+C1355+C1333+C1433+C1451+C1394+C1404+C1336+C1338+C1449+C1299</f>
        <v>44825476</v>
      </c>
      <c r="D1149" s="556">
        <f>G1149+J1149+P1149+M1149</f>
        <v>45402569</v>
      </c>
      <c r="E1149" s="556">
        <f>H1149+K1149+Q1149+N1149</f>
        <v>11638405</v>
      </c>
      <c r="F1149" s="869">
        <f t="shared" si="130"/>
        <v>25.6338027920843</v>
      </c>
      <c r="G1149" s="634">
        <f>G1150+G1212+G1215+G1291+G1303+G1327+G1330+G1355+G1333+G1433+G1451+G1394+G1404+G1336+G1338+G1449</f>
        <v>20766857</v>
      </c>
      <c r="H1149" s="556">
        <f>H1150+H1212+H1215+H1291+H1303+H1327+H1330+H1355+H1333+H1433+H1451+H1394+H1404+H1336+H1338+H1449</f>
        <v>5681895</v>
      </c>
      <c r="I1149" s="557">
        <f>H1149/G1149*100</f>
        <v>27.360399313194094</v>
      </c>
      <c r="J1149" s="556">
        <f>J1150+J1212+J1215+J1291+J1303+J1327+J1330+J1355+J1333+J1433+J1451+J1394+J1404+J1336+J1338+J1449</f>
        <v>18925465</v>
      </c>
      <c r="K1149" s="556">
        <f>K1150+K1212+K1215+K1291+K1303+K1327+K1330+K1355+K1333+K1433+K1451+K1394+K1404+K1336+K1338+K1449</f>
        <v>4765565</v>
      </c>
      <c r="L1149" s="655">
        <f>K1149/J1149*100</f>
        <v>25.180702297143032</v>
      </c>
      <c r="M1149" s="775">
        <f>M1150+M1212+M1215+M1291+M1303+M1330+M1355+M1333+M1433+M1451+M1394+M1404+M1336+M1338</f>
        <v>5694247</v>
      </c>
      <c r="N1149" s="556">
        <f>N1150+N1212+N1215+N1291+N1303+N1330+N1355+N1333+N1433+N1451+N1394+N1404+N1336+N1338</f>
        <v>1190945</v>
      </c>
      <c r="O1149" s="559">
        <f aca="true" t="shared" si="136" ref="O1149:O1211">N1149/M1149*100</f>
        <v>20.914881282810526</v>
      </c>
      <c r="P1149" s="556">
        <f>P1394+P1404+P1451+P1299</f>
        <v>16000</v>
      </c>
      <c r="Q1149" s="556">
        <f>Q1394+Q1404+Q1451+Q1299</f>
        <v>0</v>
      </c>
      <c r="R1149" s="635">
        <f>Q1149/P1149*100</f>
        <v>0</v>
      </c>
      <c r="S1149" s="892"/>
      <c r="T1149" s="892"/>
      <c r="U1149" s="892"/>
      <c r="V1149" s="892"/>
      <c r="W1149" s="892"/>
      <c r="X1149" s="892"/>
      <c r="Y1149" s="892"/>
      <c r="Z1149" s="892"/>
    </row>
    <row r="1150" spans="1:26" s="639" customFormat="1" ht="33.75" customHeight="1" thickTop="1">
      <c r="A1150" s="765">
        <v>85201</v>
      </c>
      <c r="B1150" s="894" t="s">
        <v>789</v>
      </c>
      <c r="C1150" s="568">
        <f>SUM(C1151:C1155)+C1172+C1192</f>
        <v>1244088</v>
      </c>
      <c r="D1150" s="569">
        <f>G1150+J1150+P1150+M1150</f>
        <v>1244088</v>
      </c>
      <c r="E1150" s="642">
        <f>H1150+K1150+Q1150+N1150</f>
        <v>327258</v>
      </c>
      <c r="F1150" s="878">
        <f t="shared" si="130"/>
        <v>26.305052375716187</v>
      </c>
      <c r="G1150" s="767">
        <f>SUM(G1151:G1155)</f>
        <v>170647</v>
      </c>
      <c r="H1150" s="569">
        <f>SUM(H1151:H1155)</f>
        <v>47873</v>
      </c>
      <c r="I1150" s="895">
        <f>H1150/G1150*100</f>
        <v>28.05381870176446</v>
      </c>
      <c r="J1150" s="574"/>
      <c r="K1150" s="569"/>
      <c r="L1150" s="575"/>
      <c r="M1150" s="571">
        <f>SUM(M1151:M1154)+M1172+M1192</f>
        <v>1073441</v>
      </c>
      <c r="N1150" s="571">
        <f>SUM(N1151:N1154)+N1172+N1192</f>
        <v>279385</v>
      </c>
      <c r="O1150" s="644">
        <f t="shared" si="136"/>
        <v>26.027047597399388</v>
      </c>
      <c r="P1150" s="571"/>
      <c r="Q1150" s="571"/>
      <c r="R1150" s="896"/>
      <c r="S1150" s="564"/>
      <c r="T1150" s="564"/>
      <c r="U1150" s="564"/>
      <c r="V1150" s="564"/>
      <c r="W1150" s="565"/>
      <c r="X1150" s="565"/>
      <c r="Y1150" s="565"/>
      <c r="Z1150" s="565"/>
    </row>
    <row r="1151" spans="1:26" s="639" customFormat="1" ht="66" customHeight="1">
      <c r="A1151" s="647">
        <v>2320</v>
      </c>
      <c r="B1151" s="828" t="s">
        <v>633</v>
      </c>
      <c r="C1151" s="606">
        <v>412000</v>
      </c>
      <c r="D1151" s="581">
        <f aca="true" t="shared" si="137" ref="D1151:E1173">G1151+J1151+P1151+M1151</f>
        <v>412000</v>
      </c>
      <c r="E1151" s="581">
        <f t="shared" si="137"/>
        <v>148347</v>
      </c>
      <c r="F1151" s="864">
        <f t="shared" si="130"/>
        <v>36.00655339805825</v>
      </c>
      <c r="G1151" s="603"/>
      <c r="H1151" s="581"/>
      <c r="I1151" s="897"/>
      <c r="J1151" s="661"/>
      <c r="K1151" s="660"/>
      <c r="L1151" s="662"/>
      <c r="M1151" s="606">
        <v>412000</v>
      </c>
      <c r="N1151" s="615">
        <f>148346+1</f>
        <v>148347</v>
      </c>
      <c r="O1151" s="627">
        <f t="shared" si="136"/>
        <v>36.00655339805825</v>
      </c>
      <c r="P1151" s="581"/>
      <c r="Q1151" s="581"/>
      <c r="R1151" s="653"/>
      <c r="S1151" s="564"/>
      <c r="T1151" s="564"/>
      <c r="U1151" s="564"/>
      <c r="V1151" s="564"/>
      <c r="W1151" s="565"/>
      <c r="X1151" s="565"/>
      <c r="Y1151" s="565"/>
      <c r="Z1151" s="565"/>
    </row>
    <row r="1152" spans="1:26" s="639" customFormat="1" ht="49.5" customHeight="1">
      <c r="A1152" s="647">
        <v>2820</v>
      </c>
      <c r="B1152" s="828" t="s">
        <v>790</v>
      </c>
      <c r="C1152" s="603">
        <v>46000</v>
      </c>
      <c r="D1152" s="581">
        <f t="shared" si="137"/>
        <v>46000</v>
      </c>
      <c r="E1152" s="581">
        <f t="shared" si="137"/>
        <v>0</v>
      </c>
      <c r="F1152" s="864">
        <f t="shared" si="130"/>
        <v>0</v>
      </c>
      <c r="G1152" s="603"/>
      <c r="H1152" s="581"/>
      <c r="I1152" s="897"/>
      <c r="J1152" s="661"/>
      <c r="K1152" s="660"/>
      <c r="L1152" s="662"/>
      <c r="M1152" s="603">
        <v>46000</v>
      </c>
      <c r="N1152" s="581"/>
      <c r="O1152" s="627">
        <f t="shared" si="136"/>
        <v>0</v>
      </c>
      <c r="P1152" s="581"/>
      <c r="Q1152" s="581"/>
      <c r="R1152" s="653"/>
      <c r="S1152" s="564"/>
      <c r="T1152" s="564"/>
      <c r="U1152" s="564"/>
      <c r="V1152" s="564"/>
      <c r="W1152" s="565"/>
      <c r="X1152" s="565"/>
      <c r="Y1152" s="565"/>
      <c r="Z1152" s="565"/>
    </row>
    <row r="1153" spans="1:26" s="639" customFormat="1" ht="12.75" hidden="1">
      <c r="A1153" s="647">
        <v>4580</v>
      </c>
      <c r="B1153" s="712" t="s">
        <v>223</v>
      </c>
      <c r="C1153" s="603"/>
      <c r="D1153" s="581">
        <f>G1153+J1153+P1153+M1153</f>
        <v>0</v>
      </c>
      <c r="E1153" s="581">
        <f>H1153+K1153+Q1153+N1153</f>
        <v>0</v>
      </c>
      <c r="F1153" s="864" t="e">
        <f>E1153/D1153*100</f>
        <v>#DIV/0!</v>
      </c>
      <c r="G1153" s="603"/>
      <c r="H1153" s="581"/>
      <c r="I1153" s="897"/>
      <c r="J1153" s="661"/>
      <c r="K1153" s="660"/>
      <c r="L1153" s="662"/>
      <c r="M1153" s="603"/>
      <c r="N1153" s="581"/>
      <c r="O1153" s="627" t="e">
        <f t="shared" si="136"/>
        <v>#DIV/0!</v>
      </c>
      <c r="P1153" s="581"/>
      <c r="Q1153" s="581"/>
      <c r="R1153" s="653"/>
      <c r="S1153" s="564"/>
      <c r="T1153" s="564"/>
      <c r="U1153" s="564"/>
      <c r="V1153" s="564"/>
      <c r="W1153" s="565"/>
      <c r="X1153" s="565"/>
      <c r="Y1153" s="565"/>
      <c r="Z1153" s="565"/>
    </row>
    <row r="1154" spans="1:26" s="639" customFormat="1" ht="16.5" customHeight="1">
      <c r="A1154" s="647">
        <v>3110</v>
      </c>
      <c r="B1154" s="828" t="s">
        <v>740</v>
      </c>
      <c r="C1154" s="603">
        <v>211793</v>
      </c>
      <c r="D1154" s="581">
        <f t="shared" si="137"/>
        <v>211793</v>
      </c>
      <c r="E1154" s="581">
        <f t="shared" si="137"/>
        <v>33256</v>
      </c>
      <c r="F1154" s="864">
        <f t="shared" si="130"/>
        <v>15.702124243955181</v>
      </c>
      <c r="G1154" s="603"/>
      <c r="H1154" s="581"/>
      <c r="I1154" s="897"/>
      <c r="J1154" s="661"/>
      <c r="K1154" s="660"/>
      <c r="L1154" s="662"/>
      <c r="M1154" s="603">
        <v>211793</v>
      </c>
      <c r="N1154" s="581">
        <v>33256</v>
      </c>
      <c r="O1154" s="627">
        <f t="shared" si="136"/>
        <v>15.702124243955181</v>
      </c>
      <c r="P1154" s="581"/>
      <c r="Q1154" s="581"/>
      <c r="R1154" s="653"/>
      <c r="S1154" s="564"/>
      <c r="T1154" s="564"/>
      <c r="U1154" s="564"/>
      <c r="V1154" s="564"/>
      <c r="W1154" s="565"/>
      <c r="X1154" s="565"/>
      <c r="Y1154" s="565"/>
      <c r="Z1154" s="565"/>
    </row>
    <row r="1155" spans="1:26" s="639" customFormat="1" ht="16.5" customHeight="1">
      <c r="A1155" s="719"/>
      <c r="B1155" s="898" t="s">
        <v>791</v>
      </c>
      <c r="C1155" s="721">
        <f>SUM(C1156:C1171)</f>
        <v>170647</v>
      </c>
      <c r="D1155" s="642">
        <f>G1155+J1155+P1155+M1155</f>
        <v>170647</v>
      </c>
      <c r="E1155" s="642">
        <f>H1155+K1155+Q1155+N1155</f>
        <v>47873</v>
      </c>
      <c r="F1155" s="899">
        <f>E1155/D1155*100</f>
        <v>28.05381870176446</v>
      </c>
      <c r="G1155" s="762">
        <f>SUM(G1156:G1171)</f>
        <v>170647</v>
      </c>
      <c r="H1155" s="642">
        <f>SUM(H1156:H1171)</f>
        <v>47873</v>
      </c>
      <c r="I1155" s="900">
        <f>H1155/G1155*100</f>
        <v>28.05381870176446</v>
      </c>
      <c r="J1155" s="723"/>
      <c r="K1155" s="642"/>
      <c r="L1155" s="763"/>
      <c r="M1155" s="721"/>
      <c r="N1155" s="642"/>
      <c r="O1155" s="776"/>
      <c r="P1155" s="642"/>
      <c r="Q1155" s="642"/>
      <c r="R1155" s="727"/>
      <c r="S1155" s="564"/>
      <c r="T1155" s="564"/>
      <c r="U1155" s="564"/>
      <c r="V1155" s="564"/>
      <c r="W1155" s="565"/>
      <c r="X1155" s="565"/>
      <c r="Y1155" s="565"/>
      <c r="Z1155" s="565"/>
    </row>
    <row r="1156" spans="1:26" s="639" customFormat="1" ht="28.5" customHeight="1">
      <c r="A1156" s="647">
        <v>4010</v>
      </c>
      <c r="B1156" s="828" t="s">
        <v>181</v>
      </c>
      <c r="C1156" s="603">
        <v>96508</v>
      </c>
      <c r="D1156" s="581">
        <f t="shared" si="137"/>
        <v>96508</v>
      </c>
      <c r="E1156" s="581">
        <f t="shared" si="137"/>
        <v>23665</v>
      </c>
      <c r="F1156" s="864">
        <f aca="true" t="shared" si="138" ref="F1156:F1219">E1156/D1156*100</f>
        <v>24.5212832096821</v>
      </c>
      <c r="G1156" s="603">
        <v>96508</v>
      </c>
      <c r="H1156" s="581">
        <v>23665</v>
      </c>
      <c r="I1156" s="897">
        <f>H1156/G1156*100</f>
        <v>24.5212832096821</v>
      </c>
      <c r="J1156" s="661"/>
      <c r="K1156" s="660"/>
      <c r="L1156" s="662"/>
      <c r="M1156" s="603"/>
      <c r="N1156" s="581"/>
      <c r="O1156" s="585"/>
      <c r="P1156" s="581"/>
      <c r="Q1156" s="581"/>
      <c r="R1156" s="653"/>
      <c r="S1156" s="482"/>
      <c r="T1156" s="482"/>
      <c r="U1156" s="564"/>
      <c r="V1156" s="564"/>
      <c r="W1156" s="565"/>
      <c r="X1156" s="565"/>
      <c r="Y1156" s="565"/>
      <c r="Z1156" s="565"/>
    </row>
    <row r="1157" spans="1:26" s="639" customFormat="1" ht="24">
      <c r="A1157" s="647">
        <v>4040</v>
      </c>
      <c r="B1157" s="828" t="s">
        <v>249</v>
      </c>
      <c r="C1157" s="603">
        <v>7753</v>
      </c>
      <c r="D1157" s="581">
        <f t="shared" si="137"/>
        <v>7753</v>
      </c>
      <c r="E1157" s="581">
        <f aca="true" t="shared" si="139" ref="E1157:E1211">SUM(H1157+K1157+N1157+Q1157)</f>
        <v>6986</v>
      </c>
      <c r="F1157" s="864">
        <f t="shared" si="138"/>
        <v>90.10705533341931</v>
      </c>
      <c r="G1157" s="603">
        <v>7753</v>
      </c>
      <c r="H1157" s="581">
        <f>6987-1</f>
        <v>6986</v>
      </c>
      <c r="I1157" s="897">
        <f aca="true" t="shared" si="140" ref="I1157:I1171">H1157/G1157*100</f>
        <v>90.10705533341931</v>
      </c>
      <c r="J1157" s="661"/>
      <c r="K1157" s="660"/>
      <c r="L1157" s="662"/>
      <c r="M1157" s="603"/>
      <c r="N1157" s="581"/>
      <c r="O1157" s="585"/>
      <c r="P1157" s="581"/>
      <c r="Q1157" s="581"/>
      <c r="R1157" s="653"/>
      <c r="S1157" s="482"/>
      <c r="T1157" s="482"/>
      <c r="U1157" s="564"/>
      <c r="V1157" s="564"/>
      <c r="W1157" s="565"/>
      <c r="X1157" s="565"/>
      <c r="Y1157" s="565"/>
      <c r="Z1157" s="565"/>
    </row>
    <row r="1158" spans="1:26" s="639" customFormat="1" ht="24.75" customHeight="1">
      <c r="A1158" s="647">
        <v>4110</v>
      </c>
      <c r="B1158" s="828" t="s">
        <v>187</v>
      </c>
      <c r="C1158" s="603">
        <v>17172</v>
      </c>
      <c r="D1158" s="581">
        <f t="shared" si="137"/>
        <v>17172</v>
      </c>
      <c r="E1158" s="581">
        <f t="shared" si="139"/>
        <v>4670</v>
      </c>
      <c r="F1158" s="864">
        <f t="shared" si="138"/>
        <v>27.19543442813883</v>
      </c>
      <c r="G1158" s="603">
        <v>17172</v>
      </c>
      <c r="H1158" s="581">
        <v>4670</v>
      </c>
      <c r="I1158" s="897">
        <f t="shared" si="140"/>
        <v>27.19543442813883</v>
      </c>
      <c r="J1158" s="661"/>
      <c r="K1158" s="660"/>
      <c r="L1158" s="662"/>
      <c r="M1158" s="603"/>
      <c r="N1158" s="581"/>
      <c r="O1158" s="585"/>
      <c r="P1158" s="581"/>
      <c r="Q1158" s="581"/>
      <c r="R1158" s="653"/>
      <c r="S1158" s="482"/>
      <c r="T1158" s="482"/>
      <c r="U1158" s="564"/>
      <c r="V1158" s="564"/>
      <c r="W1158" s="565"/>
      <c r="X1158" s="565"/>
      <c r="Y1158" s="565"/>
      <c r="Z1158" s="565"/>
    </row>
    <row r="1159" spans="1:26" s="639" customFormat="1" ht="12.75">
      <c r="A1159" s="647">
        <v>4120</v>
      </c>
      <c r="B1159" s="828" t="s">
        <v>619</v>
      </c>
      <c r="C1159" s="603">
        <v>2554</v>
      </c>
      <c r="D1159" s="581">
        <f t="shared" si="137"/>
        <v>2554</v>
      </c>
      <c r="E1159" s="581">
        <f t="shared" si="139"/>
        <v>695</v>
      </c>
      <c r="F1159" s="864">
        <f t="shared" si="138"/>
        <v>27.212216131558343</v>
      </c>
      <c r="G1159" s="603">
        <v>2554</v>
      </c>
      <c r="H1159" s="581">
        <v>695</v>
      </c>
      <c r="I1159" s="897">
        <f t="shared" si="140"/>
        <v>27.212216131558343</v>
      </c>
      <c r="J1159" s="661"/>
      <c r="K1159" s="660"/>
      <c r="L1159" s="662"/>
      <c r="M1159" s="603"/>
      <c r="N1159" s="581"/>
      <c r="O1159" s="585"/>
      <c r="P1159" s="581"/>
      <c r="Q1159" s="581"/>
      <c r="R1159" s="653"/>
      <c r="S1159" s="482"/>
      <c r="T1159" s="482"/>
      <c r="U1159" s="564"/>
      <c r="V1159" s="564"/>
      <c r="W1159" s="565"/>
      <c r="X1159" s="565"/>
      <c r="Y1159" s="565"/>
      <c r="Z1159" s="565"/>
    </row>
    <row r="1160" spans="1:26" s="639" customFormat="1" ht="24">
      <c r="A1160" s="647">
        <v>4210</v>
      </c>
      <c r="B1160" s="828" t="s">
        <v>191</v>
      </c>
      <c r="C1160" s="603">
        <v>8840</v>
      </c>
      <c r="D1160" s="581">
        <f t="shared" si="137"/>
        <v>8840</v>
      </c>
      <c r="E1160" s="581">
        <f t="shared" si="139"/>
        <v>2980</v>
      </c>
      <c r="F1160" s="864">
        <f t="shared" si="138"/>
        <v>33.710407239819006</v>
      </c>
      <c r="G1160" s="603">
        <v>8840</v>
      </c>
      <c r="H1160" s="581">
        <v>2980</v>
      </c>
      <c r="I1160" s="897">
        <f t="shared" si="140"/>
        <v>33.710407239819006</v>
      </c>
      <c r="J1160" s="661"/>
      <c r="K1160" s="660"/>
      <c r="L1160" s="662"/>
      <c r="M1160" s="603"/>
      <c r="N1160" s="581"/>
      <c r="O1160" s="585"/>
      <c r="P1160" s="581"/>
      <c r="Q1160" s="581"/>
      <c r="R1160" s="653"/>
      <c r="S1160" s="564"/>
      <c r="T1160" s="564"/>
      <c r="U1160" s="564"/>
      <c r="V1160" s="564"/>
      <c r="W1160" s="565"/>
      <c r="X1160" s="565"/>
      <c r="Y1160" s="565"/>
      <c r="Z1160" s="565"/>
    </row>
    <row r="1161" spans="1:26" s="639" customFormat="1" ht="12.75">
      <c r="A1161" s="647">
        <v>4260</v>
      </c>
      <c r="B1161" s="828" t="s">
        <v>195</v>
      </c>
      <c r="C1161" s="603">
        <v>10100</v>
      </c>
      <c r="D1161" s="581">
        <f t="shared" si="137"/>
        <v>10100</v>
      </c>
      <c r="E1161" s="581">
        <f t="shared" si="139"/>
        <v>2632</v>
      </c>
      <c r="F1161" s="864">
        <f t="shared" si="138"/>
        <v>26.05940594059406</v>
      </c>
      <c r="G1161" s="603">
        <v>10100</v>
      </c>
      <c r="H1161" s="581">
        <v>2632</v>
      </c>
      <c r="I1161" s="897">
        <f t="shared" si="140"/>
        <v>26.05940594059406</v>
      </c>
      <c r="J1161" s="661"/>
      <c r="K1161" s="660"/>
      <c r="L1161" s="662"/>
      <c r="M1161" s="603"/>
      <c r="N1161" s="581"/>
      <c r="O1161" s="585"/>
      <c r="P1161" s="581"/>
      <c r="Q1161" s="581"/>
      <c r="R1161" s="653"/>
      <c r="S1161" s="564"/>
      <c r="T1161" s="564"/>
      <c r="U1161" s="564"/>
      <c r="V1161" s="564"/>
      <c r="W1161" s="565"/>
      <c r="X1161" s="565"/>
      <c r="Y1161" s="565"/>
      <c r="Z1161" s="565"/>
    </row>
    <row r="1162" spans="1:26" s="639" customFormat="1" ht="24" hidden="1">
      <c r="A1162" s="647">
        <v>4270</v>
      </c>
      <c r="B1162" s="828" t="s">
        <v>197</v>
      </c>
      <c r="C1162" s="603"/>
      <c r="D1162" s="581">
        <f t="shared" si="137"/>
        <v>0</v>
      </c>
      <c r="E1162" s="581">
        <f t="shared" si="139"/>
        <v>0</v>
      </c>
      <c r="F1162" s="864" t="e">
        <f t="shared" si="138"/>
        <v>#DIV/0!</v>
      </c>
      <c r="G1162" s="603"/>
      <c r="H1162" s="581"/>
      <c r="I1162" s="897" t="e">
        <f t="shared" si="140"/>
        <v>#DIV/0!</v>
      </c>
      <c r="J1162" s="661"/>
      <c r="K1162" s="660"/>
      <c r="L1162" s="662"/>
      <c r="M1162" s="603"/>
      <c r="N1162" s="581"/>
      <c r="O1162" s="585"/>
      <c r="P1162" s="581"/>
      <c r="Q1162" s="581"/>
      <c r="R1162" s="653"/>
      <c r="S1162" s="564"/>
      <c r="T1162" s="564"/>
      <c r="U1162" s="564"/>
      <c r="V1162" s="564"/>
      <c r="W1162" s="565"/>
      <c r="X1162" s="565"/>
      <c r="Y1162" s="565"/>
      <c r="Z1162" s="565"/>
    </row>
    <row r="1163" spans="1:26" s="639" customFormat="1" ht="24">
      <c r="A1163" s="647">
        <v>4280</v>
      </c>
      <c r="B1163" s="828" t="s">
        <v>582</v>
      </c>
      <c r="C1163" s="603">
        <v>150</v>
      </c>
      <c r="D1163" s="581">
        <f t="shared" si="137"/>
        <v>150</v>
      </c>
      <c r="E1163" s="581">
        <f t="shared" si="139"/>
        <v>0</v>
      </c>
      <c r="F1163" s="864">
        <f t="shared" si="138"/>
        <v>0</v>
      </c>
      <c r="G1163" s="603">
        <v>150</v>
      </c>
      <c r="H1163" s="581"/>
      <c r="I1163" s="897">
        <f t="shared" si="140"/>
        <v>0</v>
      </c>
      <c r="J1163" s="661"/>
      <c r="K1163" s="660"/>
      <c r="L1163" s="662"/>
      <c r="M1163" s="603"/>
      <c r="N1163" s="581"/>
      <c r="O1163" s="585"/>
      <c r="P1163" s="581"/>
      <c r="Q1163" s="581"/>
      <c r="R1163" s="653"/>
      <c r="S1163" s="564"/>
      <c r="T1163" s="564"/>
      <c r="U1163" s="564"/>
      <c r="V1163" s="564"/>
      <c r="W1163" s="565"/>
      <c r="X1163" s="565"/>
      <c r="Y1163" s="565"/>
      <c r="Z1163" s="565"/>
    </row>
    <row r="1164" spans="1:26" s="639" customFormat="1" ht="12" customHeight="1">
      <c r="A1164" s="647">
        <v>4300</v>
      </c>
      <c r="B1164" s="828" t="s">
        <v>199</v>
      </c>
      <c r="C1164" s="603">
        <v>21000</v>
      </c>
      <c r="D1164" s="581">
        <f t="shared" si="137"/>
        <v>21000</v>
      </c>
      <c r="E1164" s="581">
        <f t="shared" si="139"/>
        <v>2216</v>
      </c>
      <c r="F1164" s="864">
        <f t="shared" si="138"/>
        <v>10.552380952380952</v>
      </c>
      <c r="G1164" s="603">
        <v>21000</v>
      </c>
      <c r="H1164" s="581">
        <v>2216</v>
      </c>
      <c r="I1164" s="897">
        <f t="shared" si="140"/>
        <v>10.552380952380952</v>
      </c>
      <c r="J1164" s="661"/>
      <c r="K1164" s="660"/>
      <c r="L1164" s="662"/>
      <c r="M1164" s="603"/>
      <c r="N1164" s="581"/>
      <c r="O1164" s="585"/>
      <c r="P1164" s="581"/>
      <c r="Q1164" s="581"/>
      <c r="R1164" s="653"/>
      <c r="S1164" s="564"/>
      <c r="T1164" s="564"/>
      <c r="U1164" s="564"/>
      <c r="V1164" s="564"/>
      <c r="W1164" s="565"/>
      <c r="X1164" s="565"/>
      <c r="Y1164" s="565"/>
      <c r="Z1164" s="565"/>
    </row>
    <row r="1165" spans="1:26" s="639" customFormat="1" ht="24">
      <c r="A1165" s="647">
        <v>4350</v>
      </c>
      <c r="B1165" s="651" t="s">
        <v>584</v>
      </c>
      <c r="C1165" s="603">
        <v>960</v>
      </c>
      <c r="D1165" s="581">
        <f t="shared" si="137"/>
        <v>960</v>
      </c>
      <c r="E1165" s="581">
        <f>SUM(H1165+K1165+N1165+Q1165)</f>
        <v>240</v>
      </c>
      <c r="F1165" s="864">
        <f>E1165/D1165*100</f>
        <v>25</v>
      </c>
      <c r="G1165" s="603">
        <v>960</v>
      </c>
      <c r="H1165" s="581">
        <v>240</v>
      </c>
      <c r="I1165" s="897">
        <f t="shared" si="140"/>
        <v>25</v>
      </c>
      <c r="J1165" s="661"/>
      <c r="K1165" s="660"/>
      <c r="L1165" s="662"/>
      <c r="M1165" s="603"/>
      <c r="N1165" s="581"/>
      <c r="O1165" s="585"/>
      <c r="P1165" s="581"/>
      <c r="Q1165" s="581"/>
      <c r="R1165" s="653"/>
      <c r="S1165" s="564"/>
      <c r="T1165" s="564"/>
      <c r="U1165" s="564"/>
      <c r="V1165" s="564"/>
      <c r="W1165" s="565"/>
      <c r="X1165" s="565"/>
      <c r="Y1165" s="565"/>
      <c r="Z1165" s="565"/>
    </row>
    <row r="1166" spans="1:26" s="639" customFormat="1" ht="60.75" customHeight="1">
      <c r="A1166" s="647">
        <v>4370</v>
      </c>
      <c r="B1166" s="712" t="s">
        <v>432</v>
      </c>
      <c r="C1166" s="603">
        <v>1200</v>
      </c>
      <c r="D1166" s="581">
        <f t="shared" si="137"/>
        <v>1200</v>
      </c>
      <c r="E1166" s="581">
        <f t="shared" si="139"/>
        <v>384</v>
      </c>
      <c r="F1166" s="864">
        <f t="shared" si="138"/>
        <v>32</v>
      </c>
      <c r="G1166" s="603">
        <v>1200</v>
      </c>
      <c r="H1166" s="581">
        <v>384</v>
      </c>
      <c r="I1166" s="897">
        <f t="shared" si="140"/>
        <v>32</v>
      </c>
      <c r="J1166" s="661"/>
      <c r="K1166" s="660"/>
      <c r="L1166" s="662"/>
      <c r="M1166" s="603"/>
      <c r="N1166" s="581"/>
      <c r="O1166" s="585"/>
      <c r="P1166" s="581"/>
      <c r="Q1166" s="581"/>
      <c r="R1166" s="653"/>
      <c r="S1166" s="564"/>
      <c r="T1166" s="564"/>
      <c r="U1166" s="564"/>
      <c r="V1166" s="564"/>
      <c r="W1166" s="565"/>
      <c r="X1166" s="565"/>
      <c r="Y1166" s="565"/>
      <c r="Z1166" s="565"/>
    </row>
    <row r="1167" spans="1:26" s="639" customFormat="1" ht="12.75">
      <c r="A1167" s="647">
        <v>4440</v>
      </c>
      <c r="B1167" s="828" t="s">
        <v>203</v>
      </c>
      <c r="C1167" s="603">
        <v>3000</v>
      </c>
      <c r="D1167" s="581">
        <f t="shared" si="137"/>
        <v>3000</v>
      </c>
      <c r="E1167" s="581">
        <f>SUM(H1167+K1167+N1167+Q1167)</f>
        <v>3000</v>
      </c>
      <c r="F1167" s="864">
        <f t="shared" si="138"/>
        <v>100</v>
      </c>
      <c r="G1167" s="603">
        <v>3000</v>
      </c>
      <c r="H1167" s="581">
        <v>3000</v>
      </c>
      <c r="I1167" s="897">
        <f t="shared" si="140"/>
        <v>100</v>
      </c>
      <c r="J1167" s="661"/>
      <c r="K1167" s="660"/>
      <c r="L1167" s="662"/>
      <c r="M1167" s="603"/>
      <c r="N1167" s="581"/>
      <c r="O1167" s="585"/>
      <c r="P1167" s="581"/>
      <c r="Q1167" s="581"/>
      <c r="R1167" s="653"/>
      <c r="S1167" s="564"/>
      <c r="T1167" s="564"/>
      <c r="U1167" s="564"/>
      <c r="V1167" s="564"/>
      <c r="W1167" s="565"/>
      <c r="X1167" s="565"/>
      <c r="Y1167" s="565"/>
      <c r="Z1167" s="565"/>
    </row>
    <row r="1168" spans="1:26" s="639" customFormat="1" ht="18.75" customHeight="1">
      <c r="A1168" s="647">
        <v>4480</v>
      </c>
      <c r="B1168" s="828" t="s">
        <v>205</v>
      </c>
      <c r="C1168" s="603">
        <v>810</v>
      </c>
      <c r="D1168" s="581">
        <f t="shared" si="137"/>
        <v>810</v>
      </c>
      <c r="E1168" s="581">
        <f>SUM(H1168+K1168+N1168+Q1168)</f>
        <v>208</v>
      </c>
      <c r="F1168" s="864">
        <f t="shared" si="138"/>
        <v>25.679012345679013</v>
      </c>
      <c r="G1168" s="603">
        <v>810</v>
      </c>
      <c r="H1168" s="581">
        <v>208</v>
      </c>
      <c r="I1168" s="897">
        <f t="shared" si="140"/>
        <v>25.679012345679013</v>
      </c>
      <c r="J1168" s="661"/>
      <c r="K1168" s="660"/>
      <c r="L1168" s="662"/>
      <c r="M1168" s="603"/>
      <c r="N1168" s="581"/>
      <c r="O1168" s="585"/>
      <c r="P1168" s="581"/>
      <c r="Q1168" s="581"/>
      <c r="R1168" s="653"/>
      <c r="S1168" s="564"/>
      <c r="T1168" s="564"/>
      <c r="U1168" s="564"/>
      <c r="V1168" s="564"/>
      <c r="W1168" s="565"/>
      <c r="X1168" s="565"/>
      <c r="Y1168" s="565"/>
      <c r="Z1168" s="565"/>
    </row>
    <row r="1169" spans="1:26" s="639" customFormat="1" ht="46.5" customHeight="1">
      <c r="A1169" s="647">
        <v>4740</v>
      </c>
      <c r="B1169" s="712" t="s">
        <v>215</v>
      </c>
      <c r="C1169" s="603">
        <v>200</v>
      </c>
      <c r="D1169" s="581">
        <f>G1169+J1169+P1169+M1169</f>
        <v>200</v>
      </c>
      <c r="E1169" s="581">
        <f>SUM(H1169+K1169+N1169+Q1169)</f>
        <v>0</v>
      </c>
      <c r="F1169" s="864">
        <f>E1169/D1169*100</f>
        <v>0</v>
      </c>
      <c r="G1169" s="603">
        <v>200</v>
      </c>
      <c r="H1169" s="581"/>
      <c r="I1169" s="897">
        <f t="shared" si="140"/>
        <v>0</v>
      </c>
      <c r="J1169" s="661"/>
      <c r="K1169" s="660"/>
      <c r="L1169" s="662"/>
      <c r="M1169" s="603"/>
      <c r="N1169" s="581"/>
      <c r="O1169" s="585"/>
      <c r="P1169" s="581"/>
      <c r="Q1169" s="581"/>
      <c r="R1169" s="653"/>
      <c r="S1169" s="564"/>
      <c r="T1169" s="564"/>
      <c r="U1169" s="564"/>
      <c r="V1169" s="564"/>
      <c r="W1169" s="565"/>
      <c r="X1169" s="565"/>
      <c r="Y1169" s="565"/>
      <c r="Z1169" s="565"/>
    </row>
    <row r="1170" spans="1:26" s="639" customFormat="1" ht="36">
      <c r="A1170" s="647">
        <v>4750</v>
      </c>
      <c r="B1170" s="712" t="s">
        <v>589</v>
      </c>
      <c r="C1170" s="603">
        <v>400</v>
      </c>
      <c r="D1170" s="581">
        <f>G1170+J1170+P1170+M1170</f>
        <v>400</v>
      </c>
      <c r="E1170" s="581">
        <f>SUM(H1170+K1170+N1170+Q1170)</f>
        <v>197</v>
      </c>
      <c r="F1170" s="864">
        <f>E1170/D1170*100</f>
        <v>49.25</v>
      </c>
      <c r="G1170" s="603">
        <v>400</v>
      </c>
      <c r="H1170" s="581">
        <f>198-1</f>
        <v>197</v>
      </c>
      <c r="I1170" s="897">
        <f t="shared" si="140"/>
        <v>49.25</v>
      </c>
      <c r="J1170" s="661"/>
      <c r="K1170" s="660"/>
      <c r="L1170" s="662"/>
      <c r="M1170" s="603"/>
      <c r="N1170" s="581"/>
      <c r="O1170" s="585"/>
      <c r="P1170" s="581"/>
      <c r="Q1170" s="581"/>
      <c r="R1170" s="653"/>
      <c r="S1170" s="564"/>
      <c r="T1170" s="564"/>
      <c r="U1170" s="564"/>
      <c r="V1170" s="564"/>
      <c r="W1170" s="565"/>
      <c r="X1170" s="565"/>
      <c r="Y1170" s="565"/>
      <c r="Z1170" s="565"/>
    </row>
    <row r="1171" spans="1:26" s="639" customFormat="1" ht="48" hidden="1">
      <c r="A1171" s="647">
        <v>6060</v>
      </c>
      <c r="B1171" s="828" t="s">
        <v>628</v>
      </c>
      <c r="C1171" s="603"/>
      <c r="D1171" s="581">
        <f t="shared" si="137"/>
        <v>0</v>
      </c>
      <c r="E1171" s="581">
        <f t="shared" si="139"/>
        <v>0</v>
      </c>
      <c r="F1171" s="864" t="e">
        <f t="shared" si="138"/>
        <v>#DIV/0!</v>
      </c>
      <c r="G1171" s="603"/>
      <c r="H1171" s="581"/>
      <c r="I1171" s="886" t="e">
        <f t="shared" si="140"/>
        <v>#DIV/0!</v>
      </c>
      <c r="J1171" s="661"/>
      <c r="K1171" s="660"/>
      <c r="L1171" s="662"/>
      <c r="M1171" s="603"/>
      <c r="N1171" s="581"/>
      <c r="O1171" s="585"/>
      <c r="P1171" s="581"/>
      <c r="Q1171" s="581"/>
      <c r="R1171" s="653"/>
      <c r="S1171" s="564"/>
      <c r="T1171" s="564"/>
      <c r="U1171" s="564"/>
      <c r="V1171" s="564"/>
      <c r="W1171" s="565"/>
      <c r="X1171" s="565"/>
      <c r="Y1171" s="565"/>
      <c r="Z1171" s="565"/>
    </row>
    <row r="1172" spans="1:26" s="639" customFormat="1" ht="24">
      <c r="A1172" s="719"/>
      <c r="B1172" s="898" t="s">
        <v>792</v>
      </c>
      <c r="C1172" s="721">
        <f>SUM(C1173:C1191)</f>
        <v>204480</v>
      </c>
      <c r="D1172" s="642">
        <f t="shared" si="137"/>
        <v>204480</v>
      </c>
      <c r="E1172" s="642">
        <f t="shared" si="139"/>
        <v>51481</v>
      </c>
      <c r="F1172" s="899">
        <f t="shared" si="138"/>
        <v>25.17654538341158</v>
      </c>
      <c r="G1172" s="721"/>
      <c r="H1172" s="642"/>
      <c r="I1172" s="887"/>
      <c r="J1172" s="723"/>
      <c r="K1172" s="723"/>
      <c r="L1172" s="763"/>
      <c r="M1172" s="723">
        <f>SUM(M1173:M1191)</f>
        <v>204480</v>
      </c>
      <c r="N1172" s="723">
        <f>SUM(N1173:N1191)</f>
        <v>51481</v>
      </c>
      <c r="O1172" s="644">
        <f t="shared" si="136"/>
        <v>25.17654538341158</v>
      </c>
      <c r="P1172" s="642"/>
      <c r="Q1172" s="642"/>
      <c r="R1172" s="727"/>
      <c r="S1172" s="564"/>
      <c r="T1172" s="564"/>
      <c r="U1172" s="564"/>
      <c r="V1172" s="564"/>
      <c r="W1172" s="565"/>
      <c r="X1172" s="565"/>
      <c r="Y1172" s="565"/>
      <c r="Z1172" s="565"/>
    </row>
    <row r="1173" spans="1:26" s="639" customFormat="1" ht="25.5" customHeight="1">
      <c r="A1173" s="647">
        <v>4010</v>
      </c>
      <c r="B1173" s="651" t="s">
        <v>181</v>
      </c>
      <c r="C1173" s="606">
        <v>56355</v>
      </c>
      <c r="D1173" s="581">
        <f t="shared" si="137"/>
        <v>56355</v>
      </c>
      <c r="E1173" s="581">
        <f t="shared" si="139"/>
        <v>14088</v>
      </c>
      <c r="F1173" s="864">
        <f t="shared" si="138"/>
        <v>24.998669150918285</v>
      </c>
      <c r="G1173" s="659"/>
      <c r="H1173" s="660"/>
      <c r="I1173" s="653"/>
      <c r="J1173" s="661"/>
      <c r="K1173" s="661"/>
      <c r="L1173" s="662"/>
      <c r="M1173" s="586">
        <v>56355</v>
      </c>
      <c r="N1173" s="581">
        <v>14088</v>
      </c>
      <c r="O1173" s="627">
        <f t="shared" si="136"/>
        <v>24.998669150918285</v>
      </c>
      <c r="P1173" s="581"/>
      <c r="Q1173" s="581"/>
      <c r="R1173" s="653"/>
      <c r="S1173" s="482"/>
      <c r="T1173" s="482"/>
      <c r="U1173" s="564"/>
      <c r="V1173" s="564"/>
      <c r="W1173" s="565"/>
      <c r="X1173" s="565"/>
      <c r="Y1173" s="565"/>
      <c r="Z1173" s="565"/>
    </row>
    <row r="1174" spans="1:26" s="639" customFormat="1" ht="24">
      <c r="A1174" s="647">
        <v>4040</v>
      </c>
      <c r="B1174" s="651" t="s">
        <v>249</v>
      </c>
      <c r="C1174" s="603">
        <v>4815</v>
      </c>
      <c r="D1174" s="581">
        <f aca="true" t="shared" si="141" ref="D1174:D1211">G1174+J1174+P1174+M1174</f>
        <v>4815</v>
      </c>
      <c r="E1174" s="581">
        <f t="shared" si="139"/>
        <v>4711</v>
      </c>
      <c r="F1174" s="864">
        <f t="shared" si="138"/>
        <v>97.84008307372794</v>
      </c>
      <c r="G1174" s="659"/>
      <c r="H1174" s="660"/>
      <c r="I1174" s="653"/>
      <c r="J1174" s="661"/>
      <c r="K1174" s="661"/>
      <c r="L1174" s="662"/>
      <c r="M1174" s="586">
        <v>4815</v>
      </c>
      <c r="N1174" s="581">
        <v>4711</v>
      </c>
      <c r="O1174" s="627">
        <f t="shared" si="136"/>
        <v>97.84008307372794</v>
      </c>
      <c r="P1174" s="581"/>
      <c r="Q1174" s="581"/>
      <c r="R1174" s="653"/>
      <c r="S1174" s="482"/>
      <c r="T1174" s="482"/>
      <c r="U1174" s="564"/>
      <c r="V1174" s="564"/>
      <c r="W1174" s="565"/>
      <c r="X1174" s="565"/>
      <c r="Y1174" s="565"/>
      <c r="Z1174" s="565"/>
    </row>
    <row r="1175" spans="1:26" s="639" customFormat="1" ht="24" customHeight="1">
      <c r="A1175" s="647">
        <v>4110</v>
      </c>
      <c r="B1175" s="651" t="s">
        <v>187</v>
      </c>
      <c r="C1175" s="603">
        <v>9655</v>
      </c>
      <c r="D1175" s="581">
        <f t="shared" si="141"/>
        <v>9745</v>
      </c>
      <c r="E1175" s="581">
        <f t="shared" si="139"/>
        <v>2995</v>
      </c>
      <c r="F1175" s="864">
        <f t="shared" si="138"/>
        <v>30.73370959466393</v>
      </c>
      <c r="G1175" s="659"/>
      <c r="H1175" s="660"/>
      <c r="I1175" s="653"/>
      <c r="J1175" s="661"/>
      <c r="K1175" s="661"/>
      <c r="L1175" s="662"/>
      <c r="M1175" s="586">
        <f>9655+90</f>
        <v>9745</v>
      </c>
      <c r="N1175" s="581">
        <v>2995</v>
      </c>
      <c r="O1175" s="627">
        <f t="shared" si="136"/>
        <v>30.73370959466393</v>
      </c>
      <c r="P1175" s="581"/>
      <c r="Q1175" s="581"/>
      <c r="R1175" s="653"/>
      <c r="S1175" s="482"/>
      <c r="T1175" s="482"/>
      <c r="U1175" s="564"/>
      <c r="V1175" s="564"/>
      <c r="W1175" s="565"/>
      <c r="X1175" s="565"/>
      <c r="Y1175" s="565"/>
      <c r="Z1175" s="565"/>
    </row>
    <row r="1176" spans="1:26" s="639" customFormat="1" ht="12.75">
      <c r="A1176" s="647">
        <v>4120</v>
      </c>
      <c r="B1176" s="651" t="s">
        <v>619</v>
      </c>
      <c r="C1176" s="603">
        <v>1500</v>
      </c>
      <c r="D1176" s="581">
        <f t="shared" si="141"/>
        <v>1500</v>
      </c>
      <c r="E1176" s="581">
        <f t="shared" si="139"/>
        <v>461</v>
      </c>
      <c r="F1176" s="864">
        <f t="shared" si="138"/>
        <v>30.733333333333334</v>
      </c>
      <c r="G1176" s="659"/>
      <c r="H1176" s="660"/>
      <c r="I1176" s="653"/>
      <c r="J1176" s="661"/>
      <c r="K1176" s="661"/>
      <c r="L1176" s="662"/>
      <c r="M1176" s="586">
        <v>1500</v>
      </c>
      <c r="N1176" s="581">
        <f>461-1+1</f>
        <v>461</v>
      </c>
      <c r="O1176" s="627">
        <f t="shared" si="136"/>
        <v>30.733333333333334</v>
      </c>
      <c r="P1176" s="581"/>
      <c r="Q1176" s="581"/>
      <c r="R1176" s="653"/>
      <c r="S1176" s="482"/>
      <c r="T1176" s="482"/>
      <c r="U1176" s="564"/>
      <c r="V1176" s="564"/>
      <c r="W1176" s="565"/>
      <c r="X1176" s="565"/>
      <c r="Y1176" s="565"/>
      <c r="Z1176" s="565"/>
    </row>
    <row r="1177" spans="1:26" s="639" customFormat="1" ht="24">
      <c r="A1177" s="647">
        <v>4170</v>
      </c>
      <c r="B1177" s="651" t="s">
        <v>221</v>
      </c>
      <c r="C1177" s="603"/>
      <c r="D1177" s="581">
        <f t="shared" si="141"/>
        <v>10600</v>
      </c>
      <c r="E1177" s="581">
        <f t="shared" si="139"/>
        <v>3425</v>
      </c>
      <c r="F1177" s="864">
        <f t="shared" si="138"/>
        <v>32.31132075471698</v>
      </c>
      <c r="G1177" s="659"/>
      <c r="H1177" s="660"/>
      <c r="I1177" s="653"/>
      <c r="J1177" s="661"/>
      <c r="K1177" s="661"/>
      <c r="L1177" s="662"/>
      <c r="M1177" s="586">
        <v>10600</v>
      </c>
      <c r="N1177" s="581">
        <v>3425</v>
      </c>
      <c r="O1177" s="627">
        <f t="shared" si="136"/>
        <v>32.31132075471698</v>
      </c>
      <c r="P1177" s="581"/>
      <c r="Q1177" s="581"/>
      <c r="R1177" s="653"/>
      <c r="S1177" s="482"/>
      <c r="T1177" s="482"/>
      <c r="U1177" s="564"/>
      <c r="V1177" s="564"/>
      <c r="W1177" s="565"/>
      <c r="X1177" s="565"/>
      <c r="Y1177" s="565"/>
      <c r="Z1177" s="565"/>
    </row>
    <row r="1178" spans="1:26" s="639" customFormat="1" ht="24">
      <c r="A1178" s="647">
        <v>4210</v>
      </c>
      <c r="B1178" s="651" t="s">
        <v>191</v>
      </c>
      <c r="C1178" s="603">
        <v>10850</v>
      </c>
      <c r="D1178" s="581">
        <f t="shared" si="141"/>
        <v>10850</v>
      </c>
      <c r="E1178" s="581">
        <f t="shared" si="139"/>
        <v>1810</v>
      </c>
      <c r="F1178" s="864">
        <f t="shared" si="138"/>
        <v>16.682027649769584</v>
      </c>
      <c r="G1178" s="659"/>
      <c r="H1178" s="660"/>
      <c r="I1178" s="653"/>
      <c r="J1178" s="661"/>
      <c r="K1178" s="661"/>
      <c r="L1178" s="662"/>
      <c r="M1178" s="586">
        <v>10850</v>
      </c>
      <c r="N1178" s="581">
        <v>1810</v>
      </c>
      <c r="O1178" s="627">
        <f t="shared" si="136"/>
        <v>16.682027649769584</v>
      </c>
      <c r="P1178" s="581"/>
      <c r="Q1178" s="581"/>
      <c r="R1178" s="653"/>
      <c r="S1178" s="564"/>
      <c r="T1178" s="564"/>
      <c r="U1178" s="564"/>
      <c r="V1178" s="564"/>
      <c r="W1178" s="565"/>
      <c r="X1178" s="565"/>
      <c r="Y1178" s="565"/>
      <c r="Z1178" s="565"/>
    </row>
    <row r="1179" spans="1:26" s="639" customFormat="1" ht="23.25" customHeight="1">
      <c r="A1179" s="647">
        <v>4230</v>
      </c>
      <c r="B1179" s="651" t="s">
        <v>193</v>
      </c>
      <c r="C1179" s="603">
        <v>200</v>
      </c>
      <c r="D1179" s="581">
        <f t="shared" si="141"/>
        <v>200</v>
      </c>
      <c r="E1179" s="581">
        <f t="shared" si="139"/>
        <v>0</v>
      </c>
      <c r="F1179" s="864">
        <f t="shared" si="138"/>
        <v>0</v>
      </c>
      <c r="G1179" s="659"/>
      <c r="H1179" s="660"/>
      <c r="I1179" s="653"/>
      <c r="J1179" s="661"/>
      <c r="K1179" s="661"/>
      <c r="L1179" s="662"/>
      <c r="M1179" s="586">
        <v>200</v>
      </c>
      <c r="N1179" s="581"/>
      <c r="O1179" s="627">
        <f t="shared" si="136"/>
        <v>0</v>
      </c>
      <c r="P1179" s="581"/>
      <c r="Q1179" s="581"/>
      <c r="R1179" s="653"/>
      <c r="S1179" s="564"/>
      <c r="T1179" s="564"/>
      <c r="U1179" s="564"/>
      <c r="V1179" s="564"/>
      <c r="W1179" s="565"/>
      <c r="X1179" s="565"/>
      <c r="Y1179" s="565"/>
      <c r="Z1179" s="565"/>
    </row>
    <row r="1180" spans="1:26" s="639" customFormat="1" ht="26.25" customHeight="1">
      <c r="A1180" s="647">
        <v>4240</v>
      </c>
      <c r="B1180" s="651" t="s">
        <v>608</v>
      </c>
      <c r="C1180" s="603">
        <v>3600</v>
      </c>
      <c r="D1180" s="581">
        <f t="shared" si="141"/>
        <v>3600</v>
      </c>
      <c r="E1180" s="581">
        <f>SUM(H1180+K1180+N1180+Q1180)</f>
        <v>0</v>
      </c>
      <c r="F1180" s="864">
        <f>E1180/D1180*100</f>
        <v>0</v>
      </c>
      <c r="G1180" s="659"/>
      <c r="H1180" s="660"/>
      <c r="I1180" s="653"/>
      <c r="J1180" s="661"/>
      <c r="K1180" s="661"/>
      <c r="L1180" s="662"/>
      <c r="M1180" s="586">
        <v>3600</v>
      </c>
      <c r="N1180" s="581"/>
      <c r="O1180" s="627">
        <f t="shared" si="136"/>
        <v>0</v>
      </c>
      <c r="P1180" s="581"/>
      <c r="Q1180" s="581"/>
      <c r="R1180" s="653"/>
      <c r="S1180" s="564"/>
      <c r="T1180" s="564"/>
      <c r="U1180" s="564"/>
      <c r="V1180" s="564"/>
      <c r="W1180" s="565"/>
      <c r="X1180" s="565"/>
      <c r="Y1180" s="565"/>
      <c r="Z1180" s="565"/>
    </row>
    <row r="1181" spans="1:26" s="639" customFormat="1" ht="12.75">
      <c r="A1181" s="647">
        <v>4260</v>
      </c>
      <c r="B1181" s="651" t="s">
        <v>195</v>
      </c>
      <c r="C1181" s="603">
        <v>7005</v>
      </c>
      <c r="D1181" s="581">
        <f t="shared" si="141"/>
        <v>7005</v>
      </c>
      <c r="E1181" s="581">
        <f t="shared" si="139"/>
        <v>1793</v>
      </c>
      <c r="F1181" s="864">
        <f t="shared" si="138"/>
        <v>25.5960028551035</v>
      </c>
      <c r="G1181" s="659"/>
      <c r="H1181" s="660"/>
      <c r="I1181" s="653"/>
      <c r="J1181" s="661"/>
      <c r="K1181" s="661"/>
      <c r="L1181" s="662"/>
      <c r="M1181" s="586">
        <v>7005</v>
      </c>
      <c r="N1181" s="581">
        <v>1793</v>
      </c>
      <c r="O1181" s="627">
        <f t="shared" si="136"/>
        <v>25.5960028551035</v>
      </c>
      <c r="P1181" s="581"/>
      <c r="Q1181" s="581"/>
      <c r="R1181" s="653"/>
      <c r="S1181" s="564"/>
      <c r="T1181" s="564"/>
      <c r="U1181" s="564"/>
      <c r="V1181" s="564"/>
      <c r="W1181" s="565"/>
      <c r="X1181" s="565"/>
      <c r="Y1181" s="565"/>
      <c r="Z1181" s="565"/>
    </row>
    <row r="1182" spans="1:26" s="639" customFormat="1" ht="14.25" customHeight="1">
      <c r="A1182" s="647">
        <v>4270</v>
      </c>
      <c r="B1182" s="651" t="s">
        <v>197</v>
      </c>
      <c r="C1182" s="603">
        <v>600</v>
      </c>
      <c r="D1182" s="581">
        <f t="shared" si="141"/>
        <v>600</v>
      </c>
      <c r="E1182" s="581">
        <f t="shared" si="139"/>
        <v>600</v>
      </c>
      <c r="F1182" s="864">
        <f t="shared" si="138"/>
        <v>100</v>
      </c>
      <c r="G1182" s="659"/>
      <c r="H1182" s="660"/>
      <c r="I1182" s="653"/>
      <c r="J1182" s="661"/>
      <c r="K1182" s="661"/>
      <c r="L1182" s="662"/>
      <c r="M1182" s="586">
        <v>600</v>
      </c>
      <c r="N1182" s="581">
        <v>600</v>
      </c>
      <c r="O1182" s="627">
        <f t="shared" si="136"/>
        <v>100</v>
      </c>
      <c r="P1182" s="581"/>
      <c r="Q1182" s="581"/>
      <c r="R1182" s="653"/>
      <c r="S1182" s="564"/>
      <c r="T1182" s="564"/>
      <c r="U1182" s="564"/>
      <c r="V1182" s="564"/>
      <c r="W1182" s="565"/>
      <c r="X1182" s="565"/>
      <c r="Y1182" s="565"/>
      <c r="Z1182" s="565"/>
    </row>
    <row r="1183" spans="1:26" s="639" customFormat="1" ht="15" customHeight="1">
      <c r="A1183" s="647">
        <v>4280</v>
      </c>
      <c r="B1183" s="651" t="s">
        <v>793</v>
      </c>
      <c r="C1183" s="603">
        <v>2100</v>
      </c>
      <c r="D1183" s="581">
        <f t="shared" si="141"/>
        <v>2100</v>
      </c>
      <c r="E1183" s="581">
        <f t="shared" si="139"/>
        <v>360</v>
      </c>
      <c r="F1183" s="864">
        <f t="shared" si="138"/>
        <v>17.142857142857142</v>
      </c>
      <c r="G1183" s="659"/>
      <c r="H1183" s="660"/>
      <c r="I1183" s="653"/>
      <c r="J1183" s="661"/>
      <c r="K1183" s="661"/>
      <c r="L1183" s="662"/>
      <c r="M1183" s="586">
        <v>2100</v>
      </c>
      <c r="N1183" s="581">
        <v>360</v>
      </c>
      <c r="O1183" s="627">
        <f t="shared" si="136"/>
        <v>17.142857142857142</v>
      </c>
      <c r="P1183" s="581"/>
      <c r="Q1183" s="581"/>
      <c r="R1183" s="653"/>
      <c r="S1183" s="564"/>
      <c r="T1183" s="564"/>
      <c r="U1183" s="564"/>
      <c r="V1183" s="564"/>
      <c r="W1183" s="565"/>
      <c r="X1183" s="565"/>
      <c r="Y1183" s="565"/>
      <c r="Z1183" s="565"/>
    </row>
    <row r="1184" spans="1:26" s="639" customFormat="1" ht="12" customHeight="1">
      <c r="A1184" s="647">
        <v>4300</v>
      </c>
      <c r="B1184" s="651" t="s">
        <v>199</v>
      </c>
      <c r="C1184" s="603">
        <v>101690</v>
      </c>
      <c r="D1184" s="581">
        <f t="shared" si="141"/>
        <v>91000</v>
      </c>
      <c r="E1184" s="581">
        <f t="shared" si="139"/>
        <v>20485</v>
      </c>
      <c r="F1184" s="864">
        <f t="shared" si="138"/>
        <v>22.51098901098901</v>
      </c>
      <c r="G1184" s="659"/>
      <c r="H1184" s="660"/>
      <c r="I1184" s="653"/>
      <c r="J1184" s="661"/>
      <c r="K1184" s="661"/>
      <c r="L1184" s="662"/>
      <c r="M1184" s="586">
        <f>101690-10690</f>
        <v>91000</v>
      </c>
      <c r="N1184" s="581">
        <f>20485-1+1</f>
        <v>20485</v>
      </c>
      <c r="O1184" s="627">
        <f t="shared" si="136"/>
        <v>22.51098901098901</v>
      </c>
      <c r="P1184" s="581"/>
      <c r="Q1184" s="581"/>
      <c r="R1184" s="653"/>
      <c r="S1184" s="564"/>
      <c r="T1184" s="564"/>
      <c r="U1184" s="564"/>
      <c r="V1184" s="564"/>
      <c r="W1184" s="565"/>
      <c r="X1184" s="565"/>
      <c r="Y1184" s="565"/>
      <c r="Z1184" s="565"/>
    </row>
    <row r="1185" spans="1:26" s="639" customFormat="1" ht="24">
      <c r="A1185" s="647">
        <v>4350</v>
      </c>
      <c r="B1185" s="651" t="s">
        <v>584</v>
      </c>
      <c r="C1185" s="603">
        <v>700</v>
      </c>
      <c r="D1185" s="581">
        <f t="shared" si="141"/>
        <v>700</v>
      </c>
      <c r="E1185" s="581">
        <f t="shared" si="139"/>
        <v>180</v>
      </c>
      <c r="F1185" s="864">
        <f t="shared" si="138"/>
        <v>25.71428571428571</v>
      </c>
      <c r="G1185" s="659"/>
      <c r="H1185" s="660"/>
      <c r="I1185" s="653"/>
      <c r="J1185" s="661"/>
      <c r="K1185" s="661"/>
      <c r="L1185" s="662"/>
      <c r="M1185" s="586">
        <v>700</v>
      </c>
      <c r="N1185" s="581">
        <v>180</v>
      </c>
      <c r="O1185" s="627">
        <f t="shared" si="136"/>
        <v>25.71428571428571</v>
      </c>
      <c r="P1185" s="581"/>
      <c r="Q1185" s="581"/>
      <c r="R1185" s="653"/>
      <c r="S1185" s="564"/>
      <c r="T1185" s="564"/>
      <c r="U1185" s="564"/>
      <c r="V1185" s="564"/>
      <c r="W1185" s="565"/>
      <c r="X1185" s="565"/>
      <c r="Y1185" s="565"/>
      <c r="Z1185" s="565"/>
    </row>
    <row r="1186" spans="1:26" s="639" customFormat="1" ht="60.75" customHeight="1">
      <c r="A1186" s="647">
        <v>4370</v>
      </c>
      <c r="B1186" s="712" t="s">
        <v>432</v>
      </c>
      <c r="C1186" s="603">
        <v>1300</v>
      </c>
      <c r="D1186" s="581">
        <f t="shared" si="141"/>
        <v>1300</v>
      </c>
      <c r="E1186" s="581">
        <f t="shared" si="139"/>
        <v>322</v>
      </c>
      <c r="F1186" s="864">
        <f t="shared" si="138"/>
        <v>24.76923076923077</v>
      </c>
      <c r="G1186" s="659"/>
      <c r="H1186" s="660"/>
      <c r="I1186" s="653"/>
      <c r="J1186" s="661"/>
      <c r="K1186" s="661"/>
      <c r="L1186" s="662"/>
      <c r="M1186" s="586">
        <v>1300</v>
      </c>
      <c r="N1186" s="581">
        <v>322</v>
      </c>
      <c r="O1186" s="627">
        <f t="shared" si="136"/>
        <v>24.76923076923077</v>
      </c>
      <c r="P1186" s="581"/>
      <c r="Q1186" s="581"/>
      <c r="R1186" s="653"/>
      <c r="S1186" s="564"/>
      <c r="T1186" s="564"/>
      <c r="U1186" s="564"/>
      <c r="V1186" s="564"/>
      <c r="W1186" s="565"/>
      <c r="X1186" s="565"/>
      <c r="Y1186" s="565"/>
      <c r="Z1186" s="565"/>
    </row>
    <row r="1187" spans="1:26" s="639" customFormat="1" ht="12" customHeight="1">
      <c r="A1187" s="647">
        <v>4410</v>
      </c>
      <c r="B1187" s="651" t="s">
        <v>173</v>
      </c>
      <c r="C1187" s="603">
        <v>3010</v>
      </c>
      <c r="D1187" s="581">
        <f t="shared" si="141"/>
        <v>3010</v>
      </c>
      <c r="E1187" s="581">
        <f t="shared" si="139"/>
        <v>251</v>
      </c>
      <c r="F1187" s="864">
        <f t="shared" si="138"/>
        <v>8.338870431893687</v>
      </c>
      <c r="G1187" s="659"/>
      <c r="H1187" s="660"/>
      <c r="I1187" s="653"/>
      <c r="J1187" s="661"/>
      <c r="K1187" s="661"/>
      <c r="L1187" s="662"/>
      <c r="M1187" s="586">
        <v>3010</v>
      </c>
      <c r="N1187" s="581">
        <v>251</v>
      </c>
      <c r="O1187" s="627">
        <f t="shared" si="136"/>
        <v>8.338870431893687</v>
      </c>
      <c r="P1187" s="581"/>
      <c r="Q1187" s="581"/>
      <c r="R1187" s="653"/>
      <c r="S1187" s="564"/>
      <c r="T1187" s="564"/>
      <c r="U1187" s="564"/>
      <c r="V1187" s="564"/>
      <c r="W1187" s="565"/>
      <c r="X1187" s="565"/>
      <c r="Y1187" s="565"/>
      <c r="Z1187" s="565"/>
    </row>
    <row r="1188" spans="1:26" s="639" customFormat="1" ht="12" customHeight="1" hidden="1">
      <c r="A1188" s="647">
        <v>4440</v>
      </c>
      <c r="B1188" s="651" t="s">
        <v>203</v>
      </c>
      <c r="C1188" s="603"/>
      <c r="D1188" s="581">
        <f t="shared" si="141"/>
        <v>0</v>
      </c>
      <c r="E1188" s="581">
        <f t="shared" si="139"/>
        <v>0</v>
      </c>
      <c r="F1188" s="864" t="e">
        <f t="shared" si="138"/>
        <v>#DIV/0!</v>
      </c>
      <c r="G1188" s="659"/>
      <c r="H1188" s="660"/>
      <c r="I1188" s="653"/>
      <c r="J1188" s="661"/>
      <c r="K1188" s="661"/>
      <c r="L1188" s="662"/>
      <c r="M1188" s="586"/>
      <c r="N1188" s="581"/>
      <c r="O1188" s="627" t="e">
        <f t="shared" si="136"/>
        <v>#DIV/0!</v>
      </c>
      <c r="P1188" s="581"/>
      <c r="Q1188" s="581"/>
      <c r="R1188" s="653"/>
      <c r="S1188" s="564"/>
      <c r="T1188" s="564"/>
      <c r="U1188" s="564"/>
      <c r="V1188" s="564"/>
      <c r="W1188" s="565"/>
      <c r="X1188" s="565"/>
      <c r="Y1188" s="565"/>
      <c r="Z1188" s="565"/>
    </row>
    <row r="1189" spans="1:26" s="639" customFormat="1" ht="37.5" customHeight="1">
      <c r="A1189" s="647">
        <v>4700</v>
      </c>
      <c r="B1189" s="651" t="s">
        <v>588</v>
      </c>
      <c r="C1189" s="603">
        <v>500</v>
      </c>
      <c r="D1189" s="581">
        <f>G1189+J1189+P1189+M1189</f>
        <v>500</v>
      </c>
      <c r="E1189" s="581">
        <f>SUM(H1189+K1189+N1189+Q1189)</f>
        <v>0</v>
      </c>
      <c r="F1189" s="864">
        <f>E1189/D1189*100</f>
        <v>0</v>
      </c>
      <c r="G1189" s="659"/>
      <c r="H1189" s="660"/>
      <c r="I1189" s="653"/>
      <c r="J1189" s="661"/>
      <c r="K1189" s="661"/>
      <c r="L1189" s="662"/>
      <c r="M1189" s="586">
        <v>500</v>
      </c>
      <c r="N1189" s="581"/>
      <c r="O1189" s="627">
        <f t="shared" si="136"/>
        <v>0</v>
      </c>
      <c r="P1189" s="581"/>
      <c r="Q1189" s="581"/>
      <c r="R1189" s="653"/>
      <c r="S1189" s="564"/>
      <c r="T1189" s="564"/>
      <c r="U1189" s="564"/>
      <c r="V1189" s="564"/>
      <c r="W1189" s="565"/>
      <c r="X1189" s="565"/>
      <c r="Y1189" s="565"/>
      <c r="Z1189" s="565"/>
    </row>
    <row r="1190" spans="1:26" s="639" customFormat="1" ht="51" customHeight="1">
      <c r="A1190" s="647">
        <v>4740</v>
      </c>
      <c r="B1190" s="712" t="s">
        <v>215</v>
      </c>
      <c r="C1190" s="586">
        <v>200</v>
      </c>
      <c r="D1190" s="581">
        <f t="shared" si="141"/>
        <v>200</v>
      </c>
      <c r="E1190" s="581">
        <f t="shared" si="139"/>
        <v>0</v>
      </c>
      <c r="F1190" s="864">
        <f t="shared" si="138"/>
        <v>0</v>
      </c>
      <c r="G1190" s="659"/>
      <c r="H1190" s="660"/>
      <c r="I1190" s="653"/>
      <c r="J1190" s="661"/>
      <c r="K1190" s="661"/>
      <c r="L1190" s="662"/>
      <c r="M1190" s="586">
        <v>200</v>
      </c>
      <c r="N1190" s="581"/>
      <c r="O1190" s="627">
        <f t="shared" si="136"/>
        <v>0</v>
      </c>
      <c r="P1190" s="581"/>
      <c r="Q1190" s="581"/>
      <c r="R1190" s="653"/>
      <c r="S1190" s="564"/>
      <c r="T1190" s="564"/>
      <c r="U1190" s="564"/>
      <c r="V1190" s="564"/>
      <c r="W1190" s="565"/>
      <c r="X1190" s="565"/>
      <c r="Y1190" s="565"/>
      <c r="Z1190" s="565"/>
    </row>
    <row r="1191" spans="1:26" s="639" customFormat="1" ht="36">
      <c r="A1191" s="647">
        <v>4750</v>
      </c>
      <c r="B1191" s="712" t="s">
        <v>589</v>
      </c>
      <c r="C1191" s="586">
        <v>400</v>
      </c>
      <c r="D1191" s="581">
        <f t="shared" si="141"/>
        <v>400</v>
      </c>
      <c r="E1191" s="581">
        <f t="shared" si="139"/>
        <v>0</v>
      </c>
      <c r="F1191" s="864">
        <f t="shared" si="138"/>
        <v>0</v>
      </c>
      <c r="G1191" s="659"/>
      <c r="H1191" s="660"/>
      <c r="I1191" s="653"/>
      <c r="J1191" s="661"/>
      <c r="K1191" s="661"/>
      <c r="L1191" s="662"/>
      <c r="M1191" s="586">
        <v>400</v>
      </c>
      <c r="N1191" s="581"/>
      <c r="O1191" s="627">
        <f t="shared" si="136"/>
        <v>0</v>
      </c>
      <c r="P1191" s="581"/>
      <c r="Q1191" s="581"/>
      <c r="R1191" s="653"/>
      <c r="S1191" s="564"/>
      <c r="T1191" s="564"/>
      <c r="U1191" s="564"/>
      <c r="V1191" s="564"/>
      <c r="W1191" s="565"/>
      <c r="X1191" s="565"/>
      <c r="Y1191" s="565"/>
      <c r="Z1191" s="565"/>
    </row>
    <row r="1192" spans="1:26" s="639" customFormat="1" ht="24">
      <c r="A1192" s="719"/>
      <c r="B1192" s="901" t="s">
        <v>794</v>
      </c>
      <c r="C1192" s="723">
        <f>SUM(C1193:C1211)</f>
        <v>199168</v>
      </c>
      <c r="D1192" s="642">
        <f t="shared" si="141"/>
        <v>199168</v>
      </c>
      <c r="E1192" s="642">
        <f t="shared" si="139"/>
        <v>46301</v>
      </c>
      <c r="F1192" s="899">
        <f t="shared" si="138"/>
        <v>23.247208386889458</v>
      </c>
      <c r="G1192" s="721"/>
      <c r="H1192" s="642"/>
      <c r="I1192" s="680"/>
      <c r="J1192" s="723"/>
      <c r="K1192" s="723"/>
      <c r="L1192" s="763"/>
      <c r="M1192" s="723">
        <f>SUM(M1193:M1211)</f>
        <v>199168</v>
      </c>
      <c r="N1192" s="723">
        <f>SUM(N1193:N1211)</f>
        <v>46301</v>
      </c>
      <c r="O1192" s="644">
        <f t="shared" si="136"/>
        <v>23.247208386889458</v>
      </c>
      <c r="P1192" s="642"/>
      <c r="Q1192" s="642"/>
      <c r="R1192" s="727"/>
      <c r="S1192" s="564"/>
      <c r="T1192" s="564"/>
      <c r="U1192" s="564"/>
      <c r="V1192" s="564"/>
      <c r="W1192" s="565"/>
      <c r="X1192" s="565"/>
      <c r="Y1192" s="565"/>
      <c r="Z1192" s="565"/>
    </row>
    <row r="1193" spans="1:26" ht="25.5" customHeight="1">
      <c r="A1193" s="647">
        <v>4010</v>
      </c>
      <c r="B1193" s="712" t="s">
        <v>181</v>
      </c>
      <c r="C1193" s="586">
        <v>58730</v>
      </c>
      <c r="D1193" s="581">
        <f t="shared" si="141"/>
        <v>58730</v>
      </c>
      <c r="E1193" s="581">
        <f t="shared" si="139"/>
        <v>14682</v>
      </c>
      <c r="F1193" s="864">
        <f t="shared" si="138"/>
        <v>24.999148646347695</v>
      </c>
      <c r="G1193" s="603"/>
      <c r="H1193" s="581"/>
      <c r="I1193" s="653"/>
      <c r="J1193" s="586"/>
      <c r="K1193" s="586"/>
      <c r="L1193" s="587"/>
      <c r="M1193" s="586">
        <v>58730</v>
      </c>
      <c r="N1193" s="581">
        <v>14682</v>
      </c>
      <c r="O1193" s="627">
        <f t="shared" si="136"/>
        <v>24.999148646347695</v>
      </c>
      <c r="P1193" s="581"/>
      <c r="Q1193" s="581"/>
      <c r="R1193" s="653"/>
      <c r="U1193" s="564"/>
      <c r="V1193" s="564"/>
      <c r="W1193" s="565"/>
      <c r="X1193" s="565"/>
      <c r="Y1193" s="565"/>
      <c r="Z1193" s="565"/>
    </row>
    <row r="1194" spans="1:26" ht="24">
      <c r="A1194" s="647">
        <v>4040</v>
      </c>
      <c r="B1194" s="712" t="s">
        <v>249</v>
      </c>
      <c r="C1194" s="586">
        <v>5305</v>
      </c>
      <c r="D1194" s="581">
        <f t="shared" si="141"/>
        <v>5305</v>
      </c>
      <c r="E1194" s="581">
        <f t="shared" si="139"/>
        <v>4917</v>
      </c>
      <c r="F1194" s="864">
        <f t="shared" si="138"/>
        <v>92.68614514608859</v>
      </c>
      <c r="G1194" s="603"/>
      <c r="H1194" s="581"/>
      <c r="I1194" s="653"/>
      <c r="J1194" s="586"/>
      <c r="K1194" s="586"/>
      <c r="L1194" s="587"/>
      <c r="M1194" s="586">
        <v>5305</v>
      </c>
      <c r="N1194" s="581">
        <v>4917</v>
      </c>
      <c r="O1194" s="627">
        <f t="shared" si="136"/>
        <v>92.68614514608859</v>
      </c>
      <c r="P1194" s="581"/>
      <c r="Q1194" s="581"/>
      <c r="R1194" s="653"/>
      <c r="U1194" s="564"/>
      <c r="V1194" s="564"/>
      <c r="W1194" s="565"/>
      <c r="X1194" s="565"/>
      <c r="Y1194" s="565"/>
      <c r="Z1194" s="565"/>
    </row>
    <row r="1195" spans="1:26" ht="24" customHeight="1">
      <c r="A1195" s="647">
        <v>4110</v>
      </c>
      <c r="B1195" s="712" t="s">
        <v>187</v>
      </c>
      <c r="C1195" s="586">
        <v>10695</v>
      </c>
      <c r="D1195" s="581">
        <f t="shared" si="141"/>
        <v>10695</v>
      </c>
      <c r="E1195" s="581">
        <f t="shared" si="139"/>
        <v>3122</v>
      </c>
      <c r="F1195" s="864">
        <f t="shared" si="138"/>
        <v>29.191210846189808</v>
      </c>
      <c r="G1195" s="603"/>
      <c r="H1195" s="581"/>
      <c r="I1195" s="653"/>
      <c r="J1195" s="586"/>
      <c r="K1195" s="586"/>
      <c r="L1195" s="587"/>
      <c r="M1195" s="586">
        <v>10695</v>
      </c>
      <c r="N1195" s="581">
        <v>3122</v>
      </c>
      <c r="O1195" s="627">
        <f t="shared" si="136"/>
        <v>29.191210846189808</v>
      </c>
      <c r="P1195" s="581"/>
      <c r="Q1195" s="581"/>
      <c r="R1195" s="653"/>
      <c r="U1195" s="564"/>
      <c r="V1195" s="564"/>
      <c r="W1195" s="565"/>
      <c r="X1195" s="565"/>
      <c r="Y1195" s="565"/>
      <c r="Z1195" s="565"/>
    </row>
    <row r="1196" spans="1:26" ht="12.75">
      <c r="A1196" s="647">
        <v>4120</v>
      </c>
      <c r="B1196" s="651" t="s">
        <v>619</v>
      </c>
      <c r="C1196" s="603">
        <v>1645</v>
      </c>
      <c r="D1196" s="581">
        <f t="shared" si="141"/>
        <v>1645</v>
      </c>
      <c r="E1196" s="581">
        <f t="shared" si="139"/>
        <v>480</v>
      </c>
      <c r="F1196" s="864">
        <f t="shared" si="138"/>
        <v>29.17933130699088</v>
      </c>
      <c r="G1196" s="603"/>
      <c r="H1196" s="581"/>
      <c r="I1196" s="653"/>
      <c r="J1196" s="586"/>
      <c r="K1196" s="586"/>
      <c r="L1196" s="587"/>
      <c r="M1196" s="586">
        <v>1645</v>
      </c>
      <c r="N1196" s="581">
        <v>480</v>
      </c>
      <c r="O1196" s="627">
        <f t="shared" si="136"/>
        <v>29.17933130699088</v>
      </c>
      <c r="P1196" s="581"/>
      <c r="Q1196" s="581"/>
      <c r="R1196" s="653"/>
      <c r="U1196" s="564"/>
      <c r="V1196" s="564"/>
      <c r="W1196" s="565"/>
      <c r="X1196" s="565"/>
      <c r="Y1196" s="565"/>
      <c r="Z1196" s="565"/>
    </row>
    <row r="1197" spans="1:26" ht="24">
      <c r="A1197" s="647">
        <v>4170</v>
      </c>
      <c r="B1197" s="651" t="s">
        <v>221</v>
      </c>
      <c r="C1197" s="603">
        <v>10600</v>
      </c>
      <c r="D1197" s="581">
        <f t="shared" si="141"/>
        <v>10600</v>
      </c>
      <c r="E1197" s="581">
        <f t="shared" si="139"/>
        <v>1875</v>
      </c>
      <c r="F1197" s="864">
        <f t="shared" si="138"/>
        <v>17.68867924528302</v>
      </c>
      <c r="G1197" s="603"/>
      <c r="H1197" s="581"/>
      <c r="I1197" s="653"/>
      <c r="J1197" s="586"/>
      <c r="K1197" s="586"/>
      <c r="L1197" s="587"/>
      <c r="M1197" s="586">
        <v>10600</v>
      </c>
      <c r="N1197" s="581">
        <v>1875</v>
      </c>
      <c r="O1197" s="627">
        <f t="shared" si="136"/>
        <v>17.68867924528302</v>
      </c>
      <c r="P1197" s="581"/>
      <c r="Q1197" s="581"/>
      <c r="R1197" s="653"/>
      <c r="U1197" s="564"/>
      <c r="V1197" s="564"/>
      <c r="W1197" s="565"/>
      <c r="X1197" s="565"/>
      <c r="Y1197" s="565"/>
      <c r="Z1197" s="565"/>
    </row>
    <row r="1198" spans="1:18" ht="24">
      <c r="A1198" s="647">
        <v>4210</v>
      </c>
      <c r="B1198" s="651" t="s">
        <v>191</v>
      </c>
      <c r="C1198" s="603">
        <v>9390</v>
      </c>
      <c r="D1198" s="581">
        <f t="shared" si="141"/>
        <v>9390</v>
      </c>
      <c r="E1198" s="581">
        <f t="shared" si="139"/>
        <v>0</v>
      </c>
      <c r="F1198" s="864">
        <f t="shared" si="138"/>
        <v>0</v>
      </c>
      <c r="G1198" s="603"/>
      <c r="H1198" s="581"/>
      <c r="I1198" s="653"/>
      <c r="J1198" s="586"/>
      <c r="K1198" s="586"/>
      <c r="L1198" s="587"/>
      <c r="M1198" s="586">
        <v>9390</v>
      </c>
      <c r="N1198" s="581"/>
      <c r="O1198" s="627">
        <f t="shared" si="136"/>
        <v>0</v>
      </c>
      <c r="P1198" s="581"/>
      <c r="Q1198" s="581"/>
      <c r="R1198" s="653"/>
    </row>
    <row r="1199" spans="1:18" ht="24.75" customHeight="1">
      <c r="A1199" s="647">
        <v>4230</v>
      </c>
      <c r="B1199" s="651" t="s">
        <v>193</v>
      </c>
      <c r="C1199" s="603">
        <v>200</v>
      </c>
      <c r="D1199" s="581">
        <f t="shared" si="141"/>
        <v>200</v>
      </c>
      <c r="E1199" s="581">
        <f t="shared" si="139"/>
        <v>0</v>
      </c>
      <c r="F1199" s="864">
        <f t="shared" si="138"/>
        <v>0</v>
      </c>
      <c r="G1199" s="603"/>
      <c r="H1199" s="581"/>
      <c r="I1199" s="653"/>
      <c r="J1199" s="586"/>
      <c r="K1199" s="586"/>
      <c r="L1199" s="587"/>
      <c r="M1199" s="586">
        <v>200</v>
      </c>
      <c r="N1199" s="581"/>
      <c r="O1199" s="627">
        <f t="shared" si="136"/>
        <v>0</v>
      </c>
      <c r="P1199" s="581"/>
      <c r="Q1199" s="581"/>
      <c r="R1199" s="653"/>
    </row>
    <row r="1200" spans="1:18" ht="24.75" customHeight="1">
      <c r="A1200" s="647">
        <v>4240</v>
      </c>
      <c r="B1200" s="651" t="s">
        <v>608</v>
      </c>
      <c r="C1200" s="603">
        <v>4000</v>
      </c>
      <c r="D1200" s="581">
        <f t="shared" si="141"/>
        <v>4000</v>
      </c>
      <c r="E1200" s="581">
        <f>SUM(H1200+K1200+N1200+Q1200)</f>
        <v>0</v>
      </c>
      <c r="F1200" s="864">
        <f>E1200/D1200*100</f>
        <v>0</v>
      </c>
      <c r="G1200" s="603"/>
      <c r="H1200" s="581"/>
      <c r="I1200" s="653"/>
      <c r="J1200" s="586"/>
      <c r="K1200" s="586"/>
      <c r="L1200" s="587"/>
      <c r="M1200" s="586">
        <v>4000</v>
      </c>
      <c r="N1200" s="581"/>
      <c r="O1200" s="627">
        <f t="shared" si="136"/>
        <v>0</v>
      </c>
      <c r="P1200" s="581"/>
      <c r="Q1200" s="581"/>
      <c r="R1200" s="653"/>
    </row>
    <row r="1201" spans="1:18" ht="12.75">
      <c r="A1201" s="647">
        <v>4260</v>
      </c>
      <c r="B1201" s="651" t="s">
        <v>195</v>
      </c>
      <c r="C1201" s="603">
        <v>4865</v>
      </c>
      <c r="D1201" s="581">
        <f t="shared" si="141"/>
        <v>4865</v>
      </c>
      <c r="E1201" s="581">
        <f t="shared" si="139"/>
        <v>1437</v>
      </c>
      <c r="F1201" s="864">
        <f t="shared" si="138"/>
        <v>29.537512846865365</v>
      </c>
      <c r="G1201" s="603"/>
      <c r="H1201" s="581"/>
      <c r="I1201" s="653"/>
      <c r="J1201" s="586"/>
      <c r="K1201" s="586"/>
      <c r="L1201" s="587"/>
      <c r="M1201" s="586">
        <v>4865</v>
      </c>
      <c r="N1201" s="581">
        <v>1437</v>
      </c>
      <c r="O1201" s="627">
        <f t="shared" si="136"/>
        <v>29.537512846865365</v>
      </c>
      <c r="P1201" s="581"/>
      <c r="Q1201" s="581"/>
      <c r="R1201" s="653"/>
    </row>
    <row r="1202" spans="1:18" ht="11.25" customHeight="1" hidden="1">
      <c r="A1202" s="647">
        <v>4270</v>
      </c>
      <c r="B1202" s="651" t="s">
        <v>197</v>
      </c>
      <c r="C1202" s="603"/>
      <c r="D1202" s="581">
        <f t="shared" si="141"/>
        <v>0</v>
      </c>
      <c r="E1202" s="581">
        <f t="shared" si="139"/>
        <v>0</v>
      </c>
      <c r="F1202" s="864" t="e">
        <f t="shared" si="138"/>
        <v>#DIV/0!</v>
      </c>
      <c r="G1202" s="603"/>
      <c r="H1202" s="581"/>
      <c r="I1202" s="653"/>
      <c r="J1202" s="586"/>
      <c r="K1202" s="586"/>
      <c r="L1202" s="587"/>
      <c r="M1202" s="586"/>
      <c r="N1202" s="581"/>
      <c r="O1202" s="627" t="e">
        <f t="shared" si="136"/>
        <v>#DIV/0!</v>
      </c>
      <c r="P1202" s="581"/>
      <c r="Q1202" s="581"/>
      <c r="R1202" s="653"/>
    </row>
    <row r="1203" spans="1:18" ht="12.75" customHeight="1">
      <c r="A1203" s="647">
        <v>4280</v>
      </c>
      <c r="B1203" s="651" t="s">
        <v>793</v>
      </c>
      <c r="C1203" s="603">
        <v>1200</v>
      </c>
      <c r="D1203" s="581">
        <f t="shared" si="141"/>
        <v>1200</v>
      </c>
      <c r="E1203" s="581">
        <f t="shared" si="139"/>
        <v>0</v>
      </c>
      <c r="F1203" s="864">
        <f t="shared" si="138"/>
        <v>0</v>
      </c>
      <c r="G1203" s="603"/>
      <c r="H1203" s="581"/>
      <c r="I1203" s="653"/>
      <c r="J1203" s="586"/>
      <c r="K1203" s="586"/>
      <c r="L1203" s="587"/>
      <c r="M1203" s="586">
        <v>1200</v>
      </c>
      <c r="N1203" s="581"/>
      <c r="O1203" s="627">
        <f t="shared" si="136"/>
        <v>0</v>
      </c>
      <c r="P1203" s="581"/>
      <c r="Q1203" s="581"/>
      <c r="R1203" s="653"/>
    </row>
    <row r="1204" spans="1:18" ht="12.75" customHeight="1">
      <c r="A1204" s="647">
        <v>4300</v>
      </c>
      <c r="B1204" s="651" t="s">
        <v>199</v>
      </c>
      <c r="C1204" s="603">
        <v>86718</v>
      </c>
      <c r="D1204" s="581">
        <f t="shared" si="141"/>
        <v>86718</v>
      </c>
      <c r="E1204" s="581">
        <f t="shared" si="139"/>
        <v>18866</v>
      </c>
      <c r="F1204" s="864">
        <f t="shared" si="138"/>
        <v>21.755575543716414</v>
      </c>
      <c r="G1204" s="603"/>
      <c r="H1204" s="581"/>
      <c r="I1204" s="653"/>
      <c r="J1204" s="586"/>
      <c r="K1204" s="586"/>
      <c r="L1204" s="587"/>
      <c r="M1204" s="586">
        <v>86718</v>
      </c>
      <c r="N1204" s="581">
        <v>18866</v>
      </c>
      <c r="O1204" s="627">
        <f t="shared" si="136"/>
        <v>21.755575543716414</v>
      </c>
      <c r="P1204" s="581"/>
      <c r="Q1204" s="581"/>
      <c r="R1204" s="653"/>
    </row>
    <row r="1205" spans="1:18" ht="24">
      <c r="A1205" s="647">
        <v>4350</v>
      </c>
      <c r="B1205" s="651" t="s">
        <v>584</v>
      </c>
      <c r="C1205" s="603">
        <v>750</v>
      </c>
      <c r="D1205" s="581">
        <f t="shared" si="141"/>
        <v>750</v>
      </c>
      <c r="E1205" s="581">
        <f t="shared" si="139"/>
        <v>181</v>
      </c>
      <c r="F1205" s="864">
        <f t="shared" si="138"/>
        <v>24.133333333333333</v>
      </c>
      <c r="G1205" s="603"/>
      <c r="H1205" s="581"/>
      <c r="I1205" s="653"/>
      <c r="J1205" s="586"/>
      <c r="K1205" s="586"/>
      <c r="L1205" s="587"/>
      <c r="M1205" s="586">
        <v>750</v>
      </c>
      <c r="N1205" s="581">
        <v>181</v>
      </c>
      <c r="O1205" s="627">
        <f t="shared" si="136"/>
        <v>24.133333333333333</v>
      </c>
      <c r="P1205" s="581"/>
      <c r="Q1205" s="581"/>
      <c r="R1205" s="653"/>
    </row>
    <row r="1206" spans="1:18" ht="60" customHeight="1">
      <c r="A1206" s="647">
        <v>4370</v>
      </c>
      <c r="B1206" s="712" t="s">
        <v>432</v>
      </c>
      <c r="C1206" s="603">
        <v>960</v>
      </c>
      <c r="D1206" s="581">
        <f t="shared" si="141"/>
        <v>960</v>
      </c>
      <c r="E1206" s="581">
        <f t="shared" si="139"/>
        <v>240</v>
      </c>
      <c r="F1206" s="864">
        <f t="shared" si="138"/>
        <v>25</v>
      </c>
      <c r="G1206" s="603"/>
      <c r="H1206" s="581"/>
      <c r="I1206" s="653"/>
      <c r="J1206" s="586"/>
      <c r="K1206" s="586"/>
      <c r="L1206" s="587"/>
      <c r="M1206" s="586">
        <v>960</v>
      </c>
      <c r="N1206" s="581">
        <v>240</v>
      </c>
      <c r="O1206" s="627">
        <f t="shared" si="136"/>
        <v>25</v>
      </c>
      <c r="P1206" s="581"/>
      <c r="Q1206" s="581"/>
      <c r="R1206" s="653"/>
    </row>
    <row r="1207" spans="1:18" ht="12" customHeight="1">
      <c r="A1207" s="647">
        <v>4410</v>
      </c>
      <c r="B1207" s="651" t="s">
        <v>173</v>
      </c>
      <c r="C1207" s="603">
        <v>3010</v>
      </c>
      <c r="D1207" s="581">
        <f t="shared" si="141"/>
        <v>3010</v>
      </c>
      <c r="E1207" s="581">
        <f t="shared" si="139"/>
        <v>501</v>
      </c>
      <c r="F1207" s="864">
        <f t="shared" si="138"/>
        <v>16.64451827242525</v>
      </c>
      <c r="G1207" s="603"/>
      <c r="H1207" s="581"/>
      <c r="I1207" s="653"/>
      <c r="J1207" s="586"/>
      <c r="K1207" s="586"/>
      <c r="L1207" s="587"/>
      <c r="M1207" s="586">
        <v>3010</v>
      </c>
      <c r="N1207" s="581">
        <v>501</v>
      </c>
      <c r="O1207" s="627">
        <f t="shared" si="136"/>
        <v>16.64451827242525</v>
      </c>
      <c r="P1207" s="581"/>
      <c r="Q1207" s="581"/>
      <c r="R1207" s="653"/>
    </row>
    <row r="1208" spans="1:18" ht="12" customHeight="1" hidden="1">
      <c r="A1208" s="647">
        <v>4440</v>
      </c>
      <c r="B1208" s="651" t="s">
        <v>203</v>
      </c>
      <c r="C1208" s="603"/>
      <c r="D1208" s="581">
        <f t="shared" si="141"/>
        <v>0</v>
      </c>
      <c r="E1208" s="581">
        <f t="shared" si="139"/>
        <v>0</v>
      </c>
      <c r="F1208" s="864" t="e">
        <f t="shared" si="138"/>
        <v>#DIV/0!</v>
      </c>
      <c r="G1208" s="603"/>
      <c r="H1208" s="581"/>
      <c r="I1208" s="653"/>
      <c r="J1208" s="586"/>
      <c r="K1208" s="586"/>
      <c r="L1208" s="587"/>
      <c r="M1208" s="586"/>
      <c r="N1208" s="581"/>
      <c r="O1208" s="627" t="e">
        <f t="shared" si="136"/>
        <v>#DIV/0!</v>
      </c>
      <c r="P1208" s="581"/>
      <c r="Q1208" s="581"/>
      <c r="R1208" s="653"/>
    </row>
    <row r="1209" spans="1:18" ht="35.25" customHeight="1">
      <c r="A1209" s="647">
        <v>4700</v>
      </c>
      <c r="B1209" s="651" t="s">
        <v>588</v>
      </c>
      <c r="C1209" s="603">
        <v>500</v>
      </c>
      <c r="D1209" s="581">
        <f>G1209+J1209+P1209+M1209</f>
        <v>500</v>
      </c>
      <c r="E1209" s="581">
        <f>SUM(H1209+K1209+N1209+Q1209)</f>
        <v>0</v>
      </c>
      <c r="F1209" s="864">
        <f>E1209/D1209*100</f>
        <v>0</v>
      </c>
      <c r="G1209" s="603"/>
      <c r="H1209" s="581"/>
      <c r="I1209" s="653"/>
      <c r="J1209" s="586"/>
      <c r="K1209" s="586"/>
      <c r="L1209" s="587"/>
      <c r="M1209" s="586">
        <v>500</v>
      </c>
      <c r="N1209" s="581"/>
      <c r="O1209" s="627">
        <f t="shared" si="136"/>
        <v>0</v>
      </c>
      <c r="P1209" s="581"/>
      <c r="Q1209" s="581"/>
      <c r="R1209" s="653"/>
    </row>
    <row r="1210" spans="1:18" ht="48.75" customHeight="1">
      <c r="A1210" s="647">
        <v>4740</v>
      </c>
      <c r="B1210" s="651" t="s">
        <v>215</v>
      </c>
      <c r="C1210" s="603">
        <v>200</v>
      </c>
      <c r="D1210" s="581">
        <f t="shared" si="141"/>
        <v>200</v>
      </c>
      <c r="E1210" s="581">
        <f t="shared" si="139"/>
        <v>0</v>
      </c>
      <c r="F1210" s="864">
        <f t="shared" si="138"/>
        <v>0</v>
      </c>
      <c r="G1210" s="603"/>
      <c r="H1210" s="581"/>
      <c r="I1210" s="653"/>
      <c r="J1210" s="586"/>
      <c r="K1210" s="586"/>
      <c r="L1210" s="587"/>
      <c r="M1210" s="586">
        <v>200</v>
      </c>
      <c r="N1210" s="581"/>
      <c r="O1210" s="627">
        <f t="shared" si="136"/>
        <v>0</v>
      </c>
      <c r="P1210" s="581"/>
      <c r="Q1210" s="581"/>
      <c r="R1210" s="653"/>
    </row>
    <row r="1211" spans="1:18" ht="36">
      <c r="A1211" s="672">
        <v>4750</v>
      </c>
      <c r="B1211" s="687" t="s">
        <v>589</v>
      </c>
      <c r="C1211" s="674">
        <v>400</v>
      </c>
      <c r="D1211" s="675">
        <f t="shared" si="141"/>
        <v>400</v>
      </c>
      <c r="E1211" s="675">
        <f t="shared" si="139"/>
        <v>0</v>
      </c>
      <c r="F1211" s="644">
        <f t="shared" si="138"/>
        <v>0</v>
      </c>
      <c r="G1211" s="674"/>
      <c r="H1211" s="675"/>
      <c r="I1211" s="680"/>
      <c r="J1211" s="676"/>
      <c r="K1211" s="676"/>
      <c r="L1211" s="677"/>
      <c r="M1211" s="676">
        <v>400</v>
      </c>
      <c r="N1211" s="675"/>
      <c r="O1211" s="644">
        <f t="shared" si="136"/>
        <v>0</v>
      </c>
      <c r="P1211" s="675"/>
      <c r="Q1211" s="675"/>
      <c r="R1211" s="680"/>
    </row>
    <row r="1212" spans="1:26" s="639" customFormat="1" ht="12" customHeight="1">
      <c r="A1212" s="719">
        <v>85202</v>
      </c>
      <c r="B1212" s="898" t="s">
        <v>795</v>
      </c>
      <c r="C1212" s="721">
        <f>SUM(C1213:C1214)</f>
        <v>1300000</v>
      </c>
      <c r="D1212" s="642">
        <f aca="true" t="shared" si="142" ref="D1212:E1214">G1212+J1212+M1212+P1212</f>
        <v>1300000</v>
      </c>
      <c r="E1212" s="642">
        <f t="shared" si="142"/>
        <v>411224</v>
      </c>
      <c r="F1212" s="878">
        <f t="shared" si="138"/>
        <v>31.632615384615388</v>
      </c>
      <c r="G1212" s="721">
        <f>SUM(G1213:G1214)</f>
        <v>1300000</v>
      </c>
      <c r="H1212" s="642">
        <f>SUM(H1213:H1214)</f>
        <v>411224</v>
      </c>
      <c r="I1212" s="788">
        <f>H1212/G1212*100</f>
        <v>31.632615384615388</v>
      </c>
      <c r="J1212" s="723"/>
      <c r="K1212" s="723"/>
      <c r="L1212" s="763"/>
      <c r="M1212" s="723"/>
      <c r="N1212" s="642"/>
      <c r="O1212" s="725"/>
      <c r="P1212" s="642"/>
      <c r="Q1212" s="642"/>
      <c r="R1212" s="727"/>
      <c r="S1212" s="564"/>
      <c r="T1212" s="564"/>
      <c r="U1212" s="564"/>
      <c r="V1212" s="564"/>
      <c r="W1212" s="565"/>
      <c r="X1212" s="565"/>
      <c r="Y1212" s="565"/>
      <c r="Z1212" s="565"/>
    </row>
    <row r="1213" spans="1:18" ht="12" customHeight="1" hidden="1">
      <c r="A1213" s="647">
        <v>4300</v>
      </c>
      <c r="B1213" s="828" t="s">
        <v>216</v>
      </c>
      <c r="C1213" s="603"/>
      <c r="D1213" s="581">
        <f t="shared" si="142"/>
        <v>0</v>
      </c>
      <c r="E1213" s="581">
        <f t="shared" si="142"/>
        <v>0</v>
      </c>
      <c r="F1213" s="864"/>
      <c r="G1213" s="603"/>
      <c r="H1213" s="581"/>
      <c r="I1213" s="715"/>
      <c r="J1213" s="586"/>
      <c r="K1213" s="586"/>
      <c r="L1213" s="587"/>
      <c r="M1213" s="586"/>
      <c r="N1213" s="581"/>
      <c r="O1213" s="585"/>
      <c r="P1213" s="581"/>
      <c r="Q1213" s="581"/>
      <c r="R1213" s="653"/>
    </row>
    <row r="1214" spans="1:18" ht="24">
      <c r="A1214" s="672">
        <v>4330</v>
      </c>
      <c r="B1214" s="877" t="s">
        <v>796</v>
      </c>
      <c r="C1214" s="674">
        <v>1300000</v>
      </c>
      <c r="D1214" s="581">
        <f t="shared" si="142"/>
        <v>1300000</v>
      </c>
      <c r="E1214" s="581">
        <f t="shared" si="142"/>
        <v>411224</v>
      </c>
      <c r="F1214" s="864">
        <f t="shared" si="138"/>
        <v>31.632615384615388</v>
      </c>
      <c r="G1214" s="674">
        <v>1300000</v>
      </c>
      <c r="H1214" s="675">
        <v>411224</v>
      </c>
      <c r="I1214" s="788">
        <f aca="true" t="shared" si="143" ref="I1214:I1220">H1214/G1214*100</f>
        <v>31.632615384615388</v>
      </c>
      <c r="J1214" s="676"/>
      <c r="K1214" s="676"/>
      <c r="L1214" s="677"/>
      <c r="M1214" s="676"/>
      <c r="N1214" s="675"/>
      <c r="O1214" s="679"/>
      <c r="P1214" s="675"/>
      <c r="Q1214" s="675"/>
      <c r="R1214" s="680"/>
    </row>
    <row r="1215" spans="1:18" ht="12.75">
      <c r="A1215" s="640">
        <v>85203</v>
      </c>
      <c r="B1215" s="856" t="s">
        <v>797</v>
      </c>
      <c r="C1215" s="608">
        <f>C1222+C1242+C1268+C1245+C1289</f>
        <v>1255810</v>
      </c>
      <c r="D1215" s="595">
        <f>G1215+J1215+P1215+M1215</f>
        <v>1255810</v>
      </c>
      <c r="E1215" s="595">
        <f>H1215+K1215+Q1215+N1215</f>
        <v>353770</v>
      </c>
      <c r="F1215" s="857">
        <f t="shared" si="138"/>
        <v>28.170662759493876</v>
      </c>
      <c r="G1215" s="608">
        <f>G1222+G1242+G1268+G1221</f>
        <v>525810</v>
      </c>
      <c r="H1215" s="595">
        <f>H1222+H1242+H1268+H1221</f>
        <v>140188</v>
      </c>
      <c r="I1215" s="751">
        <f t="shared" si="143"/>
        <v>26.661341549228805</v>
      </c>
      <c r="J1215" s="600">
        <f>J1222+J1268+J1245+J1289</f>
        <v>730000</v>
      </c>
      <c r="K1215" s="600">
        <f>K1222+K1268+K1245+K1289</f>
        <v>213582</v>
      </c>
      <c r="L1215" s="602">
        <f aca="true" t="shared" si="144" ref="L1215:L1220">K1215/J1215*100</f>
        <v>29.257808219178084</v>
      </c>
      <c r="M1215" s="595"/>
      <c r="N1215" s="595"/>
      <c r="O1215" s="602"/>
      <c r="P1215" s="595"/>
      <c r="Q1215" s="595"/>
      <c r="R1215" s="731"/>
    </row>
    <row r="1216" spans="1:18" ht="24" hidden="1">
      <c r="A1216" s="647">
        <v>4210</v>
      </c>
      <c r="B1216" s="828" t="s">
        <v>191</v>
      </c>
      <c r="C1216" s="603"/>
      <c r="D1216" s="581">
        <f>G1216+J1216+P1216+M1216</f>
        <v>0</v>
      </c>
      <c r="E1216" s="581">
        <f aca="true" t="shared" si="145" ref="D1216:E1232">H1216+K1216+Q1216+N1216</f>
        <v>0</v>
      </c>
      <c r="F1216" s="864" t="e">
        <f t="shared" si="138"/>
        <v>#DIV/0!</v>
      </c>
      <c r="G1216" s="603"/>
      <c r="H1216" s="581"/>
      <c r="I1216" s="629" t="e">
        <f t="shared" si="143"/>
        <v>#DIV/0!</v>
      </c>
      <c r="J1216" s="586"/>
      <c r="K1216" s="586"/>
      <c r="L1216" s="585" t="e">
        <f t="shared" si="144"/>
        <v>#DIV/0!</v>
      </c>
      <c r="M1216" s="581"/>
      <c r="N1216" s="581"/>
      <c r="O1216" s="585"/>
      <c r="P1216" s="581"/>
      <c r="Q1216" s="581"/>
      <c r="R1216" s="653"/>
    </row>
    <row r="1217" spans="1:18" ht="24" hidden="1">
      <c r="A1217" s="647">
        <v>4270</v>
      </c>
      <c r="B1217" s="828" t="s">
        <v>655</v>
      </c>
      <c r="C1217" s="603"/>
      <c r="D1217" s="581">
        <f t="shared" si="145"/>
        <v>0</v>
      </c>
      <c r="E1217" s="581">
        <f t="shared" si="145"/>
        <v>0</v>
      </c>
      <c r="F1217" s="864" t="e">
        <f t="shared" si="138"/>
        <v>#DIV/0!</v>
      </c>
      <c r="G1217" s="603"/>
      <c r="H1217" s="581"/>
      <c r="I1217" s="629" t="e">
        <f t="shared" si="143"/>
        <v>#DIV/0!</v>
      </c>
      <c r="J1217" s="586"/>
      <c r="K1217" s="586"/>
      <c r="L1217" s="585" t="e">
        <f t="shared" si="144"/>
        <v>#DIV/0!</v>
      </c>
      <c r="M1217" s="581"/>
      <c r="N1217" s="581"/>
      <c r="O1217" s="585"/>
      <c r="P1217" s="581"/>
      <c r="Q1217" s="581"/>
      <c r="R1217" s="653"/>
    </row>
    <row r="1218" spans="1:18" ht="24" hidden="1">
      <c r="A1218" s="647">
        <v>4300</v>
      </c>
      <c r="B1218" s="828" t="s">
        <v>199</v>
      </c>
      <c r="C1218" s="603"/>
      <c r="D1218" s="581">
        <f t="shared" si="145"/>
        <v>0</v>
      </c>
      <c r="E1218" s="581">
        <f t="shared" si="145"/>
        <v>0</v>
      </c>
      <c r="F1218" s="864" t="e">
        <f t="shared" si="138"/>
        <v>#DIV/0!</v>
      </c>
      <c r="G1218" s="603"/>
      <c r="H1218" s="581"/>
      <c r="I1218" s="629" t="e">
        <f t="shared" si="143"/>
        <v>#DIV/0!</v>
      </c>
      <c r="J1218" s="586"/>
      <c r="K1218" s="586"/>
      <c r="L1218" s="585" t="e">
        <f t="shared" si="144"/>
        <v>#DIV/0!</v>
      </c>
      <c r="M1218" s="581"/>
      <c r="N1218" s="581"/>
      <c r="O1218" s="585"/>
      <c r="P1218" s="581"/>
      <c r="Q1218" s="581"/>
      <c r="R1218" s="653"/>
    </row>
    <row r="1219" spans="1:18" ht="36" hidden="1">
      <c r="A1219" s="647">
        <v>6050</v>
      </c>
      <c r="B1219" s="828" t="s">
        <v>225</v>
      </c>
      <c r="C1219" s="603"/>
      <c r="D1219" s="581">
        <f>G1219+J1219+P1219+M1219</f>
        <v>0</v>
      </c>
      <c r="E1219" s="581">
        <f t="shared" si="145"/>
        <v>0</v>
      </c>
      <c r="F1219" s="864" t="e">
        <f t="shared" si="138"/>
        <v>#DIV/0!</v>
      </c>
      <c r="G1219" s="603"/>
      <c r="H1219" s="581"/>
      <c r="I1219" s="629" t="e">
        <f t="shared" si="143"/>
        <v>#DIV/0!</v>
      </c>
      <c r="J1219" s="586"/>
      <c r="K1219" s="586"/>
      <c r="L1219" s="585" t="e">
        <f t="shared" si="144"/>
        <v>#DIV/0!</v>
      </c>
      <c r="M1219" s="581"/>
      <c r="N1219" s="581"/>
      <c r="O1219" s="585"/>
      <c r="P1219" s="581"/>
      <c r="Q1219" s="581"/>
      <c r="R1219" s="653"/>
    </row>
    <row r="1220" spans="1:18" ht="48" hidden="1">
      <c r="A1220" s="647">
        <v>6060</v>
      </c>
      <c r="B1220" s="828" t="s">
        <v>798</v>
      </c>
      <c r="C1220" s="603"/>
      <c r="D1220" s="581">
        <f t="shared" si="145"/>
        <v>0</v>
      </c>
      <c r="E1220" s="581">
        <f t="shared" si="145"/>
        <v>0</v>
      </c>
      <c r="F1220" s="864" t="e">
        <f>E1220/D1220*100</f>
        <v>#DIV/0!</v>
      </c>
      <c r="G1220" s="603"/>
      <c r="H1220" s="581"/>
      <c r="I1220" s="629" t="e">
        <f t="shared" si="143"/>
        <v>#DIV/0!</v>
      </c>
      <c r="J1220" s="586">
        <f>10000-10000</f>
        <v>0</v>
      </c>
      <c r="K1220" s="586"/>
      <c r="L1220" s="585" t="e">
        <f t="shared" si="144"/>
        <v>#DIV/0!</v>
      </c>
      <c r="M1220" s="581"/>
      <c r="N1220" s="581"/>
      <c r="O1220" s="585"/>
      <c r="P1220" s="581"/>
      <c r="Q1220" s="581"/>
      <c r="R1220" s="653"/>
    </row>
    <row r="1221" spans="1:18" ht="12.75" hidden="1">
      <c r="A1221" s="647">
        <v>4360</v>
      </c>
      <c r="B1221" s="828"/>
      <c r="C1221" s="603"/>
      <c r="D1221" s="581"/>
      <c r="E1221" s="581">
        <f t="shared" si="145"/>
        <v>0</v>
      </c>
      <c r="F1221" s="864"/>
      <c r="G1221" s="603"/>
      <c r="H1221" s="581"/>
      <c r="I1221" s="629"/>
      <c r="J1221" s="586"/>
      <c r="K1221" s="586"/>
      <c r="L1221" s="585"/>
      <c r="M1221" s="581"/>
      <c r="N1221" s="581"/>
      <c r="O1221" s="585"/>
      <c r="P1221" s="581"/>
      <c r="Q1221" s="581"/>
      <c r="R1221" s="653"/>
    </row>
    <row r="1222" spans="1:18" ht="12.75">
      <c r="A1222" s="719"/>
      <c r="B1222" s="898" t="s">
        <v>799</v>
      </c>
      <c r="C1222" s="721">
        <f>SUM(C1223:C1241)</f>
        <v>237610</v>
      </c>
      <c r="D1222" s="642">
        <f t="shared" si="145"/>
        <v>237610</v>
      </c>
      <c r="E1222" s="642">
        <f t="shared" si="145"/>
        <v>68138</v>
      </c>
      <c r="F1222" s="878">
        <f aca="true" t="shared" si="146" ref="F1222:F1249">E1222/D1222*100</f>
        <v>28.676402508311938</v>
      </c>
      <c r="G1222" s="721">
        <f>SUM(G1223:G1241)</f>
        <v>237610</v>
      </c>
      <c r="H1222" s="642">
        <f>SUM(H1223:H1241)</f>
        <v>68138</v>
      </c>
      <c r="I1222" s="710">
        <f>H1222/G1222*100</f>
        <v>28.676402508311938</v>
      </c>
      <c r="J1222" s="723"/>
      <c r="K1222" s="723"/>
      <c r="L1222" s="679"/>
      <c r="M1222" s="642"/>
      <c r="N1222" s="642"/>
      <c r="O1222" s="679"/>
      <c r="P1222" s="642"/>
      <c r="Q1222" s="642"/>
      <c r="R1222" s="680"/>
    </row>
    <row r="1223" spans="1:18" ht="36">
      <c r="A1223" s="647">
        <v>3020</v>
      </c>
      <c r="B1223" s="828" t="s">
        <v>248</v>
      </c>
      <c r="C1223" s="603">
        <v>400</v>
      </c>
      <c r="D1223" s="581">
        <f t="shared" si="145"/>
        <v>400</v>
      </c>
      <c r="E1223" s="581">
        <f>SUM(H1223+K1223+N1223+Q1223)</f>
        <v>0</v>
      </c>
      <c r="F1223" s="864">
        <f t="shared" si="146"/>
        <v>0</v>
      </c>
      <c r="G1223" s="603">
        <v>400</v>
      </c>
      <c r="H1223" s="581"/>
      <c r="I1223" s="629">
        <f aca="true" t="shared" si="147" ref="I1223:I1244">H1223/G1223*100</f>
        <v>0</v>
      </c>
      <c r="J1223" s="586"/>
      <c r="K1223" s="581"/>
      <c r="L1223" s="585"/>
      <c r="M1223" s="581"/>
      <c r="N1223" s="581"/>
      <c r="O1223" s="585"/>
      <c r="P1223" s="581"/>
      <c r="Q1223" s="581"/>
      <c r="R1223" s="653"/>
    </row>
    <row r="1224" spans="1:26" ht="29.25" customHeight="1">
      <c r="A1224" s="647">
        <v>4010</v>
      </c>
      <c r="B1224" s="828" t="s">
        <v>181</v>
      </c>
      <c r="C1224" s="603">
        <v>115750</v>
      </c>
      <c r="D1224" s="581">
        <f t="shared" si="145"/>
        <v>115750</v>
      </c>
      <c r="E1224" s="581">
        <f>SUM(H1224+K1224+N1224+Q1224)</f>
        <v>28815</v>
      </c>
      <c r="F1224" s="864">
        <f>E1224/D1224*100</f>
        <v>24.89416846652268</v>
      </c>
      <c r="G1224" s="603">
        <v>115750</v>
      </c>
      <c r="H1224" s="581">
        <f>28814+1</f>
        <v>28815</v>
      </c>
      <c r="I1224" s="629">
        <f t="shared" si="147"/>
        <v>24.89416846652268</v>
      </c>
      <c r="J1224" s="586"/>
      <c r="K1224" s="581"/>
      <c r="L1224" s="585"/>
      <c r="M1224" s="581"/>
      <c r="N1224" s="581"/>
      <c r="O1224" s="585"/>
      <c r="P1224" s="581"/>
      <c r="Q1224" s="581"/>
      <c r="R1224" s="653"/>
      <c r="U1224" s="564"/>
      <c r="V1224" s="564"/>
      <c r="W1224" s="565"/>
      <c r="X1224" s="565"/>
      <c r="Y1224" s="565"/>
      <c r="Z1224" s="565"/>
    </row>
    <row r="1225" spans="1:26" ht="24">
      <c r="A1225" s="647">
        <v>4040</v>
      </c>
      <c r="B1225" s="828" t="s">
        <v>249</v>
      </c>
      <c r="C1225" s="603">
        <v>9300</v>
      </c>
      <c r="D1225" s="581">
        <f t="shared" si="145"/>
        <v>9300</v>
      </c>
      <c r="E1225" s="581">
        <f>SUM(H1225+K1225+N1225+Q1225)</f>
        <v>8609</v>
      </c>
      <c r="F1225" s="864">
        <f t="shared" si="146"/>
        <v>92.56989247311827</v>
      </c>
      <c r="G1225" s="603">
        <v>9300</v>
      </c>
      <c r="H1225" s="581">
        <v>8609</v>
      </c>
      <c r="I1225" s="582">
        <f t="shared" si="147"/>
        <v>92.56989247311827</v>
      </c>
      <c r="J1225" s="586"/>
      <c r="K1225" s="581"/>
      <c r="L1225" s="585"/>
      <c r="M1225" s="581"/>
      <c r="N1225" s="581"/>
      <c r="O1225" s="585"/>
      <c r="P1225" s="581"/>
      <c r="Q1225" s="581"/>
      <c r="R1225" s="653"/>
      <c r="U1225" s="564"/>
      <c r="V1225" s="564"/>
      <c r="W1225" s="565"/>
      <c r="X1225" s="565"/>
      <c r="Y1225" s="565"/>
      <c r="Z1225" s="565"/>
    </row>
    <row r="1226" spans="1:26" ht="24" customHeight="1">
      <c r="A1226" s="647">
        <v>4110</v>
      </c>
      <c r="B1226" s="828" t="s">
        <v>187</v>
      </c>
      <c r="C1226" s="603">
        <v>20596</v>
      </c>
      <c r="D1226" s="581">
        <f t="shared" si="145"/>
        <v>20596</v>
      </c>
      <c r="E1226" s="581">
        <f aca="true" t="shared" si="148" ref="E1226:E1241">SUM(H1226+K1226+N1226+Q1226)</f>
        <v>5740</v>
      </c>
      <c r="F1226" s="864">
        <f t="shared" si="146"/>
        <v>27.869489221208</v>
      </c>
      <c r="G1226" s="603">
        <v>20596</v>
      </c>
      <c r="H1226" s="581">
        <v>5740</v>
      </c>
      <c r="I1226" s="629">
        <f t="shared" si="147"/>
        <v>27.869489221208</v>
      </c>
      <c r="J1226" s="586"/>
      <c r="K1226" s="581"/>
      <c r="L1226" s="585"/>
      <c r="M1226" s="581"/>
      <c r="N1226" s="581"/>
      <c r="O1226" s="585"/>
      <c r="P1226" s="581"/>
      <c r="Q1226" s="581"/>
      <c r="R1226" s="653"/>
      <c r="U1226" s="564"/>
      <c r="V1226" s="564"/>
      <c r="W1226" s="565"/>
      <c r="X1226" s="565"/>
      <c r="Y1226" s="565"/>
      <c r="Z1226" s="565"/>
    </row>
    <row r="1227" spans="1:26" ht="11.25" customHeight="1">
      <c r="A1227" s="647">
        <v>4120</v>
      </c>
      <c r="B1227" s="828" t="s">
        <v>619</v>
      </c>
      <c r="C1227" s="603">
        <v>3064</v>
      </c>
      <c r="D1227" s="581">
        <f t="shared" si="145"/>
        <v>3064</v>
      </c>
      <c r="E1227" s="581">
        <f t="shared" si="148"/>
        <v>854</v>
      </c>
      <c r="F1227" s="864">
        <f t="shared" si="146"/>
        <v>27.872062663185375</v>
      </c>
      <c r="G1227" s="603">
        <v>3064</v>
      </c>
      <c r="H1227" s="581">
        <v>854</v>
      </c>
      <c r="I1227" s="629">
        <f t="shared" si="147"/>
        <v>27.872062663185375</v>
      </c>
      <c r="J1227" s="586"/>
      <c r="K1227" s="581"/>
      <c r="L1227" s="585"/>
      <c r="M1227" s="581"/>
      <c r="N1227" s="581"/>
      <c r="O1227" s="585"/>
      <c r="P1227" s="581"/>
      <c r="Q1227" s="581"/>
      <c r="R1227" s="653"/>
      <c r="U1227" s="564"/>
      <c r="V1227" s="564"/>
      <c r="W1227" s="565"/>
      <c r="X1227" s="565"/>
      <c r="Y1227" s="565"/>
      <c r="Z1227" s="565"/>
    </row>
    <row r="1228" spans="1:18" ht="24">
      <c r="A1228" s="647">
        <v>4210</v>
      </c>
      <c r="B1228" s="828" t="s">
        <v>191</v>
      </c>
      <c r="C1228" s="603">
        <v>4800</v>
      </c>
      <c r="D1228" s="581">
        <f t="shared" si="145"/>
        <v>4800</v>
      </c>
      <c r="E1228" s="581">
        <f t="shared" si="148"/>
        <v>1074</v>
      </c>
      <c r="F1228" s="864">
        <f t="shared" si="146"/>
        <v>22.375</v>
      </c>
      <c r="G1228" s="603">
        <v>4800</v>
      </c>
      <c r="H1228" s="581">
        <v>1074</v>
      </c>
      <c r="I1228" s="629">
        <f t="shared" si="147"/>
        <v>22.375</v>
      </c>
      <c r="J1228" s="586"/>
      <c r="K1228" s="581"/>
      <c r="L1228" s="585"/>
      <c r="M1228" s="581"/>
      <c r="N1228" s="581"/>
      <c r="O1228" s="585"/>
      <c r="P1228" s="581"/>
      <c r="Q1228" s="581"/>
      <c r="R1228" s="653"/>
    </row>
    <row r="1229" spans="1:18" ht="27.75" customHeight="1">
      <c r="A1229" s="647">
        <v>4230</v>
      </c>
      <c r="B1229" s="828" t="s">
        <v>193</v>
      </c>
      <c r="C1229" s="603">
        <v>200</v>
      </c>
      <c r="D1229" s="581">
        <f t="shared" si="145"/>
        <v>200</v>
      </c>
      <c r="E1229" s="581">
        <f t="shared" si="148"/>
        <v>0</v>
      </c>
      <c r="F1229" s="864">
        <f t="shared" si="146"/>
        <v>0</v>
      </c>
      <c r="G1229" s="603">
        <v>200</v>
      </c>
      <c r="H1229" s="581"/>
      <c r="I1229" s="629">
        <f t="shared" si="147"/>
        <v>0</v>
      </c>
      <c r="J1229" s="586"/>
      <c r="K1229" s="581"/>
      <c r="L1229" s="585"/>
      <c r="M1229" s="581"/>
      <c r="N1229" s="581"/>
      <c r="O1229" s="585"/>
      <c r="P1229" s="581"/>
      <c r="Q1229" s="581"/>
      <c r="R1229" s="653"/>
    </row>
    <row r="1230" spans="1:18" ht="12.75">
      <c r="A1230" s="647">
        <v>4260</v>
      </c>
      <c r="B1230" s="828" t="s">
        <v>195</v>
      </c>
      <c r="C1230" s="603">
        <v>16200</v>
      </c>
      <c r="D1230" s="581">
        <f t="shared" si="145"/>
        <v>16200</v>
      </c>
      <c r="E1230" s="581">
        <f t="shared" si="148"/>
        <v>4310</v>
      </c>
      <c r="F1230" s="864">
        <f t="shared" si="146"/>
        <v>26.60493827160494</v>
      </c>
      <c r="G1230" s="603">
        <v>16200</v>
      </c>
      <c r="H1230" s="581">
        <v>4310</v>
      </c>
      <c r="I1230" s="629">
        <f t="shared" si="147"/>
        <v>26.60493827160494</v>
      </c>
      <c r="J1230" s="586"/>
      <c r="K1230" s="581"/>
      <c r="L1230" s="585"/>
      <c r="M1230" s="581"/>
      <c r="N1230" s="581"/>
      <c r="O1230" s="585"/>
      <c r="P1230" s="581"/>
      <c r="Q1230" s="581"/>
      <c r="R1230" s="653"/>
    </row>
    <row r="1231" spans="1:18" ht="15" customHeight="1">
      <c r="A1231" s="647">
        <v>4280</v>
      </c>
      <c r="B1231" s="828" t="s">
        <v>582</v>
      </c>
      <c r="C1231" s="603">
        <v>200</v>
      </c>
      <c r="D1231" s="581">
        <f t="shared" si="145"/>
        <v>200</v>
      </c>
      <c r="E1231" s="581">
        <f t="shared" si="148"/>
        <v>0</v>
      </c>
      <c r="F1231" s="864">
        <f t="shared" si="146"/>
        <v>0</v>
      </c>
      <c r="G1231" s="603">
        <v>200</v>
      </c>
      <c r="H1231" s="581"/>
      <c r="I1231" s="582">
        <f t="shared" si="147"/>
        <v>0</v>
      </c>
      <c r="J1231" s="586"/>
      <c r="K1231" s="581"/>
      <c r="L1231" s="585"/>
      <c r="M1231" s="581"/>
      <c r="N1231" s="581"/>
      <c r="O1231" s="585"/>
      <c r="P1231" s="581"/>
      <c r="Q1231" s="581"/>
      <c r="R1231" s="653"/>
    </row>
    <row r="1232" spans="1:18" ht="12.75" customHeight="1">
      <c r="A1232" s="647">
        <v>4300</v>
      </c>
      <c r="B1232" s="828" t="s">
        <v>199</v>
      </c>
      <c r="C1232" s="603">
        <v>47300</v>
      </c>
      <c r="D1232" s="581">
        <f t="shared" si="145"/>
        <v>47300</v>
      </c>
      <c r="E1232" s="581">
        <f t="shared" si="148"/>
        <v>10777</v>
      </c>
      <c r="F1232" s="864">
        <f t="shared" si="146"/>
        <v>22.784355179704015</v>
      </c>
      <c r="G1232" s="603">
        <v>47300</v>
      </c>
      <c r="H1232" s="581">
        <v>10777</v>
      </c>
      <c r="I1232" s="629">
        <f t="shared" si="147"/>
        <v>22.784355179704015</v>
      </c>
      <c r="J1232" s="586"/>
      <c r="K1232" s="581"/>
      <c r="L1232" s="585"/>
      <c r="M1232" s="581"/>
      <c r="N1232" s="581"/>
      <c r="O1232" s="585"/>
      <c r="P1232" s="581"/>
      <c r="Q1232" s="581"/>
      <c r="R1232" s="653"/>
    </row>
    <row r="1233" spans="1:18" ht="24">
      <c r="A1233" s="647">
        <v>4350</v>
      </c>
      <c r="B1233" s="651" t="s">
        <v>584</v>
      </c>
      <c r="C1233" s="603">
        <v>1100</v>
      </c>
      <c r="D1233" s="581">
        <f aca="true" t="shared" si="149" ref="D1233:E1281">G1233+J1233+P1233+M1233</f>
        <v>1100</v>
      </c>
      <c r="E1233" s="581">
        <f>SUM(H1233+K1233+N1233+Q1233)</f>
        <v>258</v>
      </c>
      <c r="F1233" s="864">
        <f>E1233/D1233*100</f>
        <v>23.454545454545457</v>
      </c>
      <c r="G1233" s="603">
        <v>1100</v>
      </c>
      <c r="H1233" s="581">
        <v>258</v>
      </c>
      <c r="I1233" s="629">
        <f t="shared" si="147"/>
        <v>23.454545454545457</v>
      </c>
      <c r="J1233" s="586"/>
      <c r="K1233" s="581"/>
      <c r="L1233" s="585"/>
      <c r="M1233" s="581"/>
      <c r="N1233" s="581"/>
      <c r="O1233" s="585"/>
      <c r="P1233" s="581"/>
      <c r="Q1233" s="581"/>
      <c r="R1233" s="653"/>
    </row>
    <row r="1234" spans="1:18" ht="62.25" customHeight="1">
      <c r="A1234" s="647">
        <v>4370</v>
      </c>
      <c r="B1234" s="712" t="s">
        <v>432</v>
      </c>
      <c r="C1234" s="603">
        <v>1300</v>
      </c>
      <c r="D1234" s="581">
        <f t="shared" si="149"/>
        <v>1300</v>
      </c>
      <c r="E1234" s="581">
        <f>SUM(H1234+K1234+N1234+Q1234)</f>
        <v>265</v>
      </c>
      <c r="F1234" s="864">
        <f>E1234/D1234*100</f>
        <v>20.384615384615383</v>
      </c>
      <c r="G1234" s="603">
        <v>1300</v>
      </c>
      <c r="H1234" s="581">
        <v>265</v>
      </c>
      <c r="I1234" s="629">
        <f t="shared" si="147"/>
        <v>20.384615384615383</v>
      </c>
      <c r="J1234" s="586"/>
      <c r="K1234" s="581"/>
      <c r="L1234" s="585"/>
      <c r="M1234" s="581"/>
      <c r="N1234" s="581"/>
      <c r="O1234" s="585"/>
      <c r="P1234" s="581"/>
      <c r="Q1234" s="581"/>
      <c r="R1234" s="653"/>
    </row>
    <row r="1235" spans="1:18" ht="35.25" customHeight="1">
      <c r="A1235" s="647">
        <v>4400</v>
      </c>
      <c r="B1235" s="651" t="s">
        <v>433</v>
      </c>
      <c r="C1235" s="603">
        <v>11000</v>
      </c>
      <c r="D1235" s="581">
        <f t="shared" si="149"/>
        <v>11000</v>
      </c>
      <c r="E1235" s="581">
        <f>SUM(H1235+K1235+N1235+Q1235)</f>
        <v>2622</v>
      </c>
      <c r="F1235" s="864">
        <f>E1235/D1235*100</f>
        <v>23.836363636363636</v>
      </c>
      <c r="G1235" s="603">
        <v>11000</v>
      </c>
      <c r="H1235" s="581">
        <v>2622</v>
      </c>
      <c r="I1235" s="629">
        <f t="shared" si="147"/>
        <v>23.836363636363636</v>
      </c>
      <c r="J1235" s="586"/>
      <c r="K1235" s="581"/>
      <c r="L1235" s="585"/>
      <c r="M1235" s="581"/>
      <c r="N1235" s="581"/>
      <c r="O1235" s="585"/>
      <c r="P1235" s="581"/>
      <c r="Q1235" s="581"/>
      <c r="R1235" s="653"/>
    </row>
    <row r="1236" spans="1:18" ht="12.75" customHeight="1">
      <c r="A1236" s="647">
        <v>4410</v>
      </c>
      <c r="B1236" s="828" t="s">
        <v>173</v>
      </c>
      <c r="C1236" s="603">
        <v>200</v>
      </c>
      <c r="D1236" s="581">
        <f t="shared" si="149"/>
        <v>200</v>
      </c>
      <c r="E1236" s="581">
        <f t="shared" si="148"/>
        <v>110</v>
      </c>
      <c r="F1236" s="864">
        <f t="shared" si="146"/>
        <v>55.00000000000001</v>
      </c>
      <c r="G1236" s="603">
        <v>200</v>
      </c>
      <c r="H1236" s="581">
        <v>110</v>
      </c>
      <c r="I1236" s="629">
        <f t="shared" si="147"/>
        <v>55.00000000000001</v>
      </c>
      <c r="J1236" s="586"/>
      <c r="K1236" s="581"/>
      <c r="L1236" s="585"/>
      <c r="M1236" s="581"/>
      <c r="N1236" s="581"/>
      <c r="O1236" s="585"/>
      <c r="P1236" s="581"/>
      <c r="Q1236" s="581"/>
      <c r="R1236" s="653"/>
    </row>
    <row r="1237" spans="1:18" ht="12.75" customHeight="1" hidden="1">
      <c r="A1237" s="647">
        <v>4430</v>
      </c>
      <c r="B1237" s="828" t="s">
        <v>201</v>
      </c>
      <c r="C1237" s="603"/>
      <c r="D1237" s="581">
        <f>G1237+J1237+P1237+M1237</f>
        <v>0</v>
      </c>
      <c r="E1237" s="581">
        <f>SUM(H1237+K1237+N1237+Q1237)</f>
        <v>0</v>
      </c>
      <c r="F1237" s="864"/>
      <c r="G1237" s="603"/>
      <c r="H1237" s="581"/>
      <c r="I1237" s="629" t="e">
        <f t="shared" si="147"/>
        <v>#DIV/0!</v>
      </c>
      <c r="J1237" s="586"/>
      <c r="K1237" s="581"/>
      <c r="L1237" s="585"/>
      <c r="M1237" s="581"/>
      <c r="N1237" s="581"/>
      <c r="O1237" s="585"/>
      <c r="P1237" s="581"/>
      <c r="Q1237" s="581"/>
      <c r="R1237" s="653"/>
    </row>
    <row r="1238" spans="1:18" ht="12.75" customHeight="1">
      <c r="A1238" s="647">
        <v>4440</v>
      </c>
      <c r="B1238" s="712" t="s">
        <v>203</v>
      </c>
      <c r="C1238" s="603">
        <v>4000</v>
      </c>
      <c r="D1238" s="581">
        <f>G1238+J1238+P1238+M1238</f>
        <v>4000</v>
      </c>
      <c r="E1238" s="581">
        <f>SUM(H1238+K1238+N1238+Q1238)</f>
        <v>4000</v>
      </c>
      <c r="F1238" s="864">
        <f>E1238/D1238*100</f>
        <v>100</v>
      </c>
      <c r="G1238" s="603">
        <v>4000</v>
      </c>
      <c r="H1238" s="581">
        <v>4000</v>
      </c>
      <c r="I1238" s="582">
        <f t="shared" si="147"/>
        <v>100</v>
      </c>
      <c r="J1238" s="586"/>
      <c r="K1238" s="581"/>
      <c r="L1238" s="585"/>
      <c r="M1238" s="581"/>
      <c r="N1238" s="581"/>
      <c r="O1238" s="585"/>
      <c r="P1238" s="581"/>
      <c r="Q1238" s="581"/>
      <c r="R1238" s="653"/>
    </row>
    <row r="1239" spans="1:18" ht="12.75" customHeight="1">
      <c r="A1239" s="647">
        <v>4480</v>
      </c>
      <c r="B1239" s="828" t="s">
        <v>205</v>
      </c>
      <c r="C1239" s="603">
        <v>1500</v>
      </c>
      <c r="D1239" s="581">
        <f t="shared" si="149"/>
        <v>1500</v>
      </c>
      <c r="E1239" s="581">
        <f>SUM(H1239+K1239+N1239+Q1239)</f>
        <v>344</v>
      </c>
      <c r="F1239" s="864">
        <f t="shared" si="146"/>
        <v>22.933333333333334</v>
      </c>
      <c r="G1239" s="603">
        <v>1500</v>
      </c>
      <c r="H1239" s="581">
        <v>344</v>
      </c>
      <c r="I1239" s="582">
        <f t="shared" si="147"/>
        <v>22.933333333333334</v>
      </c>
      <c r="J1239" s="586"/>
      <c r="K1239" s="581"/>
      <c r="L1239" s="585"/>
      <c r="M1239" s="581"/>
      <c r="N1239" s="581"/>
      <c r="O1239" s="585"/>
      <c r="P1239" s="581"/>
      <c r="Q1239" s="581"/>
      <c r="R1239" s="653"/>
    </row>
    <row r="1240" spans="1:18" ht="50.25" customHeight="1">
      <c r="A1240" s="647">
        <v>4740</v>
      </c>
      <c r="B1240" s="712" t="s">
        <v>215</v>
      </c>
      <c r="C1240" s="603">
        <v>200</v>
      </c>
      <c r="D1240" s="581">
        <f t="shared" si="149"/>
        <v>200</v>
      </c>
      <c r="E1240" s="581">
        <f>SUM(H1240+K1240+N1240+Q1240)</f>
        <v>0</v>
      </c>
      <c r="F1240" s="864">
        <f t="shared" si="146"/>
        <v>0</v>
      </c>
      <c r="G1240" s="603">
        <v>200</v>
      </c>
      <c r="H1240" s="581"/>
      <c r="I1240" s="629">
        <f t="shared" si="147"/>
        <v>0</v>
      </c>
      <c r="J1240" s="586"/>
      <c r="K1240" s="581"/>
      <c r="L1240" s="585"/>
      <c r="M1240" s="581"/>
      <c r="N1240" s="581"/>
      <c r="O1240" s="585"/>
      <c r="P1240" s="581"/>
      <c r="Q1240" s="581"/>
      <c r="R1240" s="653"/>
    </row>
    <row r="1241" spans="1:26" s="639" customFormat="1" ht="36">
      <c r="A1241" s="672">
        <v>4750</v>
      </c>
      <c r="B1241" s="673" t="s">
        <v>589</v>
      </c>
      <c r="C1241" s="674">
        <v>500</v>
      </c>
      <c r="D1241" s="675">
        <f t="shared" si="149"/>
        <v>500</v>
      </c>
      <c r="E1241" s="675">
        <f t="shared" si="148"/>
        <v>360</v>
      </c>
      <c r="F1241" s="878">
        <f t="shared" si="146"/>
        <v>72</v>
      </c>
      <c r="G1241" s="674">
        <v>500</v>
      </c>
      <c r="H1241" s="675">
        <v>360</v>
      </c>
      <c r="I1241" s="643">
        <f t="shared" si="147"/>
        <v>72</v>
      </c>
      <c r="J1241" s="676"/>
      <c r="K1241" s="675"/>
      <c r="L1241" s="679"/>
      <c r="M1241" s="675"/>
      <c r="N1241" s="675"/>
      <c r="O1241" s="679"/>
      <c r="P1241" s="675"/>
      <c r="Q1241" s="675"/>
      <c r="R1241" s="680"/>
      <c r="S1241" s="564"/>
      <c r="T1241" s="564"/>
      <c r="U1241" s="564"/>
      <c r="V1241" s="564"/>
      <c r="W1241" s="565"/>
      <c r="X1241" s="565"/>
      <c r="Y1241" s="565"/>
      <c r="Z1241" s="565"/>
    </row>
    <row r="1242" spans="1:26" s="639" customFormat="1" ht="25.5" customHeight="1">
      <c r="A1242" s="672"/>
      <c r="B1242" s="898" t="s">
        <v>800</v>
      </c>
      <c r="C1242" s="608">
        <f>SUM(C1243:C1244)</f>
        <v>288200</v>
      </c>
      <c r="D1242" s="595">
        <f t="shared" si="149"/>
        <v>288200</v>
      </c>
      <c r="E1242" s="595">
        <f>H1242+K1242+Q1242+N1242</f>
        <v>72050</v>
      </c>
      <c r="F1242" s="857">
        <f t="shared" si="146"/>
        <v>25</v>
      </c>
      <c r="G1242" s="608">
        <f>SUM(G1243:G1244)</f>
        <v>288200</v>
      </c>
      <c r="H1242" s="642">
        <f>SUM(H1243:H1244)</f>
        <v>72050</v>
      </c>
      <c r="I1242" s="596">
        <f t="shared" si="147"/>
        <v>25</v>
      </c>
      <c r="J1242" s="723"/>
      <c r="K1242" s="642"/>
      <c r="L1242" s="601"/>
      <c r="M1242" s="595"/>
      <c r="N1242" s="595"/>
      <c r="O1242" s="645"/>
      <c r="P1242" s="642"/>
      <c r="Q1242" s="642"/>
      <c r="R1242" s="680"/>
      <c r="S1242" s="564"/>
      <c r="T1242" s="564"/>
      <c r="U1242" s="564"/>
      <c r="V1242" s="564"/>
      <c r="W1242" s="565"/>
      <c r="X1242" s="565"/>
      <c r="Y1242" s="565"/>
      <c r="Z1242" s="565"/>
    </row>
    <row r="1243" spans="1:26" s="639" customFormat="1" ht="84" hidden="1">
      <c r="A1243" s="647">
        <v>2820</v>
      </c>
      <c r="B1243" s="828" t="s">
        <v>593</v>
      </c>
      <c r="C1243" s="603"/>
      <c r="D1243" s="581">
        <f t="shared" si="149"/>
        <v>0</v>
      </c>
      <c r="E1243" s="581">
        <f>SUM(H1243+K1243+N1243+Q1243)</f>
        <v>0</v>
      </c>
      <c r="F1243" s="864" t="e">
        <f t="shared" si="146"/>
        <v>#DIV/0!</v>
      </c>
      <c r="G1243" s="603"/>
      <c r="H1243" s="581"/>
      <c r="I1243" s="582" t="e">
        <f>H1243/G1243*100</f>
        <v>#DIV/0!</v>
      </c>
      <c r="J1243" s="661"/>
      <c r="K1243" s="660"/>
      <c r="L1243" s="662"/>
      <c r="M1243" s="660"/>
      <c r="N1243" s="660"/>
      <c r="O1243" s="649"/>
      <c r="P1243" s="660"/>
      <c r="Q1243" s="660"/>
      <c r="R1243" s="653"/>
      <c r="S1243" s="564"/>
      <c r="T1243" s="564"/>
      <c r="U1243" s="564"/>
      <c r="V1243" s="564"/>
      <c r="W1243" s="565"/>
      <c r="X1243" s="565"/>
      <c r="Y1243" s="565"/>
      <c r="Z1243" s="565"/>
    </row>
    <row r="1244" spans="1:26" s="639" customFormat="1" ht="59.25" customHeight="1">
      <c r="A1244" s="672">
        <v>2820</v>
      </c>
      <c r="B1244" s="673" t="s">
        <v>593</v>
      </c>
      <c r="C1244" s="674">
        <v>288200</v>
      </c>
      <c r="D1244" s="675">
        <f t="shared" si="149"/>
        <v>288200</v>
      </c>
      <c r="E1244" s="675">
        <f aca="true" t="shared" si="150" ref="E1244:E1267">SUM(H1244+K1244+N1244+Q1244)</f>
        <v>72050</v>
      </c>
      <c r="F1244" s="878">
        <f t="shared" si="146"/>
        <v>25</v>
      </c>
      <c r="G1244" s="674">
        <v>288200</v>
      </c>
      <c r="H1244" s="675">
        <v>72050</v>
      </c>
      <c r="I1244" s="643">
        <f t="shared" si="147"/>
        <v>25</v>
      </c>
      <c r="J1244" s="676"/>
      <c r="K1244" s="675"/>
      <c r="L1244" s="677"/>
      <c r="M1244" s="675"/>
      <c r="N1244" s="675"/>
      <c r="O1244" s="689"/>
      <c r="P1244" s="675"/>
      <c r="Q1244" s="675"/>
      <c r="R1244" s="680"/>
      <c r="S1244" s="564"/>
      <c r="T1244" s="564"/>
      <c r="U1244" s="564"/>
      <c r="V1244" s="564"/>
      <c r="W1244" s="565"/>
      <c r="X1244" s="565"/>
      <c r="Y1244" s="565"/>
      <c r="Z1244" s="565"/>
    </row>
    <row r="1245" spans="1:26" s="639" customFormat="1" ht="14.25" customHeight="1">
      <c r="A1245" s="719"/>
      <c r="B1245" s="898" t="s">
        <v>801</v>
      </c>
      <c r="C1245" s="721">
        <f>SUM(C1246:C1267)</f>
        <v>245726</v>
      </c>
      <c r="D1245" s="642">
        <f t="shared" si="149"/>
        <v>245726</v>
      </c>
      <c r="E1245" s="642">
        <f t="shared" si="150"/>
        <v>76488</v>
      </c>
      <c r="F1245" s="878">
        <f t="shared" si="146"/>
        <v>31.12735323083434</v>
      </c>
      <c r="G1245" s="721"/>
      <c r="H1245" s="642"/>
      <c r="I1245" s="710"/>
      <c r="J1245" s="723">
        <f>SUM(J1246:J1267)</f>
        <v>245726</v>
      </c>
      <c r="K1245" s="723">
        <f>SUM(K1246:K1267)</f>
        <v>76488</v>
      </c>
      <c r="L1245" s="679">
        <f>K1245/J1245*100</f>
        <v>31.12735323083434</v>
      </c>
      <c r="M1245" s="642"/>
      <c r="N1245" s="642"/>
      <c r="O1245" s="726"/>
      <c r="P1245" s="642"/>
      <c r="Q1245" s="642"/>
      <c r="R1245" s="727"/>
      <c r="S1245" s="564"/>
      <c r="T1245" s="564"/>
      <c r="U1245" s="564"/>
      <c r="V1245" s="564"/>
      <c r="W1245" s="565"/>
      <c r="X1245" s="565"/>
      <c r="Y1245" s="565"/>
      <c r="Z1245" s="565"/>
    </row>
    <row r="1246" spans="1:18" ht="36" customHeight="1">
      <c r="A1246" s="647">
        <v>3020</v>
      </c>
      <c r="B1246" s="651" t="s">
        <v>248</v>
      </c>
      <c r="C1246" s="606">
        <v>200</v>
      </c>
      <c r="D1246" s="581">
        <f t="shared" si="149"/>
        <v>200</v>
      </c>
      <c r="E1246" s="581">
        <f>SUM(H1246+K1246+N1246+Q1246)</f>
        <v>0</v>
      </c>
      <c r="F1246" s="582">
        <f>E1246/D1246*100</f>
        <v>0</v>
      </c>
      <c r="G1246" s="603"/>
      <c r="H1246" s="581"/>
      <c r="I1246" s="629"/>
      <c r="J1246" s="586">
        <v>200</v>
      </c>
      <c r="K1246" s="586"/>
      <c r="L1246" s="627">
        <f>K1246/J1246*100</f>
        <v>0</v>
      </c>
      <c r="M1246" s="581"/>
      <c r="N1246" s="581"/>
      <c r="O1246" s="649"/>
      <c r="P1246" s="581"/>
      <c r="Q1246" s="581"/>
      <c r="R1246" s="653"/>
    </row>
    <row r="1247" spans="1:26" ht="26.25" customHeight="1">
      <c r="A1247" s="647">
        <v>4010</v>
      </c>
      <c r="B1247" s="828" t="s">
        <v>181</v>
      </c>
      <c r="C1247" s="603">
        <v>140520</v>
      </c>
      <c r="D1247" s="581">
        <f t="shared" si="149"/>
        <v>140520</v>
      </c>
      <c r="E1247" s="581">
        <f t="shared" si="150"/>
        <v>36866</v>
      </c>
      <c r="F1247" s="582">
        <f t="shared" si="146"/>
        <v>26.235411329348135</v>
      </c>
      <c r="G1247" s="603"/>
      <c r="H1247" s="581"/>
      <c r="I1247" s="629"/>
      <c r="J1247" s="603">
        <v>140520</v>
      </c>
      <c r="K1247" s="586">
        <v>36866</v>
      </c>
      <c r="L1247" s="627">
        <f>K1247/J1247*100</f>
        <v>26.235411329348135</v>
      </c>
      <c r="M1247" s="581"/>
      <c r="N1247" s="581"/>
      <c r="O1247" s="649"/>
      <c r="P1247" s="581"/>
      <c r="Q1247" s="581"/>
      <c r="R1247" s="653"/>
      <c r="U1247" s="564"/>
      <c r="V1247" s="564"/>
      <c r="W1247" s="565"/>
      <c r="X1247" s="565"/>
      <c r="Y1247" s="565"/>
      <c r="Z1247" s="565"/>
    </row>
    <row r="1248" spans="1:26" ht="24">
      <c r="A1248" s="647">
        <v>4040</v>
      </c>
      <c r="B1248" s="828" t="s">
        <v>249</v>
      </c>
      <c r="C1248" s="603">
        <v>12531</v>
      </c>
      <c r="D1248" s="581">
        <f t="shared" si="149"/>
        <v>12531</v>
      </c>
      <c r="E1248" s="581">
        <f t="shared" si="150"/>
        <v>11485</v>
      </c>
      <c r="F1248" s="582">
        <f t="shared" si="146"/>
        <v>91.65270130077407</v>
      </c>
      <c r="G1248" s="603"/>
      <c r="H1248" s="581"/>
      <c r="I1248" s="629"/>
      <c r="J1248" s="603">
        <v>12531</v>
      </c>
      <c r="K1248" s="586">
        <v>11485</v>
      </c>
      <c r="L1248" s="627">
        <f aca="true" t="shared" si="151" ref="L1248:L1267">K1248/J1248*100</f>
        <v>91.65270130077407</v>
      </c>
      <c r="M1248" s="581"/>
      <c r="N1248" s="581"/>
      <c r="O1248" s="649"/>
      <c r="P1248" s="581"/>
      <c r="Q1248" s="581"/>
      <c r="R1248" s="653"/>
      <c r="U1248" s="564"/>
      <c r="V1248" s="564"/>
      <c r="W1248" s="565"/>
      <c r="X1248" s="565"/>
      <c r="Y1248" s="565"/>
      <c r="Z1248" s="565"/>
    </row>
    <row r="1249" spans="1:26" ht="26.25" customHeight="1">
      <c r="A1249" s="647">
        <v>4110</v>
      </c>
      <c r="B1249" s="828" t="s">
        <v>187</v>
      </c>
      <c r="C1249" s="603">
        <v>25207</v>
      </c>
      <c r="D1249" s="581">
        <f t="shared" si="149"/>
        <v>25207</v>
      </c>
      <c r="E1249" s="581">
        <f t="shared" si="150"/>
        <v>7844</v>
      </c>
      <c r="F1249" s="582">
        <f t="shared" si="146"/>
        <v>31.1183401436109</v>
      </c>
      <c r="G1249" s="603"/>
      <c r="H1249" s="581"/>
      <c r="I1249" s="629"/>
      <c r="J1249" s="603">
        <v>25207</v>
      </c>
      <c r="K1249" s="586">
        <v>7844</v>
      </c>
      <c r="L1249" s="627">
        <f t="shared" si="151"/>
        <v>31.1183401436109</v>
      </c>
      <c r="M1249" s="581"/>
      <c r="N1249" s="581"/>
      <c r="O1249" s="649"/>
      <c r="P1249" s="581"/>
      <c r="Q1249" s="581"/>
      <c r="R1249" s="653"/>
      <c r="U1249" s="564"/>
      <c r="V1249" s="564"/>
      <c r="W1249" s="565"/>
      <c r="X1249" s="565"/>
      <c r="Y1249" s="565"/>
      <c r="Z1249" s="565"/>
    </row>
    <row r="1250" spans="1:26" ht="14.25" customHeight="1">
      <c r="A1250" s="647">
        <v>4120</v>
      </c>
      <c r="B1250" s="828" t="s">
        <v>619</v>
      </c>
      <c r="C1250" s="603">
        <v>3750</v>
      </c>
      <c r="D1250" s="581">
        <f t="shared" si="149"/>
        <v>3750</v>
      </c>
      <c r="E1250" s="581">
        <f t="shared" si="150"/>
        <v>1167</v>
      </c>
      <c r="F1250" s="582">
        <f>E1250/D1250*100</f>
        <v>31.119999999999997</v>
      </c>
      <c r="G1250" s="603"/>
      <c r="H1250" s="581"/>
      <c r="I1250" s="629"/>
      <c r="J1250" s="603">
        <v>3750</v>
      </c>
      <c r="K1250" s="586">
        <v>1167</v>
      </c>
      <c r="L1250" s="627">
        <f t="shared" si="151"/>
        <v>31.119999999999997</v>
      </c>
      <c r="M1250" s="581"/>
      <c r="N1250" s="581"/>
      <c r="O1250" s="649"/>
      <c r="P1250" s="581"/>
      <c r="Q1250" s="581"/>
      <c r="R1250" s="653"/>
      <c r="U1250" s="564"/>
      <c r="V1250" s="564"/>
      <c r="W1250" s="565"/>
      <c r="X1250" s="565"/>
      <c r="Y1250" s="565"/>
      <c r="Z1250" s="565"/>
    </row>
    <row r="1251" spans="1:18" ht="24" hidden="1">
      <c r="A1251" s="647">
        <v>4170</v>
      </c>
      <c r="B1251" s="828" t="s">
        <v>221</v>
      </c>
      <c r="C1251" s="603"/>
      <c r="D1251" s="581">
        <f t="shared" si="149"/>
        <v>0</v>
      </c>
      <c r="E1251" s="581">
        <f>SUM(H1251+K1251+N1251+Q1251)</f>
        <v>0</v>
      </c>
      <c r="F1251" s="582" t="e">
        <f>E1251/D1251*100</f>
        <v>#DIV/0!</v>
      </c>
      <c r="G1251" s="603"/>
      <c r="H1251" s="581"/>
      <c r="I1251" s="629"/>
      <c r="J1251" s="603"/>
      <c r="K1251" s="586"/>
      <c r="L1251" s="627" t="e">
        <f t="shared" si="151"/>
        <v>#DIV/0!</v>
      </c>
      <c r="M1251" s="581"/>
      <c r="N1251" s="581"/>
      <c r="O1251" s="649"/>
      <c r="P1251" s="581"/>
      <c r="Q1251" s="581"/>
      <c r="R1251" s="653"/>
    </row>
    <row r="1252" spans="1:18" ht="24">
      <c r="A1252" s="647">
        <v>4210</v>
      </c>
      <c r="B1252" s="828" t="s">
        <v>191</v>
      </c>
      <c r="C1252" s="603">
        <v>3000</v>
      </c>
      <c r="D1252" s="581">
        <f t="shared" si="149"/>
        <v>3000</v>
      </c>
      <c r="E1252" s="581">
        <f t="shared" si="150"/>
        <v>1151</v>
      </c>
      <c r="F1252" s="582">
        <f aca="true" t="shared" si="152" ref="F1252:F1297">E1252/D1252*100</f>
        <v>38.36666666666667</v>
      </c>
      <c r="G1252" s="603"/>
      <c r="H1252" s="581"/>
      <c r="I1252" s="629"/>
      <c r="J1252" s="603">
        <v>3000</v>
      </c>
      <c r="K1252" s="586">
        <v>1151</v>
      </c>
      <c r="L1252" s="627">
        <f t="shared" si="151"/>
        <v>38.36666666666667</v>
      </c>
      <c r="M1252" s="581"/>
      <c r="N1252" s="581"/>
      <c r="O1252" s="649"/>
      <c r="P1252" s="581"/>
      <c r="Q1252" s="581"/>
      <c r="R1252" s="653"/>
    </row>
    <row r="1253" spans="1:18" ht="14.25" customHeight="1">
      <c r="A1253" s="647">
        <v>4220</v>
      </c>
      <c r="B1253" s="828" t="s">
        <v>710</v>
      </c>
      <c r="C1253" s="603">
        <v>7000</v>
      </c>
      <c r="D1253" s="581">
        <f t="shared" si="149"/>
        <v>7000</v>
      </c>
      <c r="E1253" s="581">
        <f t="shared" si="150"/>
        <v>1775</v>
      </c>
      <c r="F1253" s="582">
        <f t="shared" si="152"/>
        <v>25.357142857142854</v>
      </c>
      <c r="G1253" s="603"/>
      <c r="H1253" s="581"/>
      <c r="I1253" s="629"/>
      <c r="J1253" s="603">
        <v>7000</v>
      </c>
      <c r="K1253" s="586">
        <v>1775</v>
      </c>
      <c r="L1253" s="627">
        <f t="shared" si="151"/>
        <v>25.357142857142854</v>
      </c>
      <c r="M1253" s="581"/>
      <c r="N1253" s="581"/>
      <c r="O1253" s="649"/>
      <c r="P1253" s="581"/>
      <c r="Q1253" s="581"/>
      <c r="R1253" s="653"/>
    </row>
    <row r="1254" spans="1:18" ht="27.75" customHeight="1">
      <c r="A1254" s="647">
        <v>4230</v>
      </c>
      <c r="B1254" s="828" t="s">
        <v>193</v>
      </c>
      <c r="C1254" s="603">
        <v>100</v>
      </c>
      <c r="D1254" s="581">
        <f t="shared" si="149"/>
        <v>100</v>
      </c>
      <c r="E1254" s="581">
        <f t="shared" si="150"/>
        <v>0</v>
      </c>
      <c r="F1254" s="582">
        <f t="shared" si="152"/>
        <v>0</v>
      </c>
      <c r="G1254" s="603"/>
      <c r="H1254" s="581"/>
      <c r="I1254" s="629"/>
      <c r="J1254" s="603">
        <v>100</v>
      </c>
      <c r="K1254" s="586"/>
      <c r="L1254" s="627">
        <f t="shared" si="151"/>
        <v>0</v>
      </c>
      <c r="M1254" s="581"/>
      <c r="N1254" s="581"/>
      <c r="O1254" s="649"/>
      <c r="P1254" s="581"/>
      <c r="Q1254" s="581"/>
      <c r="R1254" s="653"/>
    </row>
    <row r="1255" spans="1:18" ht="14.25" customHeight="1">
      <c r="A1255" s="647">
        <v>4260</v>
      </c>
      <c r="B1255" s="828" t="s">
        <v>195</v>
      </c>
      <c r="C1255" s="603">
        <v>15748</v>
      </c>
      <c r="D1255" s="581">
        <f t="shared" si="149"/>
        <v>15748</v>
      </c>
      <c r="E1255" s="581">
        <f t="shared" si="150"/>
        <v>4902</v>
      </c>
      <c r="F1255" s="582">
        <f t="shared" si="152"/>
        <v>31.12776225552451</v>
      </c>
      <c r="G1255" s="603"/>
      <c r="H1255" s="581"/>
      <c r="I1255" s="629"/>
      <c r="J1255" s="603">
        <v>15748</v>
      </c>
      <c r="K1255" s="586">
        <v>4902</v>
      </c>
      <c r="L1255" s="627">
        <f t="shared" si="151"/>
        <v>31.12776225552451</v>
      </c>
      <c r="M1255" s="581"/>
      <c r="N1255" s="581"/>
      <c r="O1255" s="649"/>
      <c r="P1255" s="581"/>
      <c r="Q1255" s="581"/>
      <c r="R1255" s="653"/>
    </row>
    <row r="1256" spans="1:18" ht="14.25" customHeight="1" hidden="1">
      <c r="A1256" s="647">
        <v>4270</v>
      </c>
      <c r="B1256" s="828" t="s">
        <v>197</v>
      </c>
      <c r="C1256" s="603"/>
      <c r="D1256" s="581">
        <f t="shared" si="149"/>
        <v>0</v>
      </c>
      <c r="E1256" s="581">
        <f>SUM(H1256+K1256+N1256+Q1256)</f>
        <v>0</v>
      </c>
      <c r="F1256" s="582" t="e">
        <f>E1256/D1256*100</f>
        <v>#DIV/0!</v>
      </c>
      <c r="G1256" s="603"/>
      <c r="H1256" s="581"/>
      <c r="I1256" s="629"/>
      <c r="J1256" s="603"/>
      <c r="K1256" s="586"/>
      <c r="L1256" s="627" t="e">
        <f t="shared" si="151"/>
        <v>#DIV/0!</v>
      </c>
      <c r="M1256" s="581"/>
      <c r="N1256" s="581"/>
      <c r="O1256" s="649"/>
      <c r="P1256" s="581"/>
      <c r="Q1256" s="581"/>
      <c r="R1256" s="653"/>
    </row>
    <row r="1257" spans="1:18" ht="14.25" customHeight="1">
      <c r="A1257" s="647">
        <v>4280</v>
      </c>
      <c r="B1257" s="828" t="s">
        <v>582</v>
      </c>
      <c r="C1257" s="603">
        <v>150</v>
      </c>
      <c r="D1257" s="581">
        <f t="shared" si="149"/>
        <v>150</v>
      </c>
      <c r="E1257" s="581">
        <f>SUM(H1257+K1257+N1257+Q1257)</f>
        <v>0</v>
      </c>
      <c r="F1257" s="582">
        <f>E1257/D1257*100</f>
        <v>0</v>
      </c>
      <c r="G1257" s="603"/>
      <c r="H1257" s="581"/>
      <c r="I1257" s="629"/>
      <c r="J1257" s="603">
        <v>150</v>
      </c>
      <c r="K1257" s="586"/>
      <c r="L1257" s="627">
        <f t="shared" si="151"/>
        <v>0</v>
      </c>
      <c r="M1257" s="581"/>
      <c r="N1257" s="581"/>
      <c r="O1257" s="649"/>
      <c r="P1257" s="581"/>
      <c r="Q1257" s="581"/>
      <c r="R1257" s="653"/>
    </row>
    <row r="1258" spans="1:18" ht="14.25" customHeight="1">
      <c r="A1258" s="647">
        <v>4300</v>
      </c>
      <c r="B1258" s="828" t="s">
        <v>583</v>
      </c>
      <c r="C1258" s="603">
        <v>9000</v>
      </c>
      <c r="D1258" s="581">
        <f t="shared" si="149"/>
        <v>9000</v>
      </c>
      <c r="E1258" s="581">
        <f t="shared" si="150"/>
        <v>821</v>
      </c>
      <c r="F1258" s="582">
        <f t="shared" si="152"/>
        <v>9.122222222222222</v>
      </c>
      <c r="G1258" s="603"/>
      <c r="H1258" s="581"/>
      <c r="I1258" s="629"/>
      <c r="J1258" s="603">
        <v>9000</v>
      </c>
      <c r="K1258" s="586">
        <v>821</v>
      </c>
      <c r="L1258" s="627">
        <f t="shared" si="151"/>
        <v>9.122222222222222</v>
      </c>
      <c r="M1258" s="581"/>
      <c r="N1258" s="581"/>
      <c r="O1258" s="649"/>
      <c r="P1258" s="581"/>
      <c r="Q1258" s="581"/>
      <c r="R1258" s="653"/>
    </row>
    <row r="1259" spans="1:18" ht="24">
      <c r="A1259" s="647">
        <v>4350</v>
      </c>
      <c r="B1259" s="651" t="s">
        <v>584</v>
      </c>
      <c r="C1259" s="603">
        <v>1080</v>
      </c>
      <c r="D1259" s="581">
        <f t="shared" si="149"/>
        <v>1080</v>
      </c>
      <c r="E1259" s="581">
        <f>SUM(H1259+K1259+N1259+Q1259)</f>
        <v>258</v>
      </c>
      <c r="F1259" s="582">
        <f>E1259/D1259*100</f>
        <v>23.88888888888889</v>
      </c>
      <c r="G1259" s="603"/>
      <c r="H1259" s="581"/>
      <c r="I1259" s="629"/>
      <c r="J1259" s="603">
        <v>1080</v>
      </c>
      <c r="K1259" s="586">
        <v>258</v>
      </c>
      <c r="L1259" s="627">
        <f t="shared" si="151"/>
        <v>23.88888888888889</v>
      </c>
      <c r="M1259" s="581"/>
      <c r="N1259" s="581"/>
      <c r="O1259" s="649"/>
      <c r="P1259" s="581"/>
      <c r="Q1259" s="581"/>
      <c r="R1259" s="653"/>
    </row>
    <row r="1260" spans="1:18" ht="63" customHeight="1">
      <c r="A1260" s="647">
        <v>4370</v>
      </c>
      <c r="B1260" s="712" t="s">
        <v>432</v>
      </c>
      <c r="C1260" s="603">
        <v>2040</v>
      </c>
      <c r="D1260" s="581">
        <f t="shared" si="149"/>
        <v>2040</v>
      </c>
      <c r="E1260" s="581">
        <f>SUM(H1260+K1260+N1260+Q1260)</f>
        <v>430</v>
      </c>
      <c r="F1260" s="582">
        <f>E1260/D1260*100</f>
        <v>21.07843137254902</v>
      </c>
      <c r="G1260" s="603"/>
      <c r="H1260" s="581"/>
      <c r="I1260" s="629"/>
      <c r="J1260" s="603">
        <v>2040</v>
      </c>
      <c r="K1260" s="586">
        <f>431-1</f>
        <v>430</v>
      </c>
      <c r="L1260" s="627">
        <f t="shared" si="151"/>
        <v>21.07843137254902</v>
      </c>
      <c r="M1260" s="581"/>
      <c r="N1260" s="581"/>
      <c r="O1260" s="649"/>
      <c r="P1260" s="581"/>
      <c r="Q1260" s="581"/>
      <c r="R1260" s="653"/>
    </row>
    <row r="1261" spans="1:18" ht="34.5" customHeight="1">
      <c r="A1261" s="647">
        <v>4400</v>
      </c>
      <c r="B1261" s="651" t="s">
        <v>433</v>
      </c>
      <c r="C1261" s="603">
        <v>17600</v>
      </c>
      <c r="D1261" s="581">
        <f t="shared" si="149"/>
        <v>17600</v>
      </c>
      <c r="E1261" s="581">
        <f>SUM(H1261+K1261+N1261+Q1261)</f>
        <v>4256</v>
      </c>
      <c r="F1261" s="582">
        <f>E1261/D1261*100</f>
        <v>24.181818181818183</v>
      </c>
      <c r="G1261" s="603"/>
      <c r="H1261" s="581"/>
      <c r="I1261" s="629"/>
      <c r="J1261" s="603">
        <v>17600</v>
      </c>
      <c r="K1261" s="586">
        <v>4256</v>
      </c>
      <c r="L1261" s="627">
        <f t="shared" si="151"/>
        <v>24.181818181818183</v>
      </c>
      <c r="M1261" s="581"/>
      <c r="N1261" s="581"/>
      <c r="O1261" s="649"/>
      <c r="P1261" s="581"/>
      <c r="Q1261" s="581"/>
      <c r="R1261" s="653"/>
    </row>
    <row r="1262" spans="1:18" ht="24">
      <c r="A1262" s="647">
        <v>4410</v>
      </c>
      <c r="B1262" s="651" t="s">
        <v>173</v>
      </c>
      <c r="C1262" s="603">
        <v>100</v>
      </c>
      <c r="D1262" s="581">
        <f t="shared" si="149"/>
        <v>100</v>
      </c>
      <c r="E1262" s="581">
        <f>SUM(H1262+K1262+N1262+Q1262)</f>
        <v>0</v>
      </c>
      <c r="F1262" s="582">
        <f>E1262/D1262*100</f>
        <v>0</v>
      </c>
      <c r="G1262" s="603"/>
      <c r="H1262" s="581"/>
      <c r="I1262" s="629"/>
      <c r="J1262" s="603">
        <v>100</v>
      </c>
      <c r="K1262" s="586"/>
      <c r="L1262" s="627">
        <f t="shared" si="151"/>
        <v>0</v>
      </c>
      <c r="M1262" s="581"/>
      <c r="N1262" s="581"/>
      <c r="O1262" s="649"/>
      <c r="P1262" s="581"/>
      <c r="Q1262" s="581"/>
      <c r="R1262" s="653"/>
    </row>
    <row r="1263" spans="1:18" ht="14.25" customHeight="1">
      <c r="A1263" s="647">
        <v>4430</v>
      </c>
      <c r="B1263" s="828" t="s">
        <v>201</v>
      </c>
      <c r="C1263" s="603">
        <v>100</v>
      </c>
      <c r="D1263" s="581">
        <f t="shared" si="149"/>
        <v>100</v>
      </c>
      <c r="E1263" s="581">
        <f t="shared" si="150"/>
        <v>0</v>
      </c>
      <c r="F1263" s="582"/>
      <c r="G1263" s="603"/>
      <c r="H1263" s="581"/>
      <c r="I1263" s="629"/>
      <c r="J1263" s="603">
        <v>100</v>
      </c>
      <c r="K1263" s="586"/>
      <c r="L1263" s="585">
        <f t="shared" si="151"/>
        <v>0</v>
      </c>
      <c r="M1263" s="581"/>
      <c r="N1263" s="581"/>
      <c r="O1263" s="649"/>
      <c r="P1263" s="581"/>
      <c r="Q1263" s="581"/>
      <c r="R1263" s="653"/>
    </row>
    <row r="1264" spans="1:18" ht="14.25" customHeight="1">
      <c r="A1264" s="647">
        <v>4440</v>
      </c>
      <c r="B1264" s="828" t="s">
        <v>203</v>
      </c>
      <c r="C1264" s="603">
        <v>5000</v>
      </c>
      <c r="D1264" s="581">
        <f t="shared" si="149"/>
        <v>5000</v>
      </c>
      <c r="E1264" s="581">
        <f t="shared" si="150"/>
        <v>5000</v>
      </c>
      <c r="F1264" s="582">
        <f t="shared" si="152"/>
        <v>100</v>
      </c>
      <c r="G1264" s="603"/>
      <c r="H1264" s="581"/>
      <c r="I1264" s="629"/>
      <c r="J1264" s="603">
        <v>5000</v>
      </c>
      <c r="K1264" s="586">
        <v>5000</v>
      </c>
      <c r="L1264" s="627">
        <f t="shared" si="151"/>
        <v>100</v>
      </c>
      <c r="M1264" s="581"/>
      <c r="N1264" s="581"/>
      <c r="O1264" s="649"/>
      <c r="P1264" s="581"/>
      <c r="Q1264" s="581"/>
      <c r="R1264" s="653"/>
    </row>
    <row r="1265" spans="1:18" ht="13.5" customHeight="1">
      <c r="A1265" s="647">
        <v>4480</v>
      </c>
      <c r="B1265" s="712" t="s">
        <v>205</v>
      </c>
      <c r="C1265" s="603">
        <v>2100</v>
      </c>
      <c r="D1265" s="581">
        <f t="shared" si="149"/>
        <v>2100</v>
      </c>
      <c r="E1265" s="581">
        <f t="shared" si="150"/>
        <v>533</v>
      </c>
      <c r="F1265" s="582">
        <f t="shared" si="152"/>
        <v>25.380952380952383</v>
      </c>
      <c r="G1265" s="603"/>
      <c r="H1265" s="581"/>
      <c r="I1265" s="629"/>
      <c r="J1265" s="603">
        <v>2100</v>
      </c>
      <c r="K1265" s="586">
        <v>533</v>
      </c>
      <c r="L1265" s="627">
        <f t="shared" si="151"/>
        <v>25.380952380952383</v>
      </c>
      <c r="M1265" s="581"/>
      <c r="N1265" s="581"/>
      <c r="O1265" s="649"/>
      <c r="P1265" s="581"/>
      <c r="Q1265" s="581"/>
      <c r="R1265" s="653"/>
    </row>
    <row r="1266" spans="1:18" ht="49.5" customHeight="1">
      <c r="A1266" s="647">
        <v>4740</v>
      </c>
      <c r="B1266" s="712" t="s">
        <v>215</v>
      </c>
      <c r="C1266" s="603">
        <v>200</v>
      </c>
      <c r="D1266" s="581">
        <f t="shared" si="149"/>
        <v>200</v>
      </c>
      <c r="E1266" s="581">
        <f>SUM(H1266+K1266+N1266+Q1266)</f>
        <v>0</v>
      </c>
      <c r="F1266" s="582">
        <f>E1266/D1266*100</f>
        <v>0</v>
      </c>
      <c r="G1266" s="603"/>
      <c r="H1266" s="581"/>
      <c r="I1266" s="629"/>
      <c r="J1266" s="603">
        <v>200</v>
      </c>
      <c r="K1266" s="586"/>
      <c r="L1266" s="627">
        <f t="shared" si="151"/>
        <v>0</v>
      </c>
      <c r="M1266" s="581"/>
      <c r="N1266" s="581"/>
      <c r="O1266" s="649"/>
      <c r="P1266" s="581"/>
      <c r="Q1266" s="581"/>
      <c r="R1266" s="653"/>
    </row>
    <row r="1267" spans="1:18" ht="36">
      <c r="A1267" s="672">
        <v>4750</v>
      </c>
      <c r="B1267" s="673" t="s">
        <v>589</v>
      </c>
      <c r="C1267" s="674">
        <v>300</v>
      </c>
      <c r="D1267" s="675">
        <f t="shared" si="149"/>
        <v>300</v>
      </c>
      <c r="E1267" s="675">
        <f t="shared" si="150"/>
        <v>0</v>
      </c>
      <c r="F1267" s="643">
        <f t="shared" si="152"/>
        <v>0</v>
      </c>
      <c r="G1267" s="674"/>
      <c r="H1267" s="675"/>
      <c r="I1267" s="710"/>
      <c r="J1267" s="674">
        <v>300</v>
      </c>
      <c r="K1267" s="676"/>
      <c r="L1267" s="627">
        <f t="shared" si="151"/>
        <v>0</v>
      </c>
      <c r="M1267" s="675"/>
      <c r="N1267" s="675"/>
      <c r="O1267" s="689"/>
      <c r="P1267" s="675"/>
      <c r="Q1267" s="675"/>
      <c r="R1267" s="680"/>
    </row>
    <row r="1268" spans="1:26" s="639" customFormat="1" ht="24">
      <c r="A1268" s="640"/>
      <c r="B1268" s="856" t="s">
        <v>802</v>
      </c>
      <c r="C1268" s="608">
        <f>SUM(C1269:C1288)</f>
        <v>256274</v>
      </c>
      <c r="D1268" s="595">
        <f t="shared" si="149"/>
        <v>256274</v>
      </c>
      <c r="E1268" s="595">
        <f>H1268+K1268+Q1268+N1268</f>
        <v>79842</v>
      </c>
      <c r="F1268" s="857">
        <f t="shared" si="152"/>
        <v>31.154935732848436</v>
      </c>
      <c r="G1268" s="608"/>
      <c r="H1268" s="595"/>
      <c r="I1268" s="751"/>
      <c r="J1268" s="600">
        <f>SUM(J1269:J1288)</f>
        <v>256274</v>
      </c>
      <c r="K1268" s="600">
        <f>SUM(K1269:K1288)</f>
        <v>79842</v>
      </c>
      <c r="L1268" s="602">
        <f>K1268/J1268*100</f>
        <v>31.154935732848436</v>
      </c>
      <c r="M1268" s="595"/>
      <c r="N1268" s="595"/>
      <c r="O1268" s="684"/>
      <c r="P1268" s="595"/>
      <c r="Q1268" s="595"/>
      <c r="R1268" s="685"/>
      <c r="S1268" s="564"/>
      <c r="T1268" s="564"/>
      <c r="U1268" s="564"/>
      <c r="V1268" s="564"/>
      <c r="W1268" s="565"/>
      <c r="X1268" s="565"/>
      <c r="Y1268" s="565"/>
      <c r="Z1268" s="565"/>
    </row>
    <row r="1269" spans="1:18" ht="36" customHeight="1">
      <c r="A1269" s="647">
        <v>3020</v>
      </c>
      <c r="B1269" s="651" t="s">
        <v>248</v>
      </c>
      <c r="C1269" s="606">
        <v>200</v>
      </c>
      <c r="D1269" s="581">
        <f t="shared" si="149"/>
        <v>200</v>
      </c>
      <c r="E1269" s="581">
        <f>SUM(H1269+K1269+N1269+Q1269)</f>
        <v>0</v>
      </c>
      <c r="F1269" s="582">
        <f t="shared" si="152"/>
        <v>0</v>
      </c>
      <c r="G1269" s="603"/>
      <c r="H1269" s="581"/>
      <c r="I1269" s="629"/>
      <c r="J1269" s="586">
        <v>200</v>
      </c>
      <c r="K1269" s="586"/>
      <c r="L1269" s="627">
        <f aca="true" t="shared" si="153" ref="L1269:L1290">K1269/J1269*100</f>
        <v>0</v>
      </c>
      <c r="M1269" s="581"/>
      <c r="N1269" s="581"/>
      <c r="O1269" s="649"/>
      <c r="P1269" s="581"/>
      <c r="Q1269" s="581"/>
      <c r="R1269" s="653"/>
    </row>
    <row r="1270" spans="1:26" s="639" customFormat="1" ht="24.75" customHeight="1">
      <c r="A1270" s="647">
        <v>4010</v>
      </c>
      <c r="B1270" s="828" t="s">
        <v>181</v>
      </c>
      <c r="C1270" s="603">
        <v>140645</v>
      </c>
      <c r="D1270" s="581">
        <f t="shared" si="149"/>
        <v>140645</v>
      </c>
      <c r="E1270" s="581">
        <f>H1270+K1270+Q1270+N1270</f>
        <v>39934</v>
      </c>
      <c r="F1270" s="864">
        <f t="shared" si="152"/>
        <v>28.393472928294646</v>
      </c>
      <c r="G1270" s="603"/>
      <c r="H1270" s="581"/>
      <c r="I1270" s="629"/>
      <c r="J1270" s="603">
        <v>140645</v>
      </c>
      <c r="K1270" s="581">
        <v>39934</v>
      </c>
      <c r="L1270" s="627">
        <f t="shared" si="153"/>
        <v>28.393472928294646</v>
      </c>
      <c r="M1270" s="581"/>
      <c r="N1270" s="581"/>
      <c r="O1270" s="649"/>
      <c r="P1270" s="581"/>
      <c r="Q1270" s="581"/>
      <c r="R1270" s="653"/>
      <c r="S1270" s="482"/>
      <c r="T1270" s="482"/>
      <c r="U1270" s="564"/>
      <c r="V1270" s="564"/>
      <c r="W1270" s="565"/>
      <c r="X1270" s="565"/>
      <c r="Y1270" s="565"/>
      <c r="Z1270" s="565"/>
    </row>
    <row r="1271" spans="1:26" s="639" customFormat="1" ht="27" customHeight="1">
      <c r="A1271" s="647">
        <v>4040</v>
      </c>
      <c r="B1271" s="828" t="s">
        <v>249</v>
      </c>
      <c r="C1271" s="603">
        <v>12154</v>
      </c>
      <c r="D1271" s="581">
        <f t="shared" si="149"/>
        <v>12154</v>
      </c>
      <c r="E1271" s="581">
        <f>H1271+K1271+Q1271+N1271</f>
        <v>11561</v>
      </c>
      <c r="F1271" s="864">
        <f t="shared" si="152"/>
        <v>95.12094783610334</v>
      </c>
      <c r="G1271" s="603"/>
      <c r="H1271" s="581"/>
      <c r="I1271" s="629"/>
      <c r="J1271" s="603">
        <v>12154</v>
      </c>
      <c r="K1271" s="581">
        <v>11561</v>
      </c>
      <c r="L1271" s="627">
        <f t="shared" si="153"/>
        <v>95.12094783610334</v>
      </c>
      <c r="M1271" s="581"/>
      <c r="N1271" s="581"/>
      <c r="O1271" s="649"/>
      <c r="P1271" s="581"/>
      <c r="Q1271" s="581"/>
      <c r="R1271" s="653"/>
      <c r="S1271" s="482"/>
      <c r="T1271" s="482"/>
      <c r="U1271" s="564"/>
      <c r="V1271" s="564"/>
      <c r="W1271" s="565"/>
      <c r="X1271" s="565"/>
      <c r="Y1271" s="565"/>
      <c r="Z1271" s="565"/>
    </row>
    <row r="1272" spans="1:26" s="639" customFormat="1" ht="24" customHeight="1">
      <c r="A1272" s="647">
        <v>4110</v>
      </c>
      <c r="B1272" s="828" t="s">
        <v>187</v>
      </c>
      <c r="C1272" s="603">
        <v>25166</v>
      </c>
      <c r="D1272" s="581">
        <f t="shared" si="149"/>
        <v>25166</v>
      </c>
      <c r="E1272" s="581">
        <f t="shared" si="149"/>
        <v>8156</v>
      </c>
      <c r="F1272" s="864">
        <f t="shared" si="152"/>
        <v>32.40880553127235</v>
      </c>
      <c r="G1272" s="603"/>
      <c r="H1272" s="581"/>
      <c r="I1272" s="629"/>
      <c r="J1272" s="603">
        <v>25166</v>
      </c>
      <c r="K1272" s="581">
        <v>8156</v>
      </c>
      <c r="L1272" s="627">
        <f t="shared" si="153"/>
        <v>32.40880553127235</v>
      </c>
      <c r="M1272" s="581"/>
      <c r="N1272" s="581"/>
      <c r="O1272" s="649"/>
      <c r="P1272" s="581"/>
      <c r="Q1272" s="581"/>
      <c r="R1272" s="653"/>
      <c r="S1272" s="482"/>
      <c r="T1272" s="482"/>
      <c r="U1272" s="564"/>
      <c r="V1272" s="564"/>
      <c r="W1272" s="565"/>
      <c r="X1272" s="565"/>
      <c r="Y1272" s="565"/>
      <c r="Z1272" s="565"/>
    </row>
    <row r="1273" spans="1:26" s="639" customFormat="1" ht="14.25" customHeight="1">
      <c r="A1273" s="647">
        <v>4120</v>
      </c>
      <c r="B1273" s="828" t="s">
        <v>619</v>
      </c>
      <c r="C1273" s="603">
        <v>3744</v>
      </c>
      <c r="D1273" s="581">
        <f t="shared" si="149"/>
        <v>3744</v>
      </c>
      <c r="E1273" s="581">
        <f t="shared" si="149"/>
        <v>1213</v>
      </c>
      <c r="F1273" s="864">
        <f t="shared" si="152"/>
        <v>32.39850427350427</v>
      </c>
      <c r="G1273" s="603"/>
      <c r="H1273" s="581"/>
      <c r="I1273" s="629"/>
      <c r="J1273" s="603">
        <v>3744</v>
      </c>
      <c r="K1273" s="581">
        <v>1213</v>
      </c>
      <c r="L1273" s="627">
        <f t="shared" si="153"/>
        <v>32.39850427350427</v>
      </c>
      <c r="M1273" s="581"/>
      <c r="N1273" s="581"/>
      <c r="O1273" s="649"/>
      <c r="P1273" s="581"/>
      <c r="Q1273" s="581"/>
      <c r="R1273" s="653"/>
      <c r="S1273" s="482"/>
      <c r="T1273" s="482"/>
      <c r="U1273" s="564"/>
      <c r="V1273" s="564"/>
      <c r="W1273" s="565"/>
      <c r="X1273" s="565"/>
      <c r="Y1273" s="565"/>
      <c r="Z1273" s="565"/>
    </row>
    <row r="1274" spans="1:26" s="639" customFormat="1" ht="24" hidden="1">
      <c r="A1274" s="647">
        <v>4170</v>
      </c>
      <c r="B1274" s="828" t="s">
        <v>221</v>
      </c>
      <c r="C1274" s="603"/>
      <c r="D1274" s="581">
        <f>G1274+J1274+P1274+M1274</f>
        <v>0</v>
      </c>
      <c r="E1274" s="581">
        <f>H1274+K1274+Q1274+N1274</f>
        <v>0</v>
      </c>
      <c r="F1274" s="864" t="e">
        <f>E1274/D1274*100</f>
        <v>#DIV/0!</v>
      </c>
      <c r="G1274" s="603"/>
      <c r="H1274" s="581"/>
      <c r="I1274" s="629"/>
      <c r="J1274" s="603"/>
      <c r="K1274" s="581"/>
      <c r="L1274" s="627" t="e">
        <f t="shared" si="153"/>
        <v>#DIV/0!</v>
      </c>
      <c r="M1274" s="581"/>
      <c r="N1274" s="581"/>
      <c r="O1274" s="649"/>
      <c r="P1274" s="581"/>
      <c r="Q1274" s="581"/>
      <c r="R1274" s="653"/>
      <c r="S1274" s="564"/>
      <c r="T1274" s="564"/>
      <c r="U1274" s="564"/>
      <c r="V1274" s="564"/>
      <c r="W1274" s="565"/>
      <c r="X1274" s="565"/>
      <c r="Y1274" s="565"/>
      <c r="Z1274" s="565"/>
    </row>
    <row r="1275" spans="1:26" s="639" customFormat="1" ht="24" customHeight="1">
      <c r="A1275" s="647">
        <v>4210</v>
      </c>
      <c r="B1275" s="828" t="s">
        <v>191</v>
      </c>
      <c r="C1275" s="603">
        <v>8815</v>
      </c>
      <c r="D1275" s="581">
        <f t="shared" si="149"/>
        <v>8815</v>
      </c>
      <c r="E1275" s="581">
        <f t="shared" si="149"/>
        <v>71</v>
      </c>
      <c r="F1275" s="864">
        <f t="shared" si="152"/>
        <v>0.8054452637549632</v>
      </c>
      <c r="G1275" s="603"/>
      <c r="H1275" s="581"/>
      <c r="I1275" s="629"/>
      <c r="J1275" s="603">
        <v>8815</v>
      </c>
      <c r="K1275" s="581">
        <v>71</v>
      </c>
      <c r="L1275" s="627">
        <f t="shared" si="153"/>
        <v>0.8054452637549632</v>
      </c>
      <c r="M1275" s="581"/>
      <c r="N1275" s="581"/>
      <c r="O1275" s="649"/>
      <c r="P1275" s="581"/>
      <c r="Q1275" s="581"/>
      <c r="R1275" s="653"/>
      <c r="S1275" s="564"/>
      <c r="T1275" s="564"/>
      <c r="U1275" s="564"/>
      <c r="V1275" s="564"/>
      <c r="W1275" s="565"/>
      <c r="X1275" s="565"/>
      <c r="Y1275" s="565"/>
      <c r="Z1275" s="565"/>
    </row>
    <row r="1276" spans="1:26" s="639" customFormat="1" ht="24">
      <c r="A1276" s="647">
        <v>4220</v>
      </c>
      <c r="B1276" s="828" t="s">
        <v>710</v>
      </c>
      <c r="C1276" s="603">
        <v>6100</v>
      </c>
      <c r="D1276" s="581">
        <f t="shared" si="149"/>
        <v>6100</v>
      </c>
      <c r="E1276" s="581">
        <f t="shared" si="149"/>
        <v>1272</v>
      </c>
      <c r="F1276" s="864">
        <f t="shared" si="152"/>
        <v>20.852459016393443</v>
      </c>
      <c r="G1276" s="603"/>
      <c r="H1276" s="581"/>
      <c r="I1276" s="629"/>
      <c r="J1276" s="603">
        <v>6100</v>
      </c>
      <c r="K1276" s="581">
        <v>1272</v>
      </c>
      <c r="L1276" s="627">
        <f t="shared" si="153"/>
        <v>20.852459016393443</v>
      </c>
      <c r="M1276" s="581"/>
      <c r="N1276" s="581"/>
      <c r="O1276" s="649"/>
      <c r="P1276" s="581"/>
      <c r="Q1276" s="581"/>
      <c r="R1276" s="653"/>
      <c r="S1276" s="564"/>
      <c r="T1276" s="564"/>
      <c r="U1276" s="564"/>
      <c r="V1276" s="564"/>
      <c r="W1276" s="565"/>
      <c r="X1276" s="565"/>
      <c r="Y1276" s="565"/>
      <c r="Z1276" s="565"/>
    </row>
    <row r="1277" spans="1:26" s="639" customFormat="1" ht="23.25" customHeight="1">
      <c r="A1277" s="647">
        <v>4230</v>
      </c>
      <c r="B1277" s="828" t="s">
        <v>193</v>
      </c>
      <c r="C1277" s="603">
        <v>250</v>
      </c>
      <c r="D1277" s="581">
        <f t="shared" si="149"/>
        <v>250</v>
      </c>
      <c r="E1277" s="581">
        <f t="shared" si="149"/>
        <v>0</v>
      </c>
      <c r="F1277" s="864">
        <f t="shared" si="152"/>
        <v>0</v>
      </c>
      <c r="G1277" s="603"/>
      <c r="H1277" s="581"/>
      <c r="I1277" s="629"/>
      <c r="J1277" s="603">
        <v>250</v>
      </c>
      <c r="K1277" s="581"/>
      <c r="L1277" s="627">
        <f t="shared" si="153"/>
        <v>0</v>
      </c>
      <c r="M1277" s="581"/>
      <c r="N1277" s="581"/>
      <c r="O1277" s="649"/>
      <c r="P1277" s="581"/>
      <c r="Q1277" s="581"/>
      <c r="R1277" s="653"/>
      <c r="S1277" s="564"/>
      <c r="T1277" s="564"/>
      <c r="U1277" s="564"/>
      <c r="V1277" s="564"/>
      <c r="W1277" s="565"/>
      <c r="X1277" s="565"/>
      <c r="Y1277" s="565"/>
      <c r="Z1277" s="565"/>
    </row>
    <row r="1278" spans="1:26" s="639" customFormat="1" ht="13.5" customHeight="1">
      <c r="A1278" s="647">
        <v>4260</v>
      </c>
      <c r="B1278" s="828" t="s">
        <v>195</v>
      </c>
      <c r="C1278" s="603">
        <v>23000</v>
      </c>
      <c r="D1278" s="581">
        <f t="shared" si="149"/>
        <v>23000</v>
      </c>
      <c r="E1278" s="581">
        <f t="shared" si="149"/>
        <v>6905</v>
      </c>
      <c r="F1278" s="864">
        <f t="shared" si="152"/>
        <v>30.02173913043478</v>
      </c>
      <c r="G1278" s="603"/>
      <c r="H1278" s="581"/>
      <c r="I1278" s="629"/>
      <c r="J1278" s="603">
        <v>23000</v>
      </c>
      <c r="K1278" s="581">
        <f>6904+1</f>
        <v>6905</v>
      </c>
      <c r="L1278" s="627">
        <f t="shared" si="153"/>
        <v>30.02173913043478</v>
      </c>
      <c r="M1278" s="581"/>
      <c r="N1278" s="581"/>
      <c r="O1278" s="649"/>
      <c r="P1278" s="581"/>
      <c r="Q1278" s="581"/>
      <c r="R1278" s="653"/>
      <c r="S1278" s="564"/>
      <c r="T1278" s="564"/>
      <c r="U1278" s="564"/>
      <c r="V1278" s="564"/>
      <c r="W1278" s="565"/>
      <c r="X1278" s="565"/>
      <c r="Y1278" s="565"/>
      <c r="Z1278" s="565"/>
    </row>
    <row r="1279" spans="1:18" ht="14.25" customHeight="1">
      <c r="A1279" s="647">
        <v>4280</v>
      </c>
      <c r="B1279" s="828" t="s">
        <v>582</v>
      </c>
      <c r="C1279" s="603">
        <v>300</v>
      </c>
      <c r="D1279" s="581">
        <f t="shared" si="149"/>
        <v>300</v>
      </c>
      <c r="E1279" s="581">
        <f>SUM(H1279+K1279+N1279+Q1279)</f>
        <v>0</v>
      </c>
      <c r="F1279" s="582">
        <f t="shared" si="152"/>
        <v>0</v>
      </c>
      <c r="G1279" s="603"/>
      <c r="H1279" s="581"/>
      <c r="I1279" s="629"/>
      <c r="J1279" s="603">
        <v>300</v>
      </c>
      <c r="K1279" s="586"/>
      <c r="L1279" s="627">
        <f t="shared" si="153"/>
        <v>0</v>
      </c>
      <c r="M1279" s="581"/>
      <c r="N1279" s="581"/>
      <c r="O1279" s="649"/>
      <c r="P1279" s="581"/>
      <c r="Q1279" s="581"/>
      <c r="R1279" s="653"/>
    </row>
    <row r="1280" spans="1:26" s="639" customFormat="1" ht="13.5" customHeight="1">
      <c r="A1280" s="647">
        <v>4300</v>
      </c>
      <c r="B1280" s="828" t="s">
        <v>583</v>
      </c>
      <c r="C1280" s="603">
        <v>11600</v>
      </c>
      <c r="D1280" s="581">
        <f t="shared" si="149"/>
        <v>11600</v>
      </c>
      <c r="E1280" s="581">
        <f t="shared" si="149"/>
        <v>1297</v>
      </c>
      <c r="F1280" s="864">
        <f t="shared" si="152"/>
        <v>11.18103448275862</v>
      </c>
      <c r="G1280" s="603"/>
      <c r="H1280" s="581"/>
      <c r="I1280" s="629"/>
      <c r="J1280" s="603">
        <v>11600</v>
      </c>
      <c r="K1280" s="581">
        <v>1297</v>
      </c>
      <c r="L1280" s="627">
        <f t="shared" si="153"/>
        <v>11.18103448275862</v>
      </c>
      <c r="M1280" s="581"/>
      <c r="N1280" s="581"/>
      <c r="O1280" s="649"/>
      <c r="P1280" s="581"/>
      <c r="Q1280" s="581"/>
      <c r="R1280" s="653"/>
      <c r="S1280" s="564"/>
      <c r="T1280" s="564"/>
      <c r="U1280" s="564"/>
      <c r="V1280" s="564"/>
      <c r="W1280" s="565"/>
      <c r="X1280" s="565"/>
      <c r="Y1280" s="565"/>
      <c r="Z1280" s="565"/>
    </row>
    <row r="1281" spans="1:26" s="639" customFormat="1" ht="24">
      <c r="A1281" s="647">
        <v>4350</v>
      </c>
      <c r="B1281" s="828" t="s">
        <v>584</v>
      </c>
      <c r="C1281" s="603">
        <v>700</v>
      </c>
      <c r="D1281" s="581">
        <f t="shared" si="149"/>
        <v>700</v>
      </c>
      <c r="E1281" s="581">
        <f t="shared" si="149"/>
        <v>179</v>
      </c>
      <c r="F1281" s="864">
        <f t="shared" si="152"/>
        <v>25.571428571428573</v>
      </c>
      <c r="G1281" s="603"/>
      <c r="H1281" s="581"/>
      <c r="I1281" s="629"/>
      <c r="J1281" s="603">
        <v>700</v>
      </c>
      <c r="K1281" s="581">
        <v>179</v>
      </c>
      <c r="L1281" s="627">
        <f t="shared" si="153"/>
        <v>25.571428571428573</v>
      </c>
      <c r="M1281" s="581"/>
      <c r="N1281" s="581"/>
      <c r="O1281" s="649"/>
      <c r="P1281" s="581"/>
      <c r="Q1281" s="581"/>
      <c r="R1281" s="653"/>
      <c r="S1281" s="564"/>
      <c r="T1281" s="564"/>
      <c r="U1281" s="564"/>
      <c r="V1281" s="564"/>
      <c r="W1281" s="565"/>
      <c r="X1281" s="565"/>
      <c r="Y1281" s="565"/>
      <c r="Z1281" s="565"/>
    </row>
    <row r="1282" spans="1:26" s="639" customFormat="1" ht="60.75" customHeight="1">
      <c r="A1282" s="647">
        <v>4370</v>
      </c>
      <c r="B1282" s="712" t="s">
        <v>432</v>
      </c>
      <c r="C1282" s="603">
        <v>1800</v>
      </c>
      <c r="D1282" s="581">
        <f aca="true" t="shared" si="154" ref="D1282:E1303">G1282+J1282+P1282+M1282</f>
        <v>1800</v>
      </c>
      <c r="E1282" s="581">
        <f t="shared" si="154"/>
        <v>385</v>
      </c>
      <c r="F1282" s="864">
        <f>E1282/D1282*100</f>
        <v>21.38888888888889</v>
      </c>
      <c r="G1282" s="603"/>
      <c r="H1282" s="581"/>
      <c r="I1282" s="629"/>
      <c r="J1282" s="603">
        <v>1800</v>
      </c>
      <c r="K1282" s="581">
        <v>385</v>
      </c>
      <c r="L1282" s="627">
        <f t="shared" si="153"/>
        <v>21.38888888888889</v>
      </c>
      <c r="M1282" s="581"/>
      <c r="N1282" s="581"/>
      <c r="O1282" s="649"/>
      <c r="P1282" s="581"/>
      <c r="Q1282" s="581"/>
      <c r="R1282" s="653"/>
      <c r="S1282" s="564"/>
      <c r="T1282" s="564"/>
      <c r="U1282" s="564"/>
      <c r="V1282" s="564"/>
      <c r="W1282" s="565"/>
      <c r="X1282" s="565"/>
      <c r="Y1282" s="565"/>
      <c r="Z1282" s="565"/>
    </row>
    <row r="1283" spans="1:26" s="639" customFormat="1" ht="33.75" customHeight="1">
      <c r="A1283" s="647">
        <v>4400</v>
      </c>
      <c r="B1283" s="651" t="s">
        <v>433</v>
      </c>
      <c r="C1283" s="603">
        <v>14700</v>
      </c>
      <c r="D1283" s="581">
        <f t="shared" si="154"/>
        <v>14700</v>
      </c>
      <c r="E1283" s="581">
        <f t="shared" si="154"/>
        <v>3660</v>
      </c>
      <c r="F1283" s="864">
        <f>E1283/D1283*100</f>
        <v>24.897959183673468</v>
      </c>
      <c r="G1283" s="603"/>
      <c r="H1283" s="581"/>
      <c r="I1283" s="629"/>
      <c r="J1283" s="603">
        <v>14700</v>
      </c>
      <c r="K1283" s="581">
        <v>3660</v>
      </c>
      <c r="L1283" s="627">
        <f t="shared" si="153"/>
        <v>24.897959183673468</v>
      </c>
      <c r="M1283" s="581"/>
      <c r="N1283" s="581"/>
      <c r="O1283" s="649"/>
      <c r="P1283" s="581"/>
      <c r="Q1283" s="581"/>
      <c r="R1283" s="653"/>
      <c r="S1283" s="564"/>
      <c r="T1283" s="564"/>
      <c r="U1283" s="564"/>
      <c r="V1283" s="564"/>
      <c r="W1283" s="565"/>
      <c r="X1283" s="565"/>
      <c r="Y1283" s="565"/>
      <c r="Z1283" s="565"/>
    </row>
    <row r="1284" spans="1:26" s="639" customFormat="1" ht="13.5" customHeight="1">
      <c r="A1284" s="647">
        <v>4410</v>
      </c>
      <c r="B1284" s="828" t="s">
        <v>173</v>
      </c>
      <c r="C1284" s="603">
        <v>800</v>
      </c>
      <c r="D1284" s="581">
        <f t="shared" si="154"/>
        <v>800</v>
      </c>
      <c r="E1284" s="581">
        <f t="shared" si="154"/>
        <v>209</v>
      </c>
      <c r="F1284" s="864">
        <f>E1284/D1284*100</f>
        <v>26.125</v>
      </c>
      <c r="G1284" s="603"/>
      <c r="H1284" s="581"/>
      <c r="I1284" s="629"/>
      <c r="J1284" s="603">
        <v>800</v>
      </c>
      <c r="K1284" s="581">
        <v>209</v>
      </c>
      <c r="L1284" s="627">
        <f t="shared" si="153"/>
        <v>26.125</v>
      </c>
      <c r="M1284" s="581"/>
      <c r="N1284" s="581"/>
      <c r="O1284" s="649"/>
      <c r="P1284" s="581"/>
      <c r="Q1284" s="581"/>
      <c r="R1284" s="653"/>
      <c r="S1284" s="564"/>
      <c r="T1284" s="564"/>
      <c r="U1284" s="564"/>
      <c r="V1284" s="564"/>
      <c r="W1284" s="565"/>
      <c r="X1284" s="565"/>
      <c r="Y1284" s="565"/>
      <c r="Z1284" s="565"/>
    </row>
    <row r="1285" spans="1:26" s="639" customFormat="1" ht="13.5" customHeight="1" hidden="1">
      <c r="A1285" s="647">
        <v>4430</v>
      </c>
      <c r="B1285" s="828" t="s">
        <v>201</v>
      </c>
      <c r="C1285" s="603"/>
      <c r="D1285" s="581">
        <f t="shared" si="154"/>
        <v>0</v>
      </c>
      <c r="E1285" s="581">
        <f t="shared" si="154"/>
        <v>0</v>
      </c>
      <c r="F1285" s="864" t="e">
        <f t="shared" si="152"/>
        <v>#DIV/0!</v>
      </c>
      <c r="G1285" s="603"/>
      <c r="H1285" s="581"/>
      <c r="I1285" s="629"/>
      <c r="J1285" s="603"/>
      <c r="K1285" s="581"/>
      <c r="L1285" s="627" t="e">
        <f t="shared" si="153"/>
        <v>#DIV/0!</v>
      </c>
      <c r="M1285" s="581"/>
      <c r="N1285" s="581"/>
      <c r="O1285" s="649"/>
      <c r="P1285" s="581"/>
      <c r="Q1285" s="581"/>
      <c r="R1285" s="653"/>
      <c r="S1285" s="564"/>
      <c r="T1285" s="564"/>
      <c r="U1285" s="564"/>
      <c r="V1285" s="564"/>
      <c r="W1285" s="565"/>
      <c r="X1285" s="565"/>
      <c r="Y1285" s="565"/>
      <c r="Z1285" s="565"/>
    </row>
    <row r="1286" spans="1:26" s="639" customFormat="1" ht="13.5" customHeight="1">
      <c r="A1286" s="647">
        <v>4440</v>
      </c>
      <c r="B1286" s="828" t="s">
        <v>203</v>
      </c>
      <c r="C1286" s="603">
        <v>5000</v>
      </c>
      <c r="D1286" s="581">
        <f t="shared" si="154"/>
        <v>5000</v>
      </c>
      <c r="E1286" s="581">
        <f t="shared" si="154"/>
        <v>5000</v>
      </c>
      <c r="F1286" s="864">
        <f t="shared" si="152"/>
        <v>100</v>
      </c>
      <c r="G1286" s="603"/>
      <c r="H1286" s="581"/>
      <c r="I1286" s="629"/>
      <c r="J1286" s="603">
        <v>5000</v>
      </c>
      <c r="K1286" s="581">
        <v>5000</v>
      </c>
      <c r="L1286" s="627">
        <f t="shared" si="153"/>
        <v>100</v>
      </c>
      <c r="M1286" s="581"/>
      <c r="N1286" s="581"/>
      <c r="O1286" s="649"/>
      <c r="P1286" s="581"/>
      <c r="Q1286" s="581"/>
      <c r="R1286" s="653"/>
      <c r="S1286" s="564"/>
      <c r="T1286" s="564"/>
      <c r="U1286" s="564"/>
      <c r="V1286" s="564"/>
      <c r="W1286" s="565"/>
      <c r="X1286" s="565"/>
      <c r="Y1286" s="565"/>
      <c r="Z1286" s="565"/>
    </row>
    <row r="1287" spans="1:26" s="639" customFormat="1" ht="50.25" customHeight="1">
      <c r="A1287" s="647">
        <v>4740</v>
      </c>
      <c r="B1287" s="712" t="s">
        <v>215</v>
      </c>
      <c r="C1287" s="586">
        <v>300</v>
      </c>
      <c r="D1287" s="581">
        <f t="shared" si="154"/>
        <v>300</v>
      </c>
      <c r="E1287" s="581">
        <f t="shared" si="154"/>
        <v>0</v>
      </c>
      <c r="F1287" s="864">
        <f>E1287/D1287*100</f>
        <v>0</v>
      </c>
      <c r="G1287" s="603"/>
      <c r="H1287" s="581"/>
      <c r="I1287" s="629"/>
      <c r="J1287" s="586">
        <v>300</v>
      </c>
      <c r="K1287" s="581"/>
      <c r="L1287" s="627">
        <f t="shared" si="153"/>
        <v>0</v>
      </c>
      <c r="M1287" s="581"/>
      <c r="N1287" s="581"/>
      <c r="O1287" s="649"/>
      <c r="P1287" s="581"/>
      <c r="Q1287" s="581"/>
      <c r="R1287" s="653"/>
      <c r="S1287" s="564"/>
      <c r="T1287" s="564"/>
      <c r="U1287" s="564"/>
      <c r="V1287" s="564"/>
      <c r="W1287" s="565"/>
      <c r="X1287" s="565"/>
      <c r="Y1287" s="565"/>
      <c r="Z1287" s="565"/>
    </row>
    <row r="1288" spans="1:26" s="639" customFormat="1" ht="36">
      <c r="A1288" s="647">
        <v>4750</v>
      </c>
      <c r="B1288" s="712" t="s">
        <v>589</v>
      </c>
      <c r="C1288" s="586">
        <v>1000</v>
      </c>
      <c r="D1288" s="581">
        <f t="shared" si="154"/>
        <v>1000</v>
      </c>
      <c r="E1288" s="581">
        <f t="shared" si="154"/>
        <v>0</v>
      </c>
      <c r="F1288" s="864">
        <f>E1288/D1288*100</f>
        <v>0</v>
      </c>
      <c r="G1288" s="603"/>
      <c r="H1288" s="581"/>
      <c r="I1288" s="629"/>
      <c r="J1288" s="586">
        <v>1000</v>
      </c>
      <c r="K1288" s="581"/>
      <c r="L1288" s="627">
        <f t="shared" si="153"/>
        <v>0</v>
      </c>
      <c r="M1288" s="581"/>
      <c r="N1288" s="581"/>
      <c r="O1288" s="649"/>
      <c r="P1288" s="581"/>
      <c r="Q1288" s="581"/>
      <c r="R1288" s="653"/>
      <c r="S1288" s="564"/>
      <c r="T1288" s="564"/>
      <c r="U1288" s="564"/>
      <c r="V1288" s="564"/>
      <c r="W1288" s="565"/>
      <c r="X1288" s="565"/>
      <c r="Y1288" s="565"/>
      <c r="Z1288" s="565"/>
    </row>
    <row r="1289" spans="1:26" s="639" customFormat="1" ht="36">
      <c r="A1289" s="640"/>
      <c r="B1289" s="856" t="s">
        <v>286</v>
      </c>
      <c r="C1289" s="608">
        <f>SUM(C1290)</f>
        <v>228000</v>
      </c>
      <c r="D1289" s="595">
        <f t="shared" si="154"/>
        <v>228000</v>
      </c>
      <c r="E1289" s="595">
        <f t="shared" si="154"/>
        <v>57252</v>
      </c>
      <c r="F1289" s="609">
        <f>E1289/D1289*100</f>
        <v>25.11052631578947</v>
      </c>
      <c r="G1289" s="608"/>
      <c r="H1289" s="595"/>
      <c r="I1289" s="612"/>
      <c r="J1289" s="600">
        <f>SUM(J1290)</f>
        <v>228000</v>
      </c>
      <c r="K1289" s="595">
        <f>SUM(K1290)</f>
        <v>57252</v>
      </c>
      <c r="L1289" s="819">
        <f t="shared" si="153"/>
        <v>25.11052631578947</v>
      </c>
      <c r="M1289" s="595"/>
      <c r="N1289" s="595"/>
      <c r="O1289" s="684"/>
      <c r="P1289" s="595"/>
      <c r="Q1289" s="595"/>
      <c r="R1289" s="685"/>
      <c r="S1289" s="564"/>
      <c r="T1289" s="564"/>
      <c r="U1289" s="564"/>
      <c r="V1289" s="564"/>
      <c r="W1289" s="565"/>
      <c r="X1289" s="565"/>
      <c r="Y1289" s="565"/>
      <c r="Z1289" s="565"/>
    </row>
    <row r="1290" spans="1:26" s="639" customFormat="1" ht="65.25" customHeight="1">
      <c r="A1290" s="672">
        <v>2820</v>
      </c>
      <c r="B1290" s="673" t="s">
        <v>539</v>
      </c>
      <c r="C1290" s="676">
        <v>228000</v>
      </c>
      <c r="D1290" s="581">
        <f t="shared" si="154"/>
        <v>228000</v>
      </c>
      <c r="E1290" s="581">
        <f t="shared" si="154"/>
        <v>57252</v>
      </c>
      <c r="F1290" s="864">
        <f>E1290/D1290*100</f>
        <v>25.11052631578947</v>
      </c>
      <c r="G1290" s="674"/>
      <c r="H1290" s="675"/>
      <c r="I1290" s="629"/>
      <c r="J1290" s="676">
        <v>228000</v>
      </c>
      <c r="K1290" s="675">
        <v>57252</v>
      </c>
      <c r="L1290" s="627">
        <f t="shared" si="153"/>
        <v>25.11052631578947</v>
      </c>
      <c r="M1290" s="675"/>
      <c r="N1290" s="675"/>
      <c r="O1290" s="689"/>
      <c r="P1290" s="675"/>
      <c r="Q1290" s="675"/>
      <c r="R1290" s="680"/>
      <c r="S1290" s="564"/>
      <c r="T1290" s="564"/>
      <c r="U1290" s="564"/>
      <c r="V1290" s="564"/>
      <c r="W1290" s="565"/>
      <c r="X1290" s="565"/>
      <c r="Y1290" s="565"/>
      <c r="Z1290" s="565"/>
    </row>
    <row r="1291" spans="1:26" s="639" customFormat="1" ht="15.75" customHeight="1">
      <c r="A1291" s="640">
        <v>85204</v>
      </c>
      <c r="B1291" s="856" t="s">
        <v>803</v>
      </c>
      <c r="C1291" s="608">
        <f>SUM(C1292:C1298)</f>
        <v>3369811</v>
      </c>
      <c r="D1291" s="595">
        <f t="shared" si="154"/>
        <v>3369811</v>
      </c>
      <c r="E1291" s="595">
        <f t="shared" si="154"/>
        <v>643421</v>
      </c>
      <c r="F1291" s="857">
        <f t="shared" si="152"/>
        <v>19.093682108581163</v>
      </c>
      <c r="G1291" s="608"/>
      <c r="H1291" s="595"/>
      <c r="I1291" s="731"/>
      <c r="J1291" s="600"/>
      <c r="K1291" s="595"/>
      <c r="L1291" s="601"/>
      <c r="M1291" s="595">
        <f>SUM(M1292:M1298)</f>
        <v>3369811</v>
      </c>
      <c r="N1291" s="595">
        <f>SUM(N1292:N1298)</f>
        <v>643421</v>
      </c>
      <c r="O1291" s="602">
        <f>N1291/M1291*100</f>
        <v>19.093682108581163</v>
      </c>
      <c r="P1291" s="595"/>
      <c r="Q1291" s="595"/>
      <c r="R1291" s="731"/>
      <c r="S1291" s="564"/>
      <c r="T1291" s="564"/>
      <c r="U1291" s="564"/>
      <c r="V1291" s="564"/>
      <c r="W1291" s="565"/>
      <c r="X1291" s="565"/>
      <c r="Y1291" s="565"/>
      <c r="Z1291" s="565"/>
    </row>
    <row r="1292" spans="1:18" ht="61.5" customHeight="1">
      <c r="A1292" s="647">
        <v>2320</v>
      </c>
      <c r="B1292" s="828" t="s">
        <v>633</v>
      </c>
      <c r="C1292" s="603">
        <v>123500</v>
      </c>
      <c r="D1292" s="581">
        <f t="shared" si="154"/>
        <v>123500</v>
      </c>
      <c r="E1292" s="581">
        <f aca="true" t="shared" si="155" ref="E1292:E1326">SUM(H1292+K1292+N1292+Q1292)</f>
        <v>28879</v>
      </c>
      <c r="F1292" s="864">
        <f t="shared" si="152"/>
        <v>23.383805668016194</v>
      </c>
      <c r="G1292" s="603"/>
      <c r="H1292" s="581"/>
      <c r="I1292" s="653"/>
      <c r="J1292" s="586"/>
      <c r="K1292" s="581"/>
      <c r="L1292" s="587"/>
      <c r="M1292" s="603">
        <v>123500</v>
      </c>
      <c r="N1292" s="615">
        <v>28879</v>
      </c>
      <c r="O1292" s="585">
        <f aca="true" t="shared" si="156" ref="O1292:O1298">N1292/M1292*100</f>
        <v>23.383805668016194</v>
      </c>
      <c r="P1292" s="581"/>
      <c r="Q1292" s="581"/>
      <c r="R1292" s="653"/>
    </row>
    <row r="1293" spans="1:26" s="639" customFormat="1" ht="13.5" customHeight="1">
      <c r="A1293" s="647">
        <v>3110</v>
      </c>
      <c r="B1293" s="828" t="s">
        <v>740</v>
      </c>
      <c r="C1293" s="603">
        <v>2703323</v>
      </c>
      <c r="D1293" s="581">
        <f t="shared" si="154"/>
        <v>2703323</v>
      </c>
      <c r="E1293" s="581">
        <f t="shared" si="155"/>
        <v>513336</v>
      </c>
      <c r="F1293" s="864">
        <f t="shared" si="152"/>
        <v>18.989073817668107</v>
      </c>
      <c r="G1293" s="603"/>
      <c r="H1293" s="581"/>
      <c r="I1293" s="653"/>
      <c r="J1293" s="586"/>
      <c r="K1293" s="581"/>
      <c r="L1293" s="587"/>
      <c r="M1293" s="603">
        <v>2703323</v>
      </c>
      <c r="N1293" s="581">
        <v>513336</v>
      </c>
      <c r="O1293" s="585">
        <f t="shared" si="156"/>
        <v>18.989073817668107</v>
      </c>
      <c r="P1293" s="581"/>
      <c r="Q1293" s="581"/>
      <c r="R1293" s="653"/>
      <c r="S1293" s="564"/>
      <c r="T1293" s="564"/>
      <c r="U1293" s="564"/>
      <c r="V1293" s="564"/>
      <c r="W1293" s="565"/>
      <c r="X1293" s="565"/>
      <c r="Y1293" s="565"/>
      <c r="Z1293" s="565"/>
    </row>
    <row r="1294" spans="1:26" s="639" customFormat="1" ht="27" customHeight="1">
      <c r="A1294" s="647">
        <v>4110</v>
      </c>
      <c r="B1294" s="828" t="s">
        <v>187</v>
      </c>
      <c r="C1294" s="603">
        <v>66344</v>
      </c>
      <c r="D1294" s="581">
        <f t="shared" si="154"/>
        <v>66344</v>
      </c>
      <c r="E1294" s="581">
        <f t="shared" si="155"/>
        <v>13542</v>
      </c>
      <c r="F1294" s="864">
        <f t="shared" si="152"/>
        <v>20.41179307849994</v>
      </c>
      <c r="G1294" s="603"/>
      <c r="H1294" s="581"/>
      <c r="I1294" s="653"/>
      <c r="J1294" s="586"/>
      <c r="K1294" s="581"/>
      <c r="L1294" s="587"/>
      <c r="M1294" s="603">
        <v>66344</v>
      </c>
      <c r="N1294" s="581">
        <v>13542</v>
      </c>
      <c r="O1294" s="585">
        <f t="shared" si="156"/>
        <v>20.41179307849994</v>
      </c>
      <c r="P1294" s="581"/>
      <c r="Q1294" s="581"/>
      <c r="R1294" s="653"/>
      <c r="S1294" s="482"/>
      <c r="T1294" s="482"/>
      <c r="U1294" s="564"/>
      <c r="V1294" s="564"/>
      <c r="W1294" s="565"/>
      <c r="X1294" s="565"/>
      <c r="Y1294" s="565"/>
      <c r="Z1294" s="565"/>
    </row>
    <row r="1295" spans="1:26" s="639" customFormat="1" ht="15" customHeight="1">
      <c r="A1295" s="647">
        <v>4120</v>
      </c>
      <c r="B1295" s="828" t="s">
        <v>623</v>
      </c>
      <c r="C1295" s="603">
        <v>11399</v>
      </c>
      <c r="D1295" s="581">
        <f t="shared" si="154"/>
        <v>11399</v>
      </c>
      <c r="E1295" s="581">
        <f t="shared" si="155"/>
        <v>1559</v>
      </c>
      <c r="F1295" s="864">
        <f t="shared" si="152"/>
        <v>13.676638301605404</v>
      </c>
      <c r="G1295" s="603"/>
      <c r="H1295" s="581"/>
      <c r="I1295" s="653"/>
      <c r="J1295" s="586"/>
      <c r="K1295" s="581"/>
      <c r="L1295" s="587"/>
      <c r="M1295" s="603">
        <v>11399</v>
      </c>
      <c r="N1295" s="581">
        <v>1559</v>
      </c>
      <c r="O1295" s="585">
        <f t="shared" si="156"/>
        <v>13.676638301605404</v>
      </c>
      <c r="P1295" s="581"/>
      <c r="Q1295" s="581"/>
      <c r="R1295" s="653"/>
      <c r="S1295" s="482"/>
      <c r="T1295" s="482"/>
      <c r="U1295" s="564"/>
      <c r="V1295" s="564"/>
      <c r="W1295" s="565"/>
      <c r="X1295" s="565"/>
      <c r="Y1295" s="565"/>
      <c r="Z1295" s="565"/>
    </row>
    <row r="1296" spans="1:26" s="639" customFormat="1" ht="24">
      <c r="A1296" s="647">
        <v>4170</v>
      </c>
      <c r="B1296" s="828" t="s">
        <v>221</v>
      </c>
      <c r="C1296" s="603">
        <v>465245</v>
      </c>
      <c r="D1296" s="581">
        <f t="shared" si="154"/>
        <v>465245</v>
      </c>
      <c r="E1296" s="581">
        <f t="shared" si="155"/>
        <v>86105</v>
      </c>
      <c r="F1296" s="582">
        <f t="shared" si="152"/>
        <v>18.50745306236499</v>
      </c>
      <c r="G1296" s="603"/>
      <c r="H1296" s="581"/>
      <c r="I1296" s="653"/>
      <c r="J1296" s="586"/>
      <c r="K1296" s="581"/>
      <c r="L1296" s="587"/>
      <c r="M1296" s="603">
        <v>465245</v>
      </c>
      <c r="N1296" s="581">
        <f>86104+1</f>
        <v>86105</v>
      </c>
      <c r="O1296" s="585">
        <f t="shared" si="156"/>
        <v>18.50745306236499</v>
      </c>
      <c r="P1296" s="581"/>
      <c r="Q1296" s="581"/>
      <c r="R1296" s="653"/>
      <c r="S1296" s="482"/>
      <c r="T1296" s="482"/>
      <c r="U1296" s="564"/>
      <c r="V1296" s="564"/>
      <c r="W1296" s="565"/>
      <c r="X1296" s="565"/>
      <c r="Y1296" s="565"/>
      <c r="Z1296" s="565"/>
    </row>
    <row r="1297" spans="1:26" s="639" customFormat="1" ht="12.75" hidden="1">
      <c r="A1297" s="647">
        <v>4580</v>
      </c>
      <c r="B1297" s="712" t="s">
        <v>223</v>
      </c>
      <c r="C1297" s="603"/>
      <c r="D1297" s="675">
        <f t="shared" si="154"/>
        <v>0</v>
      </c>
      <c r="E1297" s="675">
        <f t="shared" si="155"/>
        <v>0</v>
      </c>
      <c r="F1297" s="644" t="e">
        <f t="shared" si="152"/>
        <v>#DIV/0!</v>
      </c>
      <c r="G1297" s="603"/>
      <c r="H1297" s="581"/>
      <c r="I1297" s="653"/>
      <c r="J1297" s="586"/>
      <c r="K1297" s="581"/>
      <c r="L1297" s="587"/>
      <c r="M1297" s="603"/>
      <c r="N1297" s="581"/>
      <c r="O1297" s="585" t="e">
        <f t="shared" si="156"/>
        <v>#DIV/0!</v>
      </c>
      <c r="P1297" s="581"/>
      <c r="Q1297" s="581"/>
      <c r="R1297" s="653"/>
      <c r="S1297" s="564"/>
      <c r="T1297" s="564"/>
      <c r="U1297" s="564"/>
      <c r="V1297" s="564"/>
      <c r="W1297" s="565"/>
      <c r="X1297" s="565"/>
      <c r="Y1297" s="565"/>
      <c r="Z1297" s="565"/>
    </row>
    <row r="1298" spans="1:26" s="639" customFormat="1" ht="24" hidden="1">
      <c r="A1298" s="647">
        <v>4330</v>
      </c>
      <c r="B1298" s="828" t="s">
        <v>796</v>
      </c>
      <c r="C1298" s="603"/>
      <c r="D1298" s="581">
        <f t="shared" si="154"/>
        <v>0</v>
      </c>
      <c r="E1298" s="581">
        <f t="shared" si="155"/>
        <v>0</v>
      </c>
      <c r="F1298" s="876" t="e">
        <f>E1298/D1298*100</f>
        <v>#DIV/0!</v>
      </c>
      <c r="G1298" s="603"/>
      <c r="H1298" s="581"/>
      <c r="I1298" s="653"/>
      <c r="J1298" s="586"/>
      <c r="K1298" s="581"/>
      <c r="L1298" s="587"/>
      <c r="M1298" s="603"/>
      <c r="N1298" s="581"/>
      <c r="O1298" s="585" t="e">
        <f t="shared" si="156"/>
        <v>#DIV/0!</v>
      </c>
      <c r="P1298" s="581"/>
      <c r="Q1298" s="581"/>
      <c r="R1298" s="653"/>
      <c r="S1298" s="564"/>
      <c r="T1298" s="564"/>
      <c r="U1298" s="564"/>
      <c r="V1298" s="564"/>
      <c r="W1298" s="565"/>
      <c r="X1298" s="565"/>
      <c r="Y1298" s="565"/>
      <c r="Z1298" s="565"/>
    </row>
    <row r="1299" spans="1:26" s="639" customFormat="1" ht="36">
      <c r="A1299" s="640">
        <v>85205</v>
      </c>
      <c r="B1299" s="856" t="s">
        <v>373</v>
      </c>
      <c r="C1299" s="608">
        <f>SUM(C1300:C1302)</f>
        <v>16000</v>
      </c>
      <c r="D1299" s="595">
        <f>G1299+J1299+P1299+M1299</f>
        <v>16000</v>
      </c>
      <c r="E1299" s="595">
        <f>SUM(H1299+K1299+N1299+Q1299)</f>
        <v>0</v>
      </c>
      <c r="F1299" s="902">
        <f>E1299/D1299*100</f>
        <v>0</v>
      </c>
      <c r="G1299" s="608"/>
      <c r="H1299" s="595"/>
      <c r="I1299" s="685"/>
      <c r="J1299" s="600"/>
      <c r="K1299" s="595"/>
      <c r="L1299" s="601"/>
      <c r="M1299" s="600"/>
      <c r="N1299" s="595"/>
      <c r="O1299" s="682"/>
      <c r="P1299" s="595">
        <f>SUM(P1300:P1302)</f>
        <v>16000</v>
      </c>
      <c r="Q1299" s="595">
        <f>SUM(Q1300:Q1302)</f>
        <v>0</v>
      </c>
      <c r="R1299" s="903">
        <f>Q1299/P1299*100</f>
        <v>0</v>
      </c>
      <c r="S1299" s="564"/>
      <c r="T1299" s="564"/>
      <c r="U1299" s="564"/>
      <c r="V1299" s="564"/>
      <c r="W1299" s="565"/>
      <c r="X1299" s="565"/>
      <c r="Y1299" s="565"/>
      <c r="Z1299" s="565"/>
    </row>
    <row r="1300" spans="1:26" s="639" customFormat="1" ht="24">
      <c r="A1300" s="647">
        <v>4210</v>
      </c>
      <c r="B1300" s="828" t="s">
        <v>191</v>
      </c>
      <c r="C1300" s="606">
        <v>300</v>
      </c>
      <c r="D1300" s="615">
        <f>G1300+J1300+P1300+M1300</f>
        <v>300</v>
      </c>
      <c r="E1300" s="615">
        <f>SUM(H1300+K1300+N1300+Q1300)</f>
        <v>0</v>
      </c>
      <c r="F1300" s="904">
        <f>E1300/D1300*100</f>
        <v>0</v>
      </c>
      <c r="G1300" s="606"/>
      <c r="H1300" s="615"/>
      <c r="I1300" s="671"/>
      <c r="J1300" s="618"/>
      <c r="K1300" s="615"/>
      <c r="L1300" s="619"/>
      <c r="M1300" s="618"/>
      <c r="N1300" s="615"/>
      <c r="O1300" s="590"/>
      <c r="P1300" s="615">
        <v>300</v>
      </c>
      <c r="Q1300" s="615"/>
      <c r="R1300" s="619">
        <f>Q1300/P1300*100</f>
        <v>0</v>
      </c>
      <c r="S1300" s="564"/>
      <c r="T1300" s="564"/>
      <c r="U1300" s="564"/>
      <c r="V1300" s="564"/>
      <c r="W1300" s="565"/>
      <c r="X1300" s="565"/>
      <c r="Y1300" s="565"/>
      <c r="Z1300" s="565"/>
    </row>
    <row r="1301" spans="1:26" s="639" customFormat="1" ht="17.25" customHeight="1">
      <c r="A1301" s="647">
        <v>4300</v>
      </c>
      <c r="B1301" s="828" t="s">
        <v>583</v>
      </c>
      <c r="C1301" s="603">
        <v>15500</v>
      </c>
      <c r="D1301" s="581">
        <f>G1301+J1301+P1301+M1301</f>
        <v>15500</v>
      </c>
      <c r="E1301" s="581">
        <f>SUM(H1301+K1301+N1301+Q1301)</f>
        <v>0</v>
      </c>
      <c r="F1301" s="876">
        <f>E1301/D1301*100</f>
        <v>0</v>
      </c>
      <c r="G1301" s="603"/>
      <c r="H1301" s="581"/>
      <c r="I1301" s="653"/>
      <c r="J1301" s="586"/>
      <c r="K1301" s="581"/>
      <c r="L1301" s="587"/>
      <c r="M1301" s="586"/>
      <c r="N1301" s="581"/>
      <c r="O1301" s="585"/>
      <c r="P1301" s="581">
        <v>15500</v>
      </c>
      <c r="Q1301" s="581"/>
      <c r="R1301" s="587">
        <f>Q1301/P1301*100</f>
        <v>0</v>
      </c>
      <c r="S1301" s="564"/>
      <c r="T1301" s="564"/>
      <c r="U1301" s="564"/>
      <c r="V1301" s="564"/>
      <c r="W1301" s="565"/>
      <c r="X1301" s="565"/>
      <c r="Y1301" s="565"/>
      <c r="Z1301" s="565"/>
    </row>
    <row r="1302" spans="1:26" s="639" customFormat="1" ht="47.25" customHeight="1">
      <c r="A1302" s="647">
        <v>4740</v>
      </c>
      <c r="B1302" s="712" t="s">
        <v>215</v>
      </c>
      <c r="C1302" s="674">
        <v>200</v>
      </c>
      <c r="D1302" s="675">
        <f>G1302+J1302+P1302+M1302</f>
        <v>200</v>
      </c>
      <c r="E1302" s="675">
        <f>SUM(H1302+K1302+N1302+Q1302)</f>
        <v>0</v>
      </c>
      <c r="F1302" s="905">
        <f>E1302/D1302*100</f>
        <v>0</v>
      </c>
      <c r="G1302" s="674"/>
      <c r="H1302" s="675"/>
      <c r="I1302" s="680"/>
      <c r="J1302" s="676"/>
      <c r="K1302" s="675"/>
      <c r="L1302" s="677"/>
      <c r="M1302" s="676"/>
      <c r="N1302" s="675"/>
      <c r="O1302" s="679"/>
      <c r="P1302" s="675">
        <v>200</v>
      </c>
      <c r="Q1302" s="675"/>
      <c r="R1302" s="677">
        <f>Q1302/P1302*100</f>
        <v>0</v>
      </c>
      <c r="S1302" s="564"/>
      <c r="T1302" s="564"/>
      <c r="U1302" s="564"/>
      <c r="V1302" s="564"/>
      <c r="W1302" s="565"/>
      <c r="X1302" s="565"/>
      <c r="Y1302" s="565"/>
      <c r="Z1302" s="565"/>
    </row>
    <row r="1303" spans="1:18" ht="84">
      <c r="A1303" s="640">
        <v>85212</v>
      </c>
      <c r="B1303" s="856" t="s">
        <v>287</v>
      </c>
      <c r="C1303" s="608">
        <f>SUM(C1304:C1326)</f>
        <v>18422205</v>
      </c>
      <c r="D1303" s="595">
        <f t="shared" si="154"/>
        <v>18422205</v>
      </c>
      <c r="E1303" s="595">
        <f t="shared" si="155"/>
        <v>4648431</v>
      </c>
      <c r="F1303" s="902">
        <f aca="true" t="shared" si="157" ref="F1303:F1332">E1303/D1303*100</f>
        <v>25.23276122483709</v>
      </c>
      <c r="G1303" s="608">
        <f>SUM(G1304:G1326)</f>
        <v>422205</v>
      </c>
      <c r="H1303" s="595">
        <f>SUM(H1304:H1326)</f>
        <v>148431</v>
      </c>
      <c r="I1303" s="751">
        <f>H1303/G1303*100</f>
        <v>35.156144526947806</v>
      </c>
      <c r="J1303" s="600">
        <f>SUM(J1304:J1326)</f>
        <v>18000000</v>
      </c>
      <c r="K1303" s="595">
        <f>SUM(K1304:K1326)</f>
        <v>4500000</v>
      </c>
      <c r="L1303" s="625">
        <f>K1303/J1303*100</f>
        <v>25</v>
      </c>
      <c r="M1303" s="595"/>
      <c r="N1303" s="595"/>
      <c r="O1303" s="684"/>
      <c r="P1303" s="595"/>
      <c r="Q1303" s="595"/>
      <c r="R1303" s="685"/>
    </row>
    <row r="1304" spans="1:26" s="639" customFormat="1" ht="36">
      <c r="A1304" s="647">
        <v>3020</v>
      </c>
      <c r="B1304" s="828" t="s">
        <v>248</v>
      </c>
      <c r="C1304" s="606">
        <v>1500</v>
      </c>
      <c r="D1304" s="615">
        <f aca="true" t="shared" si="158" ref="D1304:E1335">G1304+J1304+P1304+M1304</f>
        <v>1500</v>
      </c>
      <c r="E1304" s="615">
        <f t="shared" si="155"/>
        <v>0</v>
      </c>
      <c r="F1304" s="669">
        <f t="shared" si="157"/>
        <v>0</v>
      </c>
      <c r="G1304" s="606"/>
      <c r="H1304" s="615"/>
      <c r="I1304" s="623"/>
      <c r="J1304" s="606">
        <v>1500</v>
      </c>
      <c r="K1304" s="615"/>
      <c r="L1304" s="628">
        <f>K1304/J1304*100</f>
        <v>0</v>
      </c>
      <c r="M1304" s="615"/>
      <c r="N1304" s="615"/>
      <c r="O1304" s="686"/>
      <c r="P1304" s="615"/>
      <c r="Q1304" s="615"/>
      <c r="R1304" s="671"/>
      <c r="S1304" s="564"/>
      <c r="T1304" s="564"/>
      <c r="U1304" s="564"/>
      <c r="V1304" s="564"/>
      <c r="W1304" s="565"/>
      <c r="X1304" s="565"/>
      <c r="Y1304" s="565"/>
      <c r="Z1304" s="565"/>
    </row>
    <row r="1305" spans="1:26" s="639" customFormat="1" ht="18.75" customHeight="1">
      <c r="A1305" s="647">
        <v>3110</v>
      </c>
      <c r="B1305" s="828" t="s">
        <v>740</v>
      </c>
      <c r="C1305" s="603">
        <v>17271580</v>
      </c>
      <c r="D1305" s="581">
        <f t="shared" si="158"/>
        <v>17294480</v>
      </c>
      <c r="E1305" s="581">
        <f>SUM(H1305+K1305+N1305+Q1305)</f>
        <v>4287703</v>
      </c>
      <c r="F1305" s="627">
        <f>E1305/D1305*100</f>
        <v>24.792321018035814</v>
      </c>
      <c r="G1305" s="603"/>
      <c r="H1305" s="581"/>
      <c r="I1305" s="629"/>
      <c r="J1305" s="603">
        <f>17271580+22900</f>
        <v>17294480</v>
      </c>
      <c r="K1305" s="586">
        <v>4287703</v>
      </c>
      <c r="L1305" s="628">
        <f>K1305/J1305*100</f>
        <v>24.792321018035814</v>
      </c>
      <c r="M1305" s="581"/>
      <c r="N1305" s="581"/>
      <c r="O1305" s="649"/>
      <c r="P1305" s="581"/>
      <c r="Q1305" s="581"/>
      <c r="R1305" s="653"/>
      <c r="S1305" s="564"/>
      <c r="T1305" s="564"/>
      <c r="U1305" s="564"/>
      <c r="V1305" s="564"/>
      <c r="W1305" s="565"/>
      <c r="X1305" s="565"/>
      <c r="Y1305" s="565"/>
      <c r="Z1305" s="565"/>
    </row>
    <row r="1306" spans="1:26" s="639" customFormat="1" ht="28.5" customHeight="1">
      <c r="A1306" s="647">
        <v>4010</v>
      </c>
      <c r="B1306" s="828" t="s">
        <v>181</v>
      </c>
      <c r="C1306" s="603">
        <v>636213</v>
      </c>
      <c r="D1306" s="581">
        <f t="shared" si="158"/>
        <v>636213</v>
      </c>
      <c r="E1306" s="581">
        <f t="shared" si="155"/>
        <v>164374</v>
      </c>
      <c r="F1306" s="627">
        <f t="shared" si="157"/>
        <v>25.836315825046015</v>
      </c>
      <c r="G1306" s="603">
        <v>186213</v>
      </c>
      <c r="H1306" s="581">
        <v>49266</v>
      </c>
      <c r="I1306" s="582">
        <f aca="true" t="shared" si="159" ref="I1306:I1312">H1306/G1306*100</f>
        <v>26.45679947157288</v>
      </c>
      <c r="J1306" s="603">
        <v>450000</v>
      </c>
      <c r="K1306" s="586">
        <v>115108</v>
      </c>
      <c r="L1306" s="628">
        <f>K1306/J1306*100</f>
        <v>25.579555555555554</v>
      </c>
      <c r="M1306" s="581"/>
      <c r="N1306" s="581"/>
      <c r="O1306" s="649"/>
      <c r="P1306" s="581"/>
      <c r="Q1306" s="581"/>
      <c r="R1306" s="653"/>
      <c r="S1306" s="482"/>
      <c r="T1306" s="482"/>
      <c r="U1306" s="564"/>
      <c r="V1306" s="564"/>
      <c r="W1306" s="565"/>
      <c r="X1306" s="565"/>
      <c r="Y1306" s="565"/>
      <c r="Z1306" s="565"/>
    </row>
    <row r="1307" spans="1:26" s="639" customFormat="1" ht="24">
      <c r="A1307" s="647">
        <v>4040</v>
      </c>
      <c r="B1307" s="828" t="s">
        <v>804</v>
      </c>
      <c r="C1307" s="603">
        <v>55900</v>
      </c>
      <c r="D1307" s="581">
        <f t="shared" si="158"/>
        <v>55900</v>
      </c>
      <c r="E1307" s="581">
        <f t="shared" si="155"/>
        <v>49938</v>
      </c>
      <c r="F1307" s="627">
        <f t="shared" si="157"/>
        <v>89.3345259391771</v>
      </c>
      <c r="G1307" s="603">
        <v>55900</v>
      </c>
      <c r="H1307" s="581">
        <f>49938</f>
        <v>49938</v>
      </c>
      <c r="I1307" s="582">
        <f t="shared" si="159"/>
        <v>89.3345259391771</v>
      </c>
      <c r="J1307" s="603"/>
      <c r="K1307" s="586"/>
      <c r="L1307" s="628"/>
      <c r="M1307" s="581"/>
      <c r="N1307" s="581"/>
      <c r="O1307" s="649"/>
      <c r="P1307" s="581"/>
      <c r="Q1307" s="581"/>
      <c r="R1307" s="653"/>
      <c r="S1307" s="482"/>
      <c r="T1307" s="482"/>
      <c r="U1307" s="564"/>
      <c r="V1307" s="564"/>
      <c r="W1307" s="565"/>
      <c r="X1307" s="565"/>
      <c r="Y1307" s="565"/>
      <c r="Z1307" s="565"/>
    </row>
    <row r="1308" spans="1:26" s="639" customFormat="1" ht="23.25" customHeight="1">
      <c r="A1308" s="647">
        <v>4110</v>
      </c>
      <c r="B1308" s="828" t="s">
        <v>187</v>
      </c>
      <c r="C1308" s="603">
        <v>265270</v>
      </c>
      <c r="D1308" s="581">
        <f t="shared" si="158"/>
        <v>242370</v>
      </c>
      <c r="E1308" s="581">
        <f t="shared" si="155"/>
        <v>92110</v>
      </c>
      <c r="F1308" s="627">
        <f t="shared" si="157"/>
        <v>38.00387836778479</v>
      </c>
      <c r="G1308" s="603">
        <v>43170</v>
      </c>
      <c r="H1308" s="581">
        <v>14839</v>
      </c>
      <c r="I1308" s="582">
        <f t="shared" si="159"/>
        <v>34.373407458883484</v>
      </c>
      <c r="J1308" s="603">
        <f>222100-22900</f>
        <v>199200</v>
      </c>
      <c r="K1308" s="586">
        <v>77271</v>
      </c>
      <c r="L1308" s="628">
        <f aca="true" t="shared" si="160" ref="L1308:L1329">K1308/J1308*100</f>
        <v>38.79066265060241</v>
      </c>
      <c r="M1308" s="581"/>
      <c r="N1308" s="581"/>
      <c r="O1308" s="649"/>
      <c r="P1308" s="581"/>
      <c r="Q1308" s="581"/>
      <c r="R1308" s="653"/>
      <c r="S1308" s="482"/>
      <c r="T1308" s="482"/>
      <c r="U1308" s="564"/>
      <c r="V1308" s="564"/>
      <c r="W1308" s="565"/>
      <c r="X1308" s="565"/>
      <c r="Y1308" s="565"/>
      <c r="Z1308" s="565"/>
    </row>
    <row r="1309" spans="1:26" s="639" customFormat="1" ht="12.75">
      <c r="A1309" s="647">
        <v>4120</v>
      </c>
      <c r="B1309" s="828" t="s">
        <v>619</v>
      </c>
      <c r="C1309" s="603">
        <v>17422</v>
      </c>
      <c r="D1309" s="581">
        <f t="shared" si="158"/>
        <v>17422</v>
      </c>
      <c r="E1309" s="581">
        <f t="shared" si="155"/>
        <v>4746</v>
      </c>
      <c r="F1309" s="627">
        <f t="shared" si="157"/>
        <v>27.24141889564918</v>
      </c>
      <c r="G1309" s="603">
        <v>6422</v>
      </c>
      <c r="H1309" s="581">
        <v>1993</v>
      </c>
      <c r="I1309" s="582">
        <f t="shared" si="159"/>
        <v>31.033945811273746</v>
      </c>
      <c r="J1309" s="603">
        <v>11000</v>
      </c>
      <c r="K1309" s="586">
        <v>2753</v>
      </c>
      <c r="L1309" s="628">
        <f t="shared" si="160"/>
        <v>25.027272727272727</v>
      </c>
      <c r="M1309" s="581"/>
      <c r="N1309" s="581"/>
      <c r="O1309" s="649"/>
      <c r="P1309" s="581"/>
      <c r="Q1309" s="581"/>
      <c r="R1309" s="653"/>
      <c r="S1309" s="482"/>
      <c r="T1309" s="482"/>
      <c r="U1309" s="564"/>
      <c r="V1309" s="564"/>
      <c r="W1309" s="565"/>
      <c r="X1309" s="565"/>
      <c r="Y1309" s="565"/>
      <c r="Z1309" s="565"/>
    </row>
    <row r="1310" spans="1:26" s="639" customFormat="1" ht="24">
      <c r="A1310" s="647">
        <v>4170</v>
      </c>
      <c r="B1310" s="828" t="s">
        <v>221</v>
      </c>
      <c r="C1310" s="603">
        <v>20000</v>
      </c>
      <c r="D1310" s="581">
        <f t="shared" si="158"/>
        <v>20000</v>
      </c>
      <c r="E1310" s="581">
        <f t="shared" si="155"/>
        <v>0</v>
      </c>
      <c r="F1310" s="627">
        <f t="shared" si="157"/>
        <v>0</v>
      </c>
      <c r="G1310" s="603">
        <v>20000</v>
      </c>
      <c r="H1310" s="581"/>
      <c r="I1310" s="582">
        <f t="shared" si="159"/>
        <v>0</v>
      </c>
      <c r="J1310" s="603"/>
      <c r="K1310" s="586"/>
      <c r="L1310" s="628"/>
      <c r="M1310" s="581"/>
      <c r="N1310" s="581"/>
      <c r="O1310" s="649"/>
      <c r="P1310" s="581"/>
      <c r="Q1310" s="581"/>
      <c r="R1310" s="653"/>
      <c r="S1310" s="564"/>
      <c r="T1310" s="564"/>
      <c r="U1310" s="564"/>
      <c r="V1310" s="564"/>
      <c r="W1310" s="565"/>
      <c r="X1310" s="565"/>
      <c r="Y1310" s="565"/>
      <c r="Z1310" s="565"/>
    </row>
    <row r="1311" spans="1:26" s="639" customFormat="1" ht="24">
      <c r="A1311" s="647">
        <v>4210</v>
      </c>
      <c r="B1311" s="828" t="s">
        <v>191</v>
      </c>
      <c r="C1311" s="603">
        <v>14020</v>
      </c>
      <c r="D1311" s="581">
        <f t="shared" si="158"/>
        <v>14020</v>
      </c>
      <c r="E1311" s="581">
        <f t="shared" si="155"/>
        <v>247</v>
      </c>
      <c r="F1311" s="627">
        <f t="shared" si="157"/>
        <v>1.761768901569187</v>
      </c>
      <c r="G1311" s="603">
        <v>11000</v>
      </c>
      <c r="H1311" s="581"/>
      <c r="I1311" s="582">
        <f t="shared" si="159"/>
        <v>0</v>
      </c>
      <c r="J1311" s="603">
        <v>3020</v>
      </c>
      <c r="K1311" s="586">
        <v>247</v>
      </c>
      <c r="L1311" s="628">
        <f t="shared" si="160"/>
        <v>8.178807947019868</v>
      </c>
      <c r="M1311" s="581"/>
      <c r="N1311" s="581"/>
      <c r="O1311" s="649"/>
      <c r="P1311" s="581"/>
      <c r="Q1311" s="581"/>
      <c r="R1311" s="653"/>
      <c r="S1311" s="564"/>
      <c r="T1311" s="564"/>
      <c r="U1311" s="564"/>
      <c r="V1311" s="564"/>
      <c r="W1311" s="565"/>
      <c r="X1311" s="565"/>
      <c r="Y1311" s="565"/>
      <c r="Z1311" s="565"/>
    </row>
    <row r="1312" spans="1:26" s="639" customFormat="1" ht="12.75">
      <c r="A1312" s="647">
        <v>4260</v>
      </c>
      <c r="B1312" s="828" t="s">
        <v>195</v>
      </c>
      <c r="C1312" s="603">
        <v>19000</v>
      </c>
      <c r="D1312" s="581">
        <f t="shared" si="158"/>
        <v>19000</v>
      </c>
      <c r="E1312" s="581">
        <f t="shared" si="155"/>
        <v>5377</v>
      </c>
      <c r="F1312" s="627">
        <f t="shared" si="157"/>
        <v>28.299999999999997</v>
      </c>
      <c r="G1312" s="603">
        <v>9000</v>
      </c>
      <c r="H1312" s="581"/>
      <c r="I1312" s="629">
        <f t="shared" si="159"/>
        <v>0</v>
      </c>
      <c r="J1312" s="603">
        <v>10000</v>
      </c>
      <c r="K1312" s="586">
        <v>5377</v>
      </c>
      <c r="L1312" s="628">
        <f t="shared" si="160"/>
        <v>53.769999999999996</v>
      </c>
      <c r="M1312" s="581"/>
      <c r="N1312" s="581"/>
      <c r="O1312" s="649"/>
      <c r="P1312" s="581"/>
      <c r="Q1312" s="581"/>
      <c r="R1312" s="653"/>
      <c r="S1312" s="564"/>
      <c r="T1312" s="564"/>
      <c r="U1312" s="564"/>
      <c r="V1312" s="564"/>
      <c r="W1312" s="565"/>
      <c r="X1312" s="565"/>
      <c r="Y1312" s="565"/>
      <c r="Z1312" s="565"/>
    </row>
    <row r="1313" spans="1:26" s="639" customFormat="1" ht="24" hidden="1">
      <c r="A1313" s="647">
        <v>4270</v>
      </c>
      <c r="B1313" s="828" t="s">
        <v>197</v>
      </c>
      <c r="C1313" s="603"/>
      <c r="D1313" s="581">
        <f t="shared" si="158"/>
        <v>0</v>
      </c>
      <c r="E1313" s="581">
        <f>SUM(H1313+K1313+N1313+Q1313)</f>
        <v>0</v>
      </c>
      <c r="F1313" s="627" t="e">
        <f>E1313/D1313*100</f>
        <v>#DIV/0!</v>
      </c>
      <c r="G1313" s="603"/>
      <c r="H1313" s="581"/>
      <c r="I1313" s="629"/>
      <c r="J1313" s="603"/>
      <c r="K1313" s="586"/>
      <c r="L1313" s="628" t="e">
        <f t="shared" si="160"/>
        <v>#DIV/0!</v>
      </c>
      <c r="M1313" s="581"/>
      <c r="N1313" s="581"/>
      <c r="O1313" s="649"/>
      <c r="P1313" s="581"/>
      <c r="Q1313" s="581"/>
      <c r="R1313" s="653"/>
      <c r="S1313" s="564"/>
      <c r="T1313" s="564"/>
      <c r="U1313" s="564"/>
      <c r="V1313" s="564"/>
      <c r="W1313" s="565"/>
      <c r="X1313" s="565"/>
      <c r="Y1313" s="565"/>
      <c r="Z1313" s="565"/>
    </row>
    <row r="1314" spans="1:26" s="639" customFormat="1" ht="24">
      <c r="A1314" s="647">
        <v>4280</v>
      </c>
      <c r="B1314" s="828" t="s">
        <v>582</v>
      </c>
      <c r="C1314" s="603">
        <v>1050</v>
      </c>
      <c r="D1314" s="581">
        <f t="shared" si="158"/>
        <v>1050</v>
      </c>
      <c r="E1314" s="581">
        <f t="shared" si="155"/>
        <v>94</v>
      </c>
      <c r="F1314" s="627">
        <f t="shared" si="157"/>
        <v>8.952380952380953</v>
      </c>
      <c r="G1314" s="603"/>
      <c r="H1314" s="581"/>
      <c r="I1314" s="629"/>
      <c r="J1314" s="603">
        <v>1050</v>
      </c>
      <c r="K1314" s="586">
        <v>94</v>
      </c>
      <c r="L1314" s="628">
        <f t="shared" si="160"/>
        <v>8.952380952380953</v>
      </c>
      <c r="M1314" s="581"/>
      <c r="N1314" s="581"/>
      <c r="O1314" s="649"/>
      <c r="P1314" s="581"/>
      <c r="Q1314" s="581"/>
      <c r="R1314" s="653"/>
      <c r="S1314" s="564"/>
      <c r="T1314" s="564"/>
      <c r="U1314" s="564"/>
      <c r="V1314" s="564"/>
      <c r="W1314" s="565"/>
      <c r="X1314" s="565"/>
      <c r="Y1314" s="565"/>
      <c r="Z1314" s="565"/>
    </row>
    <row r="1315" spans="1:26" s="639" customFormat="1" ht="13.5" customHeight="1">
      <c r="A1315" s="647">
        <v>4300</v>
      </c>
      <c r="B1315" s="828" t="s">
        <v>583</v>
      </c>
      <c r="C1315" s="603">
        <v>70000</v>
      </c>
      <c r="D1315" s="581">
        <f t="shared" si="158"/>
        <v>70000</v>
      </c>
      <c r="E1315" s="581">
        <f t="shared" si="155"/>
        <v>17395</v>
      </c>
      <c r="F1315" s="627">
        <f t="shared" si="157"/>
        <v>24.85</v>
      </c>
      <c r="G1315" s="603">
        <v>60000</v>
      </c>
      <c r="H1315" s="581">
        <v>7395</v>
      </c>
      <c r="I1315" s="582">
        <f>H1315/G1315*100</f>
        <v>12.325</v>
      </c>
      <c r="J1315" s="603">
        <v>10000</v>
      </c>
      <c r="K1315" s="586">
        <v>10000</v>
      </c>
      <c r="L1315" s="628">
        <f t="shared" si="160"/>
        <v>100</v>
      </c>
      <c r="M1315" s="581"/>
      <c r="N1315" s="581"/>
      <c r="O1315" s="649"/>
      <c r="P1315" s="581"/>
      <c r="Q1315" s="581"/>
      <c r="R1315" s="653"/>
      <c r="S1315" s="564"/>
      <c r="T1315" s="564"/>
      <c r="U1315" s="564"/>
      <c r="V1315" s="564"/>
      <c r="W1315" s="565"/>
      <c r="X1315" s="565"/>
      <c r="Y1315" s="565"/>
      <c r="Z1315" s="565"/>
    </row>
    <row r="1316" spans="1:26" s="639" customFormat="1" ht="24" hidden="1">
      <c r="A1316" s="647">
        <v>4350</v>
      </c>
      <c r="B1316" s="828" t="s">
        <v>584</v>
      </c>
      <c r="C1316" s="603"/>
      <c r="D1316" s="581">
        <f t="shared" si="158"/>
        <v>0</v>
      </c>
      <c r="E1316" s="581">
        <f t="shared" si="155"/>
        <v>0</v>
      </c>
      <c r="F1316" s="627" t="e">
        <f t="shared" si="157"/>
        <v>#DIV/0!</v>
      </c>
      <c r="G1316" s="603"/>
      <c r="H1316" s="581"/>
      <c r="I1316" s="629" t="e">
        <f>H1316/G1316*100</f>
        <v>#DIV/0!</v>
      </c>
      <c r="J1316" s="603"/>
      <c r="K1316" s="586"/>
      <c r="L1316" s="628" t="e">
        <f t="shared" si="160"/>
        <v>#DIV/0!</v>
      </c>
      <c r="M1316" s="581"/>
      <c r="N1316" s="581"/>
      <c r="O1316" s="649"/>
      <c r="P1316" s="581"/>
      <c r="Q1316" s="581"/>
      <c r="R1316" s="653"/>
      <c r="S1316" s="564"/>
      <c r="T1316" s="564"/>
      <c r="U1316" s="564"/>
      <c r="V1316" s="564"/>
      <c r="W1316" s="565"/>
      <c r="X1316" s="565"/>
      <c r="Y1316" s="565"/>
      <c r="Z1316" s="565"/>
    </row>
    <row r="1317" spans="1:26" s="639" customFormat="1" ht="48" hidden="1">
      <c r="A1317" s="647">
        <v>4370</v>
      </c>
      <c r="B1317" s="828" t="s">
        <v>585</v>
      </c>
      <c r="C1317" s="603"/>
      <c r="D1317" s="581">
        <f t="shared" si="158"/>
        <v>0</v>
      </c>
      <c r="E1317" s="581">
        <f t="shared" si="155"/>
        <v>0</v>
      </c>
      <c r="F1317" s="627" t="e">
        <f t="shared" si="157"/>
        <v>#DIV/0!</v>
      </c>
      <c r="G1317" s="603"/>
      <c r="H1317" s="581"/>
      <c r="I1317" s="629" t="e">
        <f>H1317/G1317*100</f>
        <v>#DIV/0!</v>
      </c>
      <c r="J1317" s="603"/>
      <c r="K1317" s="586"/>
      <c r="L1317" s="628" t="e">
        <f t="shared" si="160"/>
        <v>#DIV/0!</v>
      </c>
      <c r="M1317" s="581"/>
      <c r="N1317" s="581"/>
      <c r="O1317" s="649"/>
      <c r="P1317" s="581"/>
      <c r="Q1317" s="581"/>
      <c r="R1317" s="653"/>
      <c r="S1317" s="564"/>
      <c r="T1317" s="564"/>
      <c r="U1317" s="564"/>
      <c r="V1317" s="564"/>
      <c r="W1317" s="565"/>
      <c r="X1317" s="565"/>
      <c r="Y1317" s="565"/>
      <c r="Z1317" s="565"/>
    </row>
    <row r="1318" spans="1:26" s="639" customFormat="1" ht="24">
      <c r="A1318" s="647">
        <v>4410</v>
      </c>
      <c r="B1318" s="828" t="s">
        <v>173</v>
      </c>
      <c r="C1318" s="603">
        <v>1500</v>
      </c>
      <c r="D1318" s="581">
        <f t="shared" si="158"/>
        <v>1500</v>
      </c>
      <c r="E1318" s="581">
        <f t="shared" si="155"/>
        <v>100</v>
      </c>
      <c r="F1318" s="627">
        <f t="shared" si="157"/>
        <v>6.666666666666667</v>
      </c>
      <c r="G1318" s="603"/>
      <c r="H1318" s="581"/>
      <c r="I1318" s="629"/>
      <c r="J1318" s="603">
        <v>1500</v>
      </c>
      <c r="K1318" s="586">
        <v>100</v>
      </c>
      <c r="L1318" s="628">
        <f t="shared" si="160"/>
        <v>6.666666666666667</v>
      </c>
      <c r="M1318" s="581"/>
      <c r="N1318" s="581"/>
      <c r="O1318" s="649"/>
      <c r="P1318" s="581"/>
      <c r="Q1318" s="581"/>
      <c r="R1318" s="653"/>
      <c r="S1318" s="564"/>
      <c r="T1318" s="564"/>
      <c r="U1318" s="564"/>
      <c r="V1318" s="564"/>
      <c r="W1318" s="565"/>
      <c r="X1318" s="565"/>
      <c r="Y1318" s="565"/>
      <c r="Z1318" s="565"/>
    </row>
    <row r="1319" spans="1:26" s="639" customFormat="1" ht="15" customHeight="1">
      <c r="A1319" s="647">
        <v>4440</v>
      </c>
      <c r="B1319" s="828" t="s">
        <v>712</v>
      </c>
      <c r="C1319" s="603">
        <v>25000</v>
      </c>
      <c r="D1319" s="581">
        <f t="shared" si="158"/>
        <v>25000</v>
      </c>
      <c r="E1319" s="581">
        <f t="shared" si="155"/>
        <v>25000</v>
      </c>
      <c r="F1319" s="627">
        <f t="shared" si="157"/>
        <v>100</v>
      </c>
      <c r="G1319" s="603">
        <v>25000</v>
      </c>
      <c r="H1319" s="581">
        <v>25000</v>
      </c>
      <c r="I1319" s="582">
        <f>H1319/G1319*100</f>
        <v>100</v>
      </c>
      <c r="J1319" s="603"/>
      <c r="K1319" s="586"/>
      <c r="L1319" s="628"/>
      <c r="M1319" s="581"/>
      <c r="N1319" s="581"/>
      <c r="O1319" s="649"/>
      <c r="P1319" s="581"/>
      <c r="Q1319" s="581"/>
      <c r="R1319" s="653"/>
      <c r="S1319" s="564"/>
      <c r="T1319" s="564"/>
      <c r="U1319" s="564"/>
      <c r="V1319" s="564"/>
      <c r="W1319" s="565"/>
      <c r="X1319" s="565"/>
      <c r="Y1319" s="565"/>
      <c r="Z1319" s="565"/>
    </row>
    <row r="1320" spans="1:26" s="639" customFormat="1" ht="13.5" customHeight="1">
      <c r="A1320" s="647">
        <v>4480</v>
      </c>
      <c r="B1320" s="828" t="s">
        <v>205</v>
      </c>
      <c r="C1320" s="603">
        <v>2050</v>
      </c>
      <c r="D1320" s="581">
        <f t="shared" si="158"/>
        <v>2050</v>
      </c>
      <c r="E1320" s="581">
        <f t="shared" si="155"/>
        <v>537</v>
      </c>
      <c r="F1320" s="627">
        <f t="shared" si="157"/>
        <v>26.195121951219512</v>
      </c>
      <c r="G1320" s="603"/>
      <c r="H1320" s="581"/>
      <c r="I1320" s="582"/>
      <c r="J1320" s="603">
        <v>2050</v>
      </c>
      <c r="K1320" s="586">
        <v>537</v>
      </c>
      <c r="L1320" s="628">
        <f t="shared" si="160"/>
        <v>26.195121951219512</v>
      </c>
      <c r="M1320" s="581"/>
      <c r="N1320" s="581"/>
      <c r="O1320" s="649"/>
      <c r="P1320" s="581"/>
      <c r="Q1320" s="581"/>
      <c r="R1320" s="653"/>
      <c r="S1320" s="564"/>
      <c r="T1320" s="564"/>
      <c r="U1320" s="564"/>
      <c r="V1320" s="564"/>
      <c r="W1320" s="565"/>
      <c r="X1320" s="565"/>
      <c r="Y1320" s="565"/>
      <c r="Z1320" s="565"/>
    </row>
    <row r="1321" spans="1:26" s="639" customFormat="1" ht="36">
      <c r="A1321" s="647">
        <v>4610</v>
      </c>
      <c r="B1321" s="828" t="s">
        <v>811</v>
      </c>
      <c r="C1321" s="603">
        <v>4500</v>
      </c>
      <c r="D1321" s="581">
        <f>G1321+J1321+P1321+M1321</f>
        <v>4500</v>
      </c>
      <c r="E1321" s="581">
        <f>SUM(H1321+K1321+N1321+Q1321)</f>
        <v>0</v>
      </c>
      <c r="F1321" s="627">
        <f>E1321/D1321*100</f>
        <v>0</v>
      </c>
      <c r="G1321" s="603">
        <v>4500</v>
      </c>
      <c r="H1321" s="581"/>
      <c r="I1321" s="582">
        <f>H1321/G1321*100</f>
        <v>0</v>
      </c>
      <c r="J1321" s="603"/>
      <c r="K1321" s="586"/>
      <c r="L1321" s="628"/>
      <c r="M1321" s="581"/>
      <c r="N1321" s="581"/>
      <c r="O1321" s="649"/>
      <c r="P1321" s="581"/>
      <c r="Q1321" s="581"/>
      <c r="R1321" s="653"/>
      <c r="S1321" s="564"/>
      <c r="T1321" s="564"/>
      <c r="U1321" s="564"/>
      <c r="V1321" s="564"/>
      <c r="W1321" s="565"/>
      <c r="X1321" s="565"/>
      <c r="Y1321" s="565"/>
      <c r="Z1321" s="565"/>
    </row>
    <row r="1322" spans="1:26" s="639" customFormat="1" ht="35.25" customHeight="1">
      <c r="A1322" s="647">
        <v>4700</v>
      </c>
      <c r="B1322" s="828" t="s">
        <v>588</v>
      </c>
      <c r="C1322" s="603">
        <v>2000</v>
      </c>
      <c r="D1322" s="581">
        <f t="shared" si="158"/>
        <v>2000</v>
      </c>
      <c r="E1322" s="581">
        <f t="shared" si="155"/>
        <v>810</v>
      </c>
      <c r="F1322" s="627">
        <f t="shared" si="157"/>
        <v>40.5</v>
      </c>
      <c r="G1322" s="603">
        <v>1000</v>
      </c>
      <c r="H1322" s="581"/>
      <c r="I1322" s="582">
        <f>H1322/G1322*100</f>
        <v>0</v>
      </c>
      <c r="J1322" s="603">
        <v>1000</v>
      </c>
      <c r="K1322" s="586">
        <v>810</v>
      </c>
      <c r="L1322" s="628">
        <f t="shared" si="160"/>
        <v>81</v>
      </c>
      <c r="M1322" s="581"/>
      <c r="N1322" s="581"/>
      <c r="O1322" s="649"/>
      <c r="P1322" s="581"/>
      <c r="Q1322" s="581"/>
      <c r="R1322" s="653"/>
      <c r="S1322" s="564"/>
      <c r="T1322" s="564"/>
      <c r="U1322" s="564"/>
      <c r="V1322" s="564"/>
      <c r="W1322" s="565"/>
      <c r="X1322" s="565"/>
      <c r="Y1322" s="565"/>
      <c r="Z1322" s="565"/>
    </row>
    <row r="1323" spans="1:26" s="639" customFormat="1" ht="51.75" customHeight="1">
      <c r="A1323" s="647">
        <v>4740</v>
      </c>
      <c r="B1323" s="712" t="s">
        <v>215</v>
      </c>
      <c r="C1323" s="603">
        <v>7200</v>
      </c>
      <c r="D1323" s="581">
        <f t="shared" si="158"/>
        <v>7200</v>
      </c>
      <c r="E1323" s="581">
        <f>SUM(H1323+K1323+N1323+Q1323)</f>
        <v>0</v>
      </c>
      <c r="F1323" s="627">
        <f>E1323/D1323*100</f>
        <v>0</v>
      </c>
      <c r="G1323" s="603"/>
      <c r="H1323" s="581"/>
      <c r="I1323" s="582"/>
      <c r="J1323" s="603">
        <v>7200</v>
      </c>
      <c r="K1323" s="586"/>
      <c r="L1323" s="628">
        <f t="shared" si="160"/>
        <v>0</v>
      </c>
      <c r="M1323" s="581"/>
      <c r="N1323" s="581"/>
      <c r="O1323" s="649"/>
      <c r="P1323" s="581"/>
      <c r="Q1323" s="581"/>
      <c r="R1323" s="653"/>
      <c r="S1323" s="564"/>
      <c r="T1323" s="564"/>
      <c r="U1323" s="564"/>
      <c r="V1323" s="564"/>
      <c r="W1323" s="565"/>
      <c r="X1323" s="565"/>
      <c r="Y1323" s="565"/>
      <c r="Z1323" s="565"/>
    </row>
    <row r="1324" spans="1:26" s="639" customFormat="1" ht="36">
      <c r="A1324" s="647">
        <v>4750</v>
      </c>
      <c r="B1324" s="712" t="s">
        <v>589</v>
      </c>
      <c r="C1324" s="603">
        <v>8000</v>
      </c>
      <c r="D1324" s="581">
        <f>G1324+J1324+P1324+M1324</f>
        <v>8000</v>
      </c>
      <c r="E1324" s="581">
        <f>SUM(H1324+K1324+N1324+Q1324)</f>
        <v>0</v>
      </c>
      <c r="F1324" s="627">
        <f>E1324/D1324*100</f>
        <v>0</v>
      </c>
      <c r="G1324" s="603"/>
      <c r="H1324" s="581"/>
      <c r="I1324" s="582"/>
      <c r="J1324" s="603">
        <v>8000</v>
      </c>
      <c r="K1324" s="586"/>
      <c r="L1324" s="628">
        <f t="shared" si="160"/>
        <v>0</v>
      </c>
      <c r="M1324" s="581"/>
      <c r="N1324" s="581"/>
      <c r="O1324" s="649"/>
      <c r="P1324" s="581"/>
      <c r="Q1324" s="581"/>
      <c r="R1324" s="653"/>
      <c r="S1324" s="564"/>
      <c r="T1324" s="564"/>
      <c r="U1324" s="564"/>
      <c r="V1324" s="564"/>
      <c r="W1324" s="565"/>
      <c r="X1324" s="565"/>
      <c r="Y1324" s="565"/>
      <c r="Z1324" s="565"/>
    </row>
    <row r="1325" spans="1:26" s="639" customFormat="1" ht="36" hidden="1">
      <c r="A1325" s="647">
        <v>6050</v>
      </c>
      <c r="B1325" s="828" t="s">
        <v>225</v>
      </c>
      <c r="C1325" s="603"/>
      <c r="D1325" s="581">
        <f>G1325+J1325+P1325+M1325</f>
        <v>0</v>
      </c>
      <c r="E1325" s="581">
        <f>SUM(H1325+K1325+N1325+Q1325)</f>
        <v>0</v>
      </c>
      <c r="F1325" s="627" t="e">
        <f>E1325/D1325*100</f>
        <v>#DIV/0!</v>
      </c>
      <c r="G1325" s="603"/>
      <c r="H1325" s="581"/>
      <c r="I1325" s="629"/>
      <c r="J1325" s="603"/>
      <c r="K1325" s="586"/>
      <c r="L1325" s="628" t="e">
        <f t="shared" si="160"/>
        <v>#DIV/0!</v>
      </c>
      <c r="M1325" s="581"/>
      <c r="N1325" s="581"/>
      <c r="O1325" s="649"/>
      <c r="P1325" s="581"/>
      <c r="Q1325" s="581"/>
      <c r="R1325" s="653"/>
      <c r="S1325" s="564"/>
      <c r="T1325" s="564"/>
      <c r="U1325" s="564"/>
      <c r="V1325" s="564"/>
      <c r="W1325" s="565"/>
      <c r="X1325" s="565"/>
      <c r="Y1325" s="565"/>
      <c r="Z1325" s="565"/>
    </row>
    <row r="1326" spans="1:26" s="639" customFormat="1" ht="48" hidden="1">
      <c r="A1326" s="647">
        <v>6060</v>
      </c>
      <c r="B1326" s="828" t="s">
        <v>628</v>
      </c>
      <c r="C1326" s="674"/>
      <c r="D1326" s="675">
        <f t="shared" si="158"/>
        <v>0</v>
      </c>
      <c r="E1326" s="675">
        <f t="shared" si="155"/>
        <v>0</v>
      </c>
      <c r="F1326" s="644" t="e">
        <f t="shared" si="157"/>
        <v>#DIV/0!</v>
      </c>
      <c r="G1326" s="674">
        <f>200-200</f>
        <v>0</v>
      </c>
      <c r="H1326" s="675"/>
      <c r="I1326" s="710" t="e">
        <f>H1326/G1326*100</f>
        <v>#DIV/0!</v>
      </c>
      <c r="J1326" s="674"/>
      <c r="K1326" s="676"/>
      <c r="L1326" s="906" t="e">
        <f t="shared" si="160"/>
        <v>#DIV/0!</v>
      </c>
      <c r="M1326" s="675"/>
      <c r="N1326" s="675"/>
      <c r="O1326" s="689"/>
      <c r="P1326" s="675"/>
      <c r="Q1326" s="675"/>
      <c r="R1326" s="680"/>
      <c r="S1326" s="564"/>
      <c r="T1326" s="564"/>
      <c r="U1326" s="564"/>
      <c r="V1326" s="564"/>
      <c r="W1326" s="565"/>
      <c r="X1326" s="565"/>
      <c r="Y1326" s="565"/>
      <c r="Z1326" s="565"/>
    </row>
    <row r="1327" spans="1:26" s="639" customFormat="1" ht="88.5" customHeight="1">
      <c r="A1327" s="640">
        <v>85213</v>
      </c>
      <c r="B1327" s="856" t="s">
        <v>805</v>
      </c>
      <c r="C1327" s="608">
        <f>SUM(C1328)</f>
        <v>195000</v>
      </c>
      <c r="D1327" s="595">
        <f t="shared" si="158"/>
        <v>202000</v>
      </c>
      <c r="E1327" s="595">
        <f>H1327+K1327+Q1327+N1327</f>
        <v>51057</v>
      </c>
      <c r="F1327" s="907">
        <f t="shared" si="157"/>
        <v>25.275742574257425</v>
      </c>
      <c r="G1327" s="608">
        <f>SUM(G1328)</f>
        <v>157000</v>
      </c>
      <c r="H1327" s="595">
        <f>SUM(H1328)</f>
        <v>35692</v>
      </c>
      <c r="I1327" s="751">
        <f>H1327/G1327*100</f>
        <v>22.73375796178344</v>
      </c>
      <c r="J1327" s="600">
        <f>SUM(J1328+J1329)</f>
        <v>45000</v>
      </c>
      <c r="K1327" s="600">
        <f>SUM(K1328+K1329)</f>
        <v>15365</v>
      </c>
      <c r="L1327" s="602">
        <f t="shared" si="160"/>
        <v>34.144444444444446</v>
      </c>
      <c r="M1327" s="595"/>
      <c r="N1327" s="595"/>
      <c r="O1327" s="684"/>
      <c r="P1327" s="595"/>
      <c r="Q1327" s="595"/>
      <c r="R1327" s="685"/>
      <c r="S1327" s="564"/>
      <c r="T1327" s="564"/>
      <c r="U1327" s="564"/>
      <c r="V1327" s="564"/>
      <c r="W1327" s="565"/>
      <c r="X1327" s="565"/>
      <c r="Y1327" s="565"/>
      <c r="Z1327" s="565"/>
    </row>
    <row r="1328" spans="1:26" s="639" customFormat="1" ht="29.25" customHeight="1">
      <c r="A1328" s="667">
        <v>4130</v>
      </c>
      <c r="B1328" s="875" t="s">
        <v>741</v>
      </c>
      <c r="C1328" s="606">
        <v>195000</v>
      </c>
      <c r="D1328" s="615">
        <f t="shared" si="158"/>
        <v>202000</v>
      </c>
      <c r="E1328" s="615">
        <f t="shared" si="158"/>
        <v>51057</v>
      </c>
      <c r="F1328" s="904">
        <f t="shared" si="157"/>
        <v>25.275742574257425</v>
      </c>
      <c r="G1328" s="606">
        <f>150000-7000+14000</f>
        <v>157000</v>
      </c>
      <c r="H1328" s="615">
        <v>35692</v>
      </c>
      <c r="I1328" s="623">
        <f>H1328/G1328*100</f>
        <v>22.73375796178344</v>
      </c>
      <c r="J1328" s="615">
        <v>45000</v>
      </c>
      <c r="K1328" s="615">
        <v>15365</v>
      </c>
      <c r="L1328" s="590">
        <f t="shared" si="160"/>
        <v>34.144444444444446</v>
      </c>
      <c r="M1328" s="615"/>
      <c r="N1328" s="615"/>
      <c r="O1328" s="686"/>
      <c r="P1328" s="615"/>
      <c r="Q1328" s="615"/>
      <c r="R1328" s="671"/>
      <c r="S1328" s="564"/>
      <c r="T1328" s="564"/>
      <c r="U1328" s="564"/>
      <c r="V1328" s="564"/>
      <c r="W1328" s="565"/>
      <c r="X1328" s="565"/>
      <c r="Y1328" s="565"/>
      <c r="Z1328" s="565"/>
    </row>
    <row r="1329" spans="1:26" s="639" customFormat="1" ht="12.75" hidden="1">
      <c r="A1329" s="672">
        <v>4580</v>
      </c>
      <c r="B1329" s="877" t="s">
        <v>223</v>
      </c>
      <c r="C1329" s="674"/>
      <c r="D1329" s="675">
        <f t="shared" si="158"/>
        <v>0</v>
      </c>
      <c r="E1329" s="675">
        <f t="shared" si="158"/>
        <v>0</v>
      </c>
      <c r="F1329" s="905"/>
      <c r="G1329" s="674"/>
      <c r="H1329" s="675"/>
      <c r="I1329" s="710"/>
      <c r="J1329" s="796"/>
      <c r="K1329" s="675"/>
      <c r="L1329" s="679" t="e">
        <f t="shared" si="160"/>
        <v>#DIV/0!</v>
      </c>
      <c r="M1329" s="675"/>
      <c r="N1329" s="675"/>
      <c r="O1329" s="689"/>
      <c r="P1329" s="675"/>
      <c r="Q1329" s="675"/>
      <c r="R1329" s="680"/>
      <c r="S1329" s="564"/>
      <c r="T1329" s="564"/>
      <c r="U1329" s="564"/>
      <c r="V1329" s="564"/>
      <c r="W1329" s="565"/>
      <c r="X1329" s="565"/>
      <c r="Y1329" s="565"/>
      <c r="Z1329" s="565"/>
    </row>
    <row r="1330" spans="1:18" ht="48">
      <c r="A1330" s="640">
        <v>85214</v>
      </c>
      <c r="B1330" s="856" t="s">
        <v>806</v>
      </c>
      <c r="C1330" s="608">
        <f>SUM(C1331:C1332)</f>
        <v>4580950</v>
      </c>
      <c r="D1330" s="595">
        <f t="shared" si="158"/>
        <v>4580950</v>
      </c>
      <c r="E1330" s="595">
        <f t="shared" si="158"/>
        <v>1116239</v>
      </c>
      <c r="F1330" s="907">
        <f t="shared" si="157"/>
        <v>24.366976282212207</v>
      </c>
      <c r="G1330" s="608">
        <f>SUM(G1331:G1332)</f>
        <v>4580950</v>
      </c>
      <c r="H1330" s="595">
        <f>SUM(H1331:H1332)</f>
        <v>1116239</v>
      </c>
      <c r="I1330" s="751">
        <f aca="true" t="shared" si="161" ref="I1330:I1337">H1330/G1330*100</f>
        <v>24.366976282212207</v>
      </c>
      <c r="J1330" s="600"/>
      <c r="K1330" s="595"/>
      <c r="L1330" s="624"/>
      <c r="M1330" s="595"/>
      <c r="N1330" s="595"/>
      <c r="O1330" s="645"/>
      <c r="P1330" s="595"/>
      <c r="Q1330" s="595"/>
      <c r="R1330" s="731"/>
    </row>
    <row r="1331" spans="1:18" ht="19.5" customHeight="1">
      <c r="A1331" s="647">
        <v>3110</v>
      </c>
      <c r="B1331" s="828" t="s">
        <v>740</v>
      </c>
      <c r="C1331" s="603">
        <f>4578000+2000</f>
        <v>4580000</v>
      </c>
      <c r="D1331" s="581">
        <f t="shared" si="158"/>
        <v>4580000</v>
      </c>
      <c r="E1331" s="581">
        <f t="shared" si="158"/>
        <v>1116239</v>
      </c>
      <c r="F1331" s="876">
        <f t="shared" si="157"/>
        <v>24.37203056768559</v>
      </c>
      <c r="G1331" s="603">
        <f>2000+4578000</f>
        <v>4580000</v>
      </c>
      <c r="H1331" s="581">
        <v>1116239</v>
      </c>
      <c r="I1331" s="629">
        <f t="shared" si="161"/>
        <v>24.37203056768559</v>
      </c>
      <c r="J1331" s="586"/>
      <c r="K1331" s="581"/>
      <c r="L1331" s="627"/>
      <c r="M1331" s="581"/>
      <c r="N1331" s="581"/>
      <c r="O1331" s="649"/>
      <c r="P1331" s="581"/>
      <c r="Q1331" s="581"/>
      <c r="R1331" s="653"/>
    </row>
    <row r="1332" spans="1:25" ht="27" customHeight="1">
      <c r="A1332" s="647">
        <v>4110</v>
      </c>
      <c r="B1332" s="828" t="s">
        <v>187</v>
      </c>
      <c r="C1332" s="603">
        <v>950</v>
      </c>
      <c r="D1332" s="581">
        <f t="shared" si="158"/>
        <v>950</v>
      </c>
      <c r="E1332" s="581">
        <f>SUM(H1332+K1332+N1332+Q1332)</f>
        <v>0</v>
      </c>
      <c r="F1332" s="876">
        <f t="shared" si="157"/>
        <v>0</v>
      </c>
      <c r="G1332" s="603">
        <v>950</v>
      </c>
      <c r="H1332" s="581"/>
      <c r="I1332" s="629">
        <f t="shared" si="161"/>
        <v>0</v>
      </c>
      <c r="J1332" s="586"/>
      <c r="K1332" s="581"/>
      <c r="L1332" s="585"/>
      <c r="M1332" s="581"/>
      <c r="N1332" s="581"/>
      <c r="O1332" s="585"/>
      <c r="P1332" s="581"/>
      <c r="Q1332" s="581"/>
      <c r="R1332" s="653"/>
      <c r="U1332" s="564"/>
      <c r="V1332" s="564"/>
      <c r="W1332" s="565"/>
      <c r="X1332" s="565"/>
      <c r="Y1332" s="565"/>
    </row>
    <row r="1333" spans="1:18" ht="16.5" customHeight="1">
      <c r="A1333" s="640">
        <v>85215</v>
      </c>
      <c r="B1333" s="856" t="s">
        <v>807</v>
      </c>
      <c r="C1333" s="608">
        <f>SUM(C1335)</f>
        <v>3060000</v>
      </c>
      <c r="D1333" s="595">
        <f t="shared" si="158"/>
        <v>3060000</v>
      </c>
      <c r="E1333" s="595">
        <f>H1333+K1333+Q1333+N1333</f>
        <v>837138</v>
      </c>
      <c r="F1333" s="907">
        <f>E1333/D1333*100</f>
        <v>27.357450980392155</v>
      </c>
      <c r="G1333" s="730">
        <f>SUM(G1334:G1335)</f>
        <v>3060000</v>
      </c>
      <c r="H1333" s="595">
        <f>SUM(H1334:H1335)</f>
        <v>837138</v>
      </c>
      <c r="I1333" s="751">
        <f t="shared" si="161"/>
        <v>27.357450980392155</v>
      </c>
      <c r="J1333" s="600"/>
      <c r="K1333" s="595"/>
      <c r="L1333" s="601"/>
      <c r="M1333" s="595"/>
      <c r="N1333" s="595"/>
      <c r="O1333" s="645"/>
      <c r="P1333" s="595"/>
      <c r="Q1333" s="595"/>
      <c r="R1333" s="731"/>
    </row>
    <row r="1334" spans="1:18" ht="78" customHeight="1" hidden="1">
      <c r="A1334" s="667">
        <v>2910</v>
      </c>
      <c r="B1334" s="875" t="s">
        <v>808</v>
      </c>
      <c r="C1334" s="606"/>
      <c r="D1334" s="615">
        <f t="shared" si="158"/>
        <v>0</v>
      </c>
      <c r="E1334" s="615">
        <f>SUM(H1334+K1334+N1334+Q1334)</f>
        <v>0</v>
      </c>
      <c r="F1334" s="904" t="e">
        <f>E1334/D1334*100</f>
        <v>#DIV/0!</v>
      </c>
      <c r="G1334" s="606"/>
      <c r="H1334" s="615"/>
      <c r="I1334" s="623" t="e">
        <f t="shared" si="161"/>
        <v>#DIV/0!</v>
      </c>
      <c r="J1334" s="618"/>
      <c r="K1334" s="615"/>
      <c r="L1334" s="619"/>
      <c r="M1334" s="615"/>
      <c r="N1334" s="615"/>
      <c r="O1334" s="686"/>
      <c r="P1334" s="615"/>
      <c r="Q1334" s="615"/>
      <c r="R1334" s="671"/>
    </row>
    <row r="1335" spans="1:26" s="639" customFormat="1" ht="15.75" customHeight="1">
      <c r="A1335" s="647">
        <v>3110</v>
      </c>
      <c r="B1335" s="828" t="s">
        <v>740</v>
      </c>
      <c r="C1335" s="674">
        <v>3060000</v>
      </c>
      <c r="D1335" s="675">
        <f t="shared" si="158"/>
        <v>3060000</v>
      </c>
      <c r="E1335" s="675">
        <f>SUM(H1335+K1335+N1335+Q1335)</f>
        <v>837138</v>
      </c>
      <c r="F1335" s="905">
        <f aca="true" t="shared" si="162" ref="F1335:F1397">E1335/D1335*100</f>
        <v>27.357450980392155</v>
      </c>
      <c r="G1335" s="674">
        <v>3060000</v>
      </c>
      <c r="H1335" s="675">
        <v>837138</v>
      </c>
      <c r="I1335" s="710">
        <f t="shared" si="161"/>
        <v>27.357450980392155</v>
      </c>
      <c r="J1335" s="676"/>
      <c r="K1335" s="675"/>
      <c r="L1335" s="677"/>
      <c r="M1335" s="675"/>
      <c r="N1335" s="675"/>
      <c r="O1335" s="689"/>
      <c r="P1335" s="675"/>
      <c r="Q1335" s="675"/>
      <c r="R1335" s="680"/>
      <c r="S1335" s="564"/>
      <c r="T1335" s="564"/>
      <c r="U1335" s="564"/>
      <c r="V1335" s="564"/>
      <c r="W1335" s="565"/>
      <c r="X1335" s="565"/>
      <c r="Y1335" s="565"/>
      <c r="Z1335" s="565"/>
    </row>
    <row r="1336" spans="1:26" s="639" customFormat="1" ht="12.75">
      <c r="A1336" s="640">
        <v>85216</v>
      </c>
      <c r="B1336" s="856" t="s">
        <v>380</v>
      </c>
      <c r="C1336" s="608">
        <f>SUM(C1337)</f>
        <v>1667000</v>
      </c>
      <c r="D1336" s="595">
        <f aca="true" t="shared" si="163" ref="D1336:D1407">G1336+J1336+P1336+M1336</f>
        <v>1614000</v>
      </c>
      <c r="E1336" s="595">
        <f>H1336+K1336+Q1336+N1336</f>
        <v>412295</v>
      </c>
      <c r="F1336" s="907">
        <f t="shared" si="162"/>
        <v>25.544919454770753</v>
      </c>
      <c r="G1336" s="608">
        <f>SUM(G1337)</f>
        <v>1614000</v>
      </c>
      <c r="H1336" s="595">
        <f>SUM(H1337)</f>
        <v>412295</v>
      </c>
      <c r="I1336" s="908">
        <f t="shared" si="161"/>
        <v>25.544919454770753</v>
      </c>
      <c r="J1336" s="600"/>
      <c r="K1336" s="600"/>
      <c r="L1336" s="682"/>
      <c r="M1336" s="595"/>
      <c r="N1336" s="595"/>
      <c r="O1336" s="645"/>
      <c r="P1336" s="595"/>
      <c r="Q1336" s="595"/>
      <c r="R1336" s="602"/>
      <c r="S1336" s="564"/>
      <c r="T1336" s="564"/>
      <c r="U1336" s="564"/>
      <c r="V1336" s="564"/>
      <c r="W1336" s="565"/>
      <c r="X1336" s="565"/>
      <c r="Y1336" s="565"/>
      <c r="Z1336" s="565"/>
    </row>
    <row r="1337" spans="1:26" s="639" customFormat="1" ht="15.75" customHeight="1">
      <c r="A1337" s="732">
        <v>3110</v>
      </c>
      <c r="B1337" s="909" t="s">
        <v>740</v>
      </c>
      <c r="C1337" s="603">
        <v>1667000</v>
      </c>
      <c r="D1337" s="735">
        <f t="shared" si="163"/>
        <v>1614000</v>
      </c>
      <c r="E1337" s="581">
        <f>SUM(H1337+K1337+N1337+Q1337)</f>
        <v>412295</v>
      </c>
      <c r="F1337" s="907">
        <f t="shared" si="162"/>
        <v>25.544919454770753</v>
      </c>
      <c r="G1337" s="734">
        <f>1667000-53000</f>
        <v>1614000</v>
      </c>
      <c r="H1337" s="735">
        <v>412295</v>
      </c>
      <c r="I1337" s="710">
        <f t="shared" si="161"/>
        <v>25.544919454770753</v>
      </c>
      <c r="J1337" s="736"/>
      <c r="K1337" s="735"/>
      <c r="L1337" s="602"/>
      <c r="M1337" s="735"/>
      <c r="N1337" s="735"/>
      <c r="O1337" s="645"/>
      <c r="P1337" s="735"/>
      <c r="Q1337" s="735"/>
      <c r="R1337" s="602"/>
      <c r="S1337" s="564"/>
      <c r="T1337" s="564"/>
      <c r="U1337" s="564"/>
      <c r="V1337" s="564"/>
      <c r="W1337" s="565"/>
      <c r="X1337" s="565"/>
      <c r="Y1337" s="565"/>
      <c r="Z1337" s="565"/>
    </row>
    <row r="1338" spans="1:26" s="639" customFormat="1" ht="24">
      <c r="A1338" s="640">
        <v>85218</v>
      </c>
      <c r="B1338" s="856" t="s">
        <v>809</v>
      </c>
      <c r="C1338" s="608">
        <f>SUM(C1339:C1354)</f>
        <v>666922</v>
      </c>
      <c r="D1338" s="595">
        <f t="shared" si="163"/>
        <v>680422</v>
      </c>
      <c r="E1338" s="595">
        <f>H1338+K1338+Q1338+N1338</f>
        <v>163291</v>
      </c>
      <c r="F1338" s="907">
        <f t="shared" si="162"/>
        <v>23.998489172895642</v>
      </c>
      <c r="G1338" s="608"/>
      <c r="H1338" s="595"/>
      <c r="I1338" s="731"/>
      <c r="J1338" s="600"/>
      <c r="K1338" s="595"/>
      <c r="L1338" s="601"/>
      <c r="M1338" s="595">
        <f>SUM(M1339:M1354)</f>
        <v>680422</v>
      </c>
      <c r="N1338" s="595">
        <f>SUM(N1339:N1354)</f>
        <v>163291</v>
      </c>
      <c r="O1338" s="624">
        <f aca="true" t="shared" si="164" ref="O1338:O1354">N1338/M1338*100</f>
        <v>23.998489172895642</v>
      </c>
      <c r="P1338" s="595"/>
      <c r="Q1338" s="595"/>
      <c r="R1338" s="602"/>
      <c r="S1338" s="564"/>
      <c r="T1338" s="564"/>
      <c r="U1338" s="564"/>
      <c r="V1338" s="564"/>
      <c r="W1338" s="565"/>
      <c r="X1338" s="565"/>
      <c r="Y1338" s="565"/>
      <c r="Z1338" s="565"/>
    </row>
    <row r="1339" spans="1:26" ht="27.75" customHeight="1">
      <c r="A1339" s="647">
        <v>4010</v>
      </c>
      <c r="B1339" s="828" t="s">
        <v>703</v>
      </c>
      <c r="C1339" s="603">
        <v>471592</v>
      </c>
      <c r="D1339" s="581">
        <f t="shared" si="163"/>
        <v>485092</v>
      </c>
      <c r="E1339" s="581">
        <f aca="true" t="shared" si="165" ref="E1339:E1354">SUM(H1339+K1339+N1339+Q1339)</f>
        <v>90247</v>
      </c>
      <c r="F1339" s="876">
        <f t="shared" si="162"/>
        <v>18.604099840854932</v>
      </c>
      <c r="G1339" s="603"/>
      <c r="H1339" s="581"/>
      <c r="I1339" s="653"/>
      <c r="J1339" s="586"/>
      <c r="K1339" s="581"/>
      <c r="L1339" s="587"/>
      <c r="M1339" s="603">
        <f>471592+13500</f>
        <v>485092</v>
      </c>
      <c r="N1339" s="581">
        <v>90247</v>
      </c>
      <c r="O1339" s="627">
        <f t="shared" si="164"/>
        <v>18.604099840854932</v>
      </c>
      <c r="P1339" s="586"/>
      <c r="Q1339" s="581"/>
      <c r="R1339" s="585"/>
      <c r="U1339" s="564"/>
      <c r="V1339" s="564"/>
      <c r="W1339" s="565"/>
      <c r="X1339" s="565"/>
      <c r="Y1339" s="565"/>
      <c r="Z1339" s="565"/>
    </row>
    <row r="1340" spans="1:26" ht="24">
      <c r="A1340" s="647">
        <v>4040</v>
      </c>
      <c r="B1340" s="828" t="s">
        <v>249</v>
      </c>
      <c r="C1340" s="603">
        <v>35658</v>
      </c>
      <c r="D1340" s="581">
        <f t="shared" si="163"/>
        <v>35658</v>
      </c>
      <c r="E1340" s="581">
        <f>H1340+K1340+Q1340+N1340</f>
        <v>35658</v>
      </c>
      <c r="F1340" s="876">
        <f t="shared" si="162"/>
        <v>100</v>
      </c>
      <c r="G1340" s="603"/>
      <c r="H1340" s="581"/>
      <c r="I1340" s="653"/>
      <c r="J1340" s="586"/>
      <c r="K1340" s="581"/>
      <c r="L1340" s="587"/>
      <c r="M1340" s="603">
        <v>35658</v>
      </c>
      <c r="N1340" s="581">
        <v>35658</v>
      </c>
      <c r="O1340" s="627">
        <f t="shared" si="164"/>
        <v>100</v>
      </c>
      <c r="P1340" s="586"/>
      <c r="Q1340" s="581"/>
      <c r="R1340" s="585"/>
      <c r="U1340" s="564"/>
      <c r="V1340" s="564"/>
      <c r="W1340" s="565"/>
      <c r="X1340" s="565"/>
      <c r="Y1340" s="565"/>
      <c r="Z1340" s="565"/>
    </row>
    <row r="1341" spans="1:26" s="639" customFormat="1" ht="28.5" customHeight="1">
      <c r="A1341" s="647">
        <v>4110</v>
      </c>
      <c r="B1341" s="828" t="s">
        <v>187</v>
      </c>
      <c r="C1341" s="603">
        <v>83544</v>
      </c>
      <c r="D1341" s="581">
        <f t="shared" si="163"/>
        <v>83544</v>
      </c>
      <c r="E1341" s="581">
        <f t="shared" si="165"/>
        <v>15987</v>
      </c>
      <c r="F1341" s="876">
        <f t="shared" si="162"/>
        <v>19.13602413099684</v>
      </c>
      <c r="G1341" s="603"/>
      <c r="H1341" s="581"/>
      <c r="I1341" s="653"/>
      <c r="J1341" s="586"/>
      <c r="K1341" s="581"/>
      <c r="L1341" s="587"/>
      <c r="M1341" s="603">
        <v>83544</v>
      </c>
      <c r="N1341" s="581">
        <v>15987</v>
      </c>
      <c r="O1341" s="627">
        <f t="shared" si="164"/>
        <v>19.13602413099684</v>
      </c>
      <c r="P1341" s="586"/>
      <c r="Q1341" s="581"/>
      <c r="R1341" s="585"/>
      <c r="S1341" s="482"/>
      <c r="T1341" s="482"/>
      <c r="U1341" s="564"/>
      <c r="V1341" s="564"/>
      <c r="W1341" s="565"/>
      <c r="X1341" s="565"/>
      <c r="Y1341" s="565"/>
      <c r="Z1341" s="565"/>
    </row>
    <row r="1342" spans="1:26" s="639" customFormat="1" ht="15" customHeight="1">
      <c r="A1342" s="647">
        <v>4120</v>
      </c>
      <c r="B1342" s="828" t="s">
        <v>619</v>
      </c>
      <c r="C1342" s="603">
        <v>12428</v>
      </c>
      <c r="D1342" s="581">
        <f t="shared" si="163"/>
        <v>12428</v>
      </c>
      <c r="E1342" s="581">
        <f t="shared" si="165"/>
        <v>2378</v>
      </c>
      <c r="F1342" s="876">
        <f t="shared" si="162"/>
        <v>19.13421306726746</v>
      </c>
      <c r="G1342" s="603"/>
      <c r="H1342" s="581"/>
      <c r="I1342" s="653"/>
      <c r="J1342" s="586"/>
      <c r="K1342" s="581"/>
      <c r="L1342" s="587"/>
      <c r="M1342" s="603">
        <v>12428</v>
      </c>
      <c r="N1342" s="581">
        <v>2378</v>
      </c>
      <c r="O1342" s="627">
        <f t="shared" si="164"/>
        <v>19.13421306726746</v>
      </c>
      <c r="P1342" s="586"/>
      <c r="Q1342" s="581"/>
      <c r="R1342" s="585"/>
      <c r="S1342" s="482"/>
      <c r="T1342" s="482"/>
      <c r="U1342" s="564"/>
      <c r="V1342" s="564"/>
      <c r="W1342" s="565"/>
      <c r="X1342" s="565"/>
      <c r="Y1342" s="565"/>
      <c r="Z1342" s="565"/>
    </row>
    <row r="1343" spans="1:18" ht="24">
      <c r="A1343" s="647">
        <v>4210</v>
      </c>
      <c r="B1343" s="828" t="s">
        <v>191</v>
      </c>
      <c r="C1343" s="603">
        <v>8200</v>
      </c>
      <c r="D1343" s="581">
        <f t="shared" si="163"/>
        <v>8200</v>
      </c>
      <c r="E1343" s="581">
        <f t="shared" si="165"/>
        <v>1569</v>
      </c>
      <c r="F1343" s="876">
        <f t="shared" si="162"/>
        <v>19.134146341463413</v>
      </c>
      <c r="G1343" s="603"/>
      <c r="H1343" s="581"/>
      <c r="I1343" s="653"/>
      <c r="J1343" s="586"/>
      <c r="K1343" s="581"/>
      <c r="L1343" s="587"/>
      <c r="M1343" s="603">
        <v>8200</v>
      </c>
      <c r="N1343" s="581">
        <v>1569</v>
      </c>
      <c r="O1343" s="627">
        <f t="shared" si="164"/>
        <v>19.134146341463413</v>
      </c>
      <c r="P1343" s="586"/>
      <c r="Q1343" s="581"/>
      <c r="R1343" s="585"/>
    </row>
    <row r="1344" spans="1:18" ht="15" customHeight="1">
      <c r="A1344" s="647">
        <v>4260</v>
      </c>
      <c r="B1344" s="828" t="s">
        <v>195</v>
      </c>
      <c r="C1344" s="603">
        <v>21800</v>
      </c>
      <c r="D1344" s="581">
        <f t="shared" si="163"/>
        <v>21800</v>
      </c>
      <c r="E1344" s="581">
        <f t="shared" si="165"/>
        <v>0</v>
      </c>
      <c r="F1344" s="876">
        <f t="shared" si="162"/>
        <v>0</v>
      </c>
      <c r="G1344" s="603"/>
      <c r="H1344" s="581"/>
      <c r="I1344" s="653"/>
      <c r="J1344" s="586"/>
      <c r="K1344" s="581"/>
      <c r="L1344" s="587"/>
      <c r="M1344" s="603">
        <v>21800</v>
      </c>
      <c r="N1344" s="581"/>
      <c r="O1344" s="627">
        <f t="shared" si="164"/>
        <v>0</v>
      </c>
      <c r="P1344" s="586"/>
      <c r="Q1344" s="581"/>
      <c r="R1344" s="585"/>
    </row>
    <row r="1345" spans="1:18" ht="15" customHeight="1">
      <c r="A1345" s="647">
        <v>4280</v>
      </c>
      <c r="B1345" s="828" t="s">
        <v>582</v>
      </c>
      <c r="C1345" s="603">
        <v>1200</v>
      </c>
      <c r="D1345" s="581">
        <f>G1345+J1345+P1345+M1345</f>
        <v>1200</v>
      </c>
      <c r="E1345" s="581">
        <f>SUM(H1345+K1345+N1345+Q1345)</f>
        <v>230</v>
      </c>
      <c r="F1345" s="876">
        <f t="shared" si="162"/>
        <v>19.166666666666668</v>
      </c>
      <c r="G1345" s="603"/>
      <c r="H1345" s="581"/>
      <c r="I1345" s="653"/>
      <c r="J1345" s="586"/>
      <c r="K1345" s="581"/>
      <c r="L1345" s="587"/>
      <c r="M1345" s="603">
        <v>1200</v>
      </c>
      <c r="N1345" s="581">
        <v>230</v>
      </c>
      <c r="O1345" s="627">
        <f t="shared" si="164"/>
        <v>19.166666666666668</v>
      </c>
      <c r="P1345" s="586"/>
      <c r="Q1345" s="581"/>
      <c r="R1345" s="585"/>
    </row>
    <row r="1346" spans="1:18" ht="15" customHeight="1">
      <c r="A1346" s="647">
        <v>4300</v>
      </c>
      <c r="B1346" s="828" t="s">
        <v>583</v>
      </c>
      <c r="C1346" s="603">
        <v>4000</v>
      </c>
      <c r="D1346" s="581">
        <f t="shared" si="163"/>
        <v>4000</v>
      </c>
      <c r="E1346" s="581">
        <f t="shared" si="165"/>
        <v>1746</v>
      </c>
      <c r="F1346" s="876">
        <f t="shared" si="162"/>
        <v>43.65</v>
      </c>
      <c r="G1346" s="603"/>
      <c r="H1346" s="581"/>
      <c r="I1346" s="653"/>
      <c r="J1346" s="586"/>
      <c r="K1346" s="581"/>
      <c r="L1346" s="587"/>
      <c r="M1346" s="603">
        <v>4000</v>
      </c>
      <c r="N1346" s="581">
        <v>1746</v>
      </c>
      <c r="O1346" s="627">
        <f t="shared" si="164"/>
        <v>43.65</v>
      </c>
      <c r="P1346" s="586"/>
      <c r="Q1346" s="581"/>
      <c r="R1346" s="585"/>
    </row>
    <row r="1347" spans="1:18" ht="24">
      <c r="A1347" s="647">
        <v>4350</v>
      </c>
      <c r="B1347" s="828" t="s">
        <v>584</v>
      </c>
      <c r="C1347" s="603">
        <v>1100</v>
      </c>
      <c r="D1347" s="581">
        <f>G1347+J1347+P1347+M1347</f>
        <v>1100</v>
      </c>
      <c r="E1347" s="581">
        <f t="shared" si="165"/>
        <v>211</v>
      </c>
      <c r="F1347" s="876">
        <f t="shared" si="162"/>
        <v>19.18181818181818</v>
      </c>
      <c r="G1347" s="603"/>
      <c r="H1347" s="581"/>
      <c r="I1347" s="653"/>
      <c r="J1347" s="586"/>
      <c r="K1347" s="581"/>
      <c r="L1347" s="587"/>
      <c r="M1347" s="603">
        <v>1100</v>
      </c>
      <c r="N1347" s="581">
        <v>211</v>
      </c>
      <c r="O1347" s="627">
        <f t="shared" si="164"/>
        <v>19.18181818181818</v>
      </c>
      <c r="P1347" s="586"/>
      <c r="Q1347" s="581"/>
      <c r="R1347" s="585"/>
    </row>
    <row r="1348" spans="1:18" ht="57" customHeight="1">
      <c r="A1348" s="647">
        <v>4360</v>
      </c>
      <c r="B1348" s="712" t="s">
        <v>431</v>
      </c>
      <c r="C1348" s="603">
        <v>900</v>
      </c>
      <c r="D1348" s="581">
        <f>G1348+J1348+P1348+M1348</f>
        <v>900</v>
      </c>
      <c r="E1348" s="581">
        <f t="shared" si="165"/>
        <v>172</v>
      </c>
      <c r="F1348" s="876">
        <f>E1348/D1348*100</f>
        <v>19.11111111111111</v>
      </c>
      <c r="G1348" s="603"/>
      <c r="H1348" s="581"/>
      <c r="I1348" s="653"/>
      <c r="J1348" s="586"/>
      <c r="K1348" s="581"/>
      <c r="L1348" s="587"/>
      <c r="M1348" s="603">
        <v>900</v>
      </c>
      <c r="N1348" s="581">
        <v>172</v>
      </c>
      <c r="O1348" s="627">
        <f t="shared" si="164"/>
        <v>19.11111111111111</v>
      </c>
      <c r="P1348" s="586"/>
      <c r="Q1348" s="581"/>
      <c r="R1348" s="585"/>
    </row>
    <row r="1349" spans="1:18" ht="63" customHeight="1">
      <c r="A1349" s="647">
        <v>4370</v>
      </c>
      <c r="B1349" s="712" t="s">
        <v>432</v>
      </c>
      <c r="C1349" s="603">
        <v>9200</v>
      </c>
      <c r="D1349" s="581">
        <f>G1349+J1349+P1349+M1349</f>
        <v>9200</v>
      </c>
      <c r="E1349" s="581">
        <f t="shared" si="165"/>
        <v>1761</v>
      </c>
      <c r="F1349" s="876">
        <f>E1349/D1349*100</f>
        <v>19.14130434782609</v>
      </c>
      <c r="G1349" s="603"/>
      <c r="H1349" s="581"/>
      <c r="I1349" s="653"/>
      <c r="J1349" s="586"/>
      <c r="K1349" s="581"/>
      <c r="L1349" s="587"/>
      <c r="M1349" s="603">
        <v>9200</v>
      </c>
      <c r="N1349" s="581">
        <v>1761</v>
      </c>
      <c r="O1349" s="627">
        <f t="shared" si="164"/>
        <v>19.14130434782609</v>
      </c>
      <c r="P1349" s="586"/>
      <c r="Q1349" s="581"/>
      <c r="R1349" s="585"/>
    </row>
    <row r="1350" spans="1:18" ht="15" customHeight="1">
      <c r="A1350" s="647">
        <v>4410</v>
      </c>
      <c r="B1350" s="828" t="s">
        <v>173</v>
      </c>
      <c r="C1350" s="603">
        <v>1300</v>
      </c>
      <c r="D1350" s="581">
        <f t="shared" si="163"/>
        <v>1300</v>
      </c>
      <c r="E1350" s="581">
        <f t="shared" si="165"/>
        <v>0</v>
      </c>
      <c r="F1350" s="876">
        <f>E1350/D1350*100</f>
        <v>0</v>
      </c>
      <c r="G1350" s="603"/>
      <c r="H1350" s="581"/>
      <c r="I1350" s="653"/>
      <c r="J1350" s="586"/>
      <c r="K1350" s="581"/>
      <c r="L1350" s="587"/>
      <c r="M1350" s="603">
        <v>1300</v>
      </c>
      <c r="N1350" s="581"/>
      <c r="O1350" s="627">
        <f t="shared" si="164"/>
        <v>0</v>
      </c>
      <c r="P1350" s="586"/>
      <c r="Q1350" s="581"/>
      <c r="R1350" s="585"/>
    </row>
    <row r="1351" spans="1:18" ht="15" customHeight="1">
      <c r="A1351" s="647">
        <v>4440</v>
      </c>
      <c r="B1351" s="828" t="s">
        <v>203</v>
      </c>
      <c r="C1351" s="603">
        <v>12700</v>
      </c>
      <c r="D1351" s="581">
        <f t="shared" si="163"/>
        <v>12700</v>
      </c>
      <c r="E1351" s="581">
        <f t="shared" si="165"/>
        <v>12700</v>
      </c>
      <c r="F1351" s="876">
        <f t="shared" si="162"/>
        <v>100</v>
      </c>
      <c r="G1351" s="603"/>
      <c r="H1351" s="581"/>
      <c r="I1351" s="653"/>
      <c r="J1351" s="586"/>
      <c r="K1351" s="586"/>
      <c r="L1351" s="587"/>
      <c r="M1351" s="603">
        <v>12700</v>
      </c>
      <c r="N1351" s="581">
        <v>12700</v>
      </c>
      <c r="O1351" s="627">
        <f t="shared" si="164"/>
        <v>100</v>
      </c>
      <c r="P1351" s="586"/>
      <c r="Q1351" s="581"/>
      <c r="R1351" s="585"/>
    </row>
    <row r="1352" spans="1:18" ht="47.25" customHeight="1">
      <c r="A1352" s="647">
        <v>4740</v>
      </c>
      <c r="B1352" s="712" t="s">
        <v>215</v>
      </c>
      <c r="C1352" s="603">
        <v>2700</v>
      </c>
      <c r="D1352" s="581">
        <f t="shared" si="163"/>
        <v>2700</v>
      </c>
      <c r="E1352" s="581">
        <f t="shared" si="165"/>
        <v>517</v>
      </c>
      <c r="F1352" s="876">
        <f>E1352/D1352*100</f>
        <v>19.14814814814815</v>
      </c>
      <c r="G1352" s="603"/>
      <c r="H1352" s="581"/>
      <c r="I1352" s="653"/>
      <c r="J1352" s="586"/>
      <c r="K1352" s="586"/>
      <c r="L1352" s="587"/>
      <c r="M1352" s="603">
        <v>2700</v>
      </c>
      <c r="N1352" s="581">
        <v>517</v>
      </c>
      <c r="O1352" s="627">
        <f t="shared" si="164"/>
        <v>19.14814814814815</v>
      </c>
      <c r="P1352" s="586"/>
      <c r="Q1352" s="581"/>
      <c r="R1352" s="585"/>
    </row>
    <row r="1353" spans="1:18" ht="36">
      <c r="A1353" s="647">
        <v>4750</v>
      </c>
      <c r="B1353" s="712" t="s">
        <v>589</v>
      </c>
      <c r="C1353" s="603">
        <v>600</v>
      </c>
      <c r="D1353" s="581">
        <f t="shared" si="163"/>
        <v>600</v>
      </c>
      <c r="E1353" s="581">
        <f t="shared" si="165"/>
        <v>115</v>
      </c>
      <c r="F1353" s="876">
        <f>E1353/D1353*100</f>
        <v>19.166666666666668</v>
      </c>
      <c r="G1353" s="603"/>
      <c r="H1353" s="581"/>
      <c r="I1353" s="653"/>
      <c r="J1353" s="586"/>
      <c r="K1353" s="586"/>
      <c r="L1353" s="587"/>
      <c r="M1353" s="603">
        <v>600</v>
      </c>
      <c r="N1353" s="581">
        <v>115</v>
      </c>
      <c r="O1353" s="627">
        <f t="shared" si="164"/>
        <v>19.166666666666668</v>
      </c>
      <c r="P1353" s="586"/>
      <c r="Q1353" s="581"/>
      <c r="R1353" s="585"/>
    </row>
    <row r="1354" spans="1:18" ht="38.25" customHeight="1" hidden="1">
      <c r="A1354" s="672">
        <v>6060</v>
      </c>
      <c r="B1354" s="877" t="s">
        <v>628</v>
      </c>
      <c r="C1354" s="674"/>
      <c r="D1354" s="675">
        <f t="shared" si="163"/>
        <v>0</v>
      </c>
      <c r="E1354" s="675">
        <f t="shared" si="165"/>
        <v>0</v>
      </c>
      <c r="F1354" s="905" t="e">
        <f t="shared" si="162"/>
        <v>#DIV/0!</v>
      </c>
      <c r="G1354" s="674"/>
      <c r="H1354" s="675"/>
      <c r="I1354" s="680"/>
      <c r="J1354" s="676"/>
      <c r="K1354" s="676"/>
      <c r="L1354" s="677"/>
      <c r="M1354" s="674"/>
      <c r="N1354" s="675"/>
      <c r="O1354" s="627" t="e">
        <f t="shared" si="164"/>
        <v>#DIV/0!</v>
      </c>
      <c r="P1354" s="676"/>
      <c r="Q1354" s="675"/>
      <c r="R1354" s="679"/>
    </row>
    <row r="1355" spans="1:18" ht="24.75" customHeight="1">
      <c r="A1355" s="640">
        <v>85219</v>
      </c>
      <c r="B1355" s="856" t="s">
        <v>810</v>
      </c>
      <c r="C1355" s="608">
        <f>SUM(C1356:C1387)</f>
        <v>6518648</v>
      </c>
      <c r="D1355" s="595">
        <f>G1355+J1355+P1355+M1355</f>
        <v>6509428</v>
      </c>
      <c r="E1355" s="595">
        <f>H1355+K1355+Q1355+N1355</f>
        <v>1842027</v>
      </c>
      <c r="F1355" s="907">
        <f t="shared" si="162"/>
        <v>28.297832006130186</v>
      </c>
      <c r="G1355" s="608">
        <f>SUM(G1356:G1387)</f>
        <v>6508963</v>
      </c>
      <c r="H1355" s="595">
        <f>SUM(H1356:H1387)</f>
        <v>1841577</v>
      </c>
      <c r="I1355" s="751">
        <f aca="true" t="shared" si="166" ref="I1355:I1387">H1355/G1355*100</f>
        <v>28.2929400581936</v>
      </c>
      <c r="J1355" s="600">
        <f>SUM(J1356:J1369)</f>
        <v>465</v>
      </c>
      <c r="K1355" s="600">
        <f>SUM(K1356:K1370)</f>
        <v>450</v>
      </c>
      <c r="L1355" s="602">
        <f>K1355/J1355*100</f>
        <v>96.7741935483871</v>
      </c>
      <c r="M1355" s="595"/>
      <c r="N1355" s="595"/>
      <c r="O1355" s="602"/>
      <c r="P1355" s="595"/>
      <c r="Q1355" s="595"/>
      <c r="R1355" s="731"/>
    </row>
    <row r="1356" spans="1:18" ht="36">
      <c r="A1356" s="667">
        <v>3020</v>
      </c>
      <c r="B1356" s="875" t="s">
        <v>736</v>
      </c>
      <c r="C1356" s="606">
        <v>13935</v>
      </c>
      <c r="D1356" s="615">
        <f t="shared" si="163"/>
        <v>13815</v>
      </c>
      <c r="E1356" s="615">
        <f>SUM(H1356+K1356+N1356+Q1356)</f>
        <v>752</v>
      </c>
      <c r="F1356" s="904">
        <f t="shared" si="162"/>
        <v>5.443358668114368</v>
      </c>
      <c r="G1356" s="606">
        <f>13935-120</f>
        <v>13815</v>
      </c>
      <c r="H1356" s="615">
        <v>752</v>
      </c>
      <c r="I1356" s="604">
        <f t="shared" si="166"/>
        <v>5.443358668114368</v>
      </c>
      <c r="J1356" s="618"/>
      <c r="K1356" s="615"/>
      <c r="L1356" s="590"/>
      <c r="M1356" s="615"/>
      <c r="N1356" s="615"/>
      <c r="O1356" s="590"/>
      <c r="P1356" s="615"/>
      <c r="Q1356" s="615"/>
      <c r="R1356" s="671"/>
    </row>
    <row r="1357" spans="1:18" ht="24">
      <c r="A1357" s="647">
        <v>3110</v>
      </c>
      <c r="B1357" s="828" t="s">
        <v>740</v>
      </c>
      <c r="C1357" s="603"/>
      <c r="D1357" s="581">
        <f>G1357+J1357+P1357+M1357</f>
        <v>465</v>
      </c>
      <c r="E1357" s="581">
        <f>SUM(H1357+K1357+N1357+Q1357)</f>
        <v>450</v>
      </c>
      <c r="F1357" s="876">
        <f>E1357/D1357*100</f>
        <v>96.7741935483871</v>
      </c>
      <c r="G1357" s="603"/>
      <c r="H1357" s="581"/>
      <c r="I1357" s="582"/>
      <c r="J1357" s="586">
        <v>465</v>
      </c>
      <c r="K1357" s="581">
        <v>450</v>
      </c>
      <c r="L1357" s="585">
        <f>K1357/J1357*100</f>
        <v>96.7741935483871</v>
      </c>
      <c r="M1357" s="581"/>
      <c r="N1357" s="581"/>
      <c r="O1357" s="585"/>
      <c r="P1357" s="581"/>
      <c r="Q1357" s="581"/>
      <c r="R1357" s="653"/>
    </row>
    <row r="1358" spans="1:26" ht="27.75" customHeight="1">
      <c r="A1358" s="647">
        <v>4010</v>
      </c>
      <c r="B1358" s="828" t="s">
        <v>703</v>
      </c>
      <c r="C1358" s="603">
        <v>4144082</v>
      </c>
      <c r="D1358" s="581">
        <f t="shared" si="163"/>
        <v>4173862</v>
      </c>
      <c r="E1358" s="581">
        <f>SUM(H1358+K1358+N1358+Q1358)</f>
        <v>1016772</v>
      </c>
      <c r="F1358" s="876">
        <f t="shared" si="162"/>
        <v>24.360460408130407</v>
      </c>
      <c r="G1358" s="603">
        <f>4144082-36720+66500</f>
        <v>4173862</v>
      </c>
      <c r="H1358" s="581">
        <v>1016772</v>
      </c>
      <c r="I1358" s="582">
        <f t="shared" si="166"/>
        <v>24.360460408130407</v>
      </c>
      <c r="J1358" s="586"/>
      <c r="K1358" s="581"/>
      <c r="L1358" s="585"/>
      <c r="M1358" s="581"/>
      <c r="N1358" s="581"/>
      <c r="O1358" s="585"/>
      <c r="P1358" s="581"/>
      <c r="Q1358" s="581"/>
      <c r="R1358" s="653"/>
      <c r="U1358" s="564"/>
      <c r="V1358" s="564"/>
      <c r="W1358" s="565"/>
      <c r="X1358" s="565"/>
      <c r="Y1358" s="565"/>
      <c r="Z1358" s="565"/>
    </row>
    <row r="1359" spans="1:26" ht="24">
      <c r="A1359" s="647">
        <v>4040</v>
      </c>
      <c r="B1359" s="828" t="s">
        <v>249</v>
      </c>
      <c r="C1359" s="603">
        <v>356507</v>
      </c>
      <c r="D1359" s="581">
        <f t="shared" si="163"/>
        <v>353382</v>
      </c>
      <c r="E1359" s="581">
        <f>SUM(H1359+K1359+N1359+Q1359)</f>
        <v>285538</v>
      </c>
      <c r="F1359" s="876">
        <f t="shared" si="162"/>
        <v>80.80151224453991</v>
      </c>
      <c r="G1359" s="603">
        <f>356507-3125</f>
        <v>353382</v>
      </c>
      <c r="H1359" s="581">
        <v>285538</v>
      </c>
      <c r="I1359" s="582">
        <f t="shared" si="166"/>
        <v>80.80151224453991</v>
      </c>
      <c r="J1359" s="586"/>
      <c r="K1359" s="581"/>
      <c r="L1359" s="585"/>
      <c r="M1359" s="581"/>
      <c r="N1359" s="581"/>
      <c r="O1359" s="585"/>
      <c r="P1359" s="581"/>
      <c r="Q1359" s="581"/>
      <c r="R1359" s="653"/>
      <c r="U1359" s="564"/>
      <c r="V1359" s="564"/>
      <c r="W1359" s="565"/>
      <c r="X1359" s="565"/>
      <c r="Y1359" s="565"/>
      <c r="Z1359" s="565"/>
    </row>
    <row r="1360" spans="1:26" ht="27" customHeight="1">
      <c r="A1360" s="647">
        <v>4110</v>
      </c>
      <c r="B1360" s="828" t="s">
        <v>187</v>
      </c>
      <c r="C1360" s="603">
        <v>744459</v>
      </c>
      <c r="D1360" s="581">
        <f t="shared" si="163"/>
        <v>737894</v>
      </c>
      <c r="E1360" s="581">
        <f aca="true" t="shared" si="167" ref="E1360:E1377">SUM(H1360+K1360+N1360+Q1360)</f>
        <v>208213</v>
      </c>
      <c r="F1360" s="876">
        <f t="shared" si="162"/>
        <v>28.217196507899512</v>
      </c>
      <c r="G1360" s="603">
        <f>744459-6565</f>
        <v>737894</v>
      </c>
      <c r="H1360" s="581">
        <v>208213</v>
      </c>
      <c r="I1360" s="582">
        <f t="shared" si="166"/>
        <v>28.217196507899512</v>
      </c>
      <c r="J1360" s="586"/>
      <c r="K1360" s="581"/>
      <c r="L1360" s="585"/>
      <c r="M1360" s="581"/>
      <c r="N1360" s="581"/>
      <c r="O1360" s="585"/>
      <c r="P1360" s="581"/>
      <c r="Q1360" s="581"/>
      <c r="R1360" s="653"/>
      <c r="U1360" s="564"/>
      <c r="V1360" s="564"/>
      <c r="W1360" s="565"/>
      <c r="X1360" s="565"/>
      <c r="Y1360" s="565"/>
      <c r="Z1360" s="565"/>
    </row>
    <row r="1361" spans="1:26" ht="12.75">
      <c r="A1361" s="647">
        <v>4120</v>
      </c>
      <c r="B1361" s="828" t="s">
        <v>619</v>
      </c>
      <c r="C1361" s="603">
        <v>110742</v>
      </c>
      <c r="D1361" s="581">
        <f t="shared" si="163"/>
        <v>110092</v>
      </c>
      <c r="E1361" s="581">
        <f t="shared" si="167"/>
        <v>25737</v>
      </c>
      <c r="F1361" s="876">
        <f t="shared" si="162"/>
        <v>23.377720451985613</v>
      </c>
      <c r="G1361" s="603">
        <f>110742-650</f>
        <v>110092</v>
      </c>
      <c r="H1361" s="581">
        <v>25737</v>
      </c>
      <c r="I1361" s="582">
        <f t="shared" si="166"/>
        <v>23.377720451985613</v>
      </c>
      <c r="J1361" s="586"/>
      <c r="K1361" s="581"/>
      <c r="L1361" s="585"/>
      <c r="M1361" s="581"/>
      <c r="N1361" s="581"/>
      <c r="O1361" s="585"/>
      <c r="P1361" s="581"/>
      <c r="Q1361" s="581"/>
      <c r="R1361" s="653"/>
      <c r="U1361" s="564"/>
      <c r="V1361" s="564"/>
      <c r="W1361" s="565"/>
      <c r="X1361" s="565"/>
      <c r="Y1361" s="565"/>
      <c r="Z1361" s="565"/>
    </row>
    <row r="1362" spans="1:18" ht="12.75">
      <c r="A1362" s="647">
        <v>4140</v>
      </c>
      <c r="B1362" s="828" t="s">
        <v>252</v>
      </c>
      <c r="C1362" s="603">
        <v>119335</v>
      </c>
      <c r="D1362" s="581">
        <f>G1362+J1362+P1362+M1362</f>
        <v>119335</v>
      </c>
      <c r="E1362" s="581">
        <f>SUM(H1362+K1362+N1362+Q1362)</f>
        <v>27413</v>
      </c>
      <c r="F1362" s="876">
        <f>E1362/D1362*100</f>
        <v>22.971466878954207</v>
      </c>
      <c r="G1362" s="603">
        <v>119335</v>
      </c>
      <c r="H1362" s="581">
        <v>27413</v>
      </c>
      <c r="I1362" s="582">
        <f t="shared" si="166"/>
        <v>22.971466878954207</v>
      </c>
      <c r="J1362" s="586"/>
      <c r="K1362" s="581"/>
      <c r="L1362" s="585"/>
      <c r="M1362" s="581"/>
      <c r="N1362" s="581"/>
      <c r="O1362" s="585"/>
      <c r="P1362" s="581"/>
      <c r="Q1362" s="581"/>
      <c r="R1362" s="653"/>
    </row>
    <row r="1363" spans="1:26" ht="24">
      <c r="A1363" s="647">
        <v>4170</v>
      </c>
      <c r="B1363" s="828" t="s">
        <v>221</v>
      </c>
      <c r="C1363" s="603">
        <v>19500</v>
      </c>
      <c r="D1363" s="581">
        <f t="shared" si="163"/>
        <v>19500</v>
      </c>
      <c r="E1363" s="581">
        <f t="shared" si="167"/>
        <v>2250</v>
      </c>
      <c r="F1363" s="876">
        <f t="shared" si="162"/>
        <v>11.538461538461538</v>
      </c>
      <c r="G1363" s="603">
        <v>19500</v>
      </c>
      <c r="H1363" s="581">
        <v>2250</v>
      </c>
      <c r="I1363" s="582">
        <f t="shared" si="166"/>
        <v>11.538461538461538</v>
      </c>
      <c r="J1363" s="586"/>
      <c r="K1363" s="581"/>
      <c r="L1363" s="585"/>
      <c r="M1363" s="581"/>
      <c r="N1363" s="581"/>
      <c r="O1363" s="585"/>
      <c r="P1363" s="581"/>
      <c r="Q1363" s="581"/>
      <c r="R1363" s="653"/>
      <c r="U1363" s="564"/>
      <c r="V1363" s="564"/>
      <c r="W1363" s="565"/>
      <c r="X1363" s="565"/>
      <c r="Y1363" s="565"/>
      <c r="Z1363" s="565"/>
    </row>
    <row r="1364" spans="1:18" ht="24">
      <c r="A1364" s="647">
        <v>4210</v>
      </c>
      <c r="B1364" s="828" t="s">
        <v>191</v>
      </c>
      <c r="C1364" s="603">
        <v>159300</v>
      </c>
      <c r="D1364" s="581">
        <f t="shared" si="163"/>
        <v>147300</v>
      </c>
      <c r="E1364" s="581">
        <f t="shared" si="167"/>
        <v>22952</v>
      </c>
      <c r="F1364" s="876">
        <f t="shared" si="162"/>
        <v>15.581805838424984</v>
      </c>
      <c r="G1364" s="603">
        <f>159300-12000</f>
        <v>147300</v>
      </c>
      <c r="H1364" s="581">
        <v>22952</v>
      </c>
      <c r="I1364" s="629">
        <f t="shared" si="166"/>
        <v>15.581805838424984</v>
      </c>
      <c r="J1364" s="586"/>
      <c r="K1364" s="581"/>
      <c r="L1364" s="585"/>
      <c r="M1364" s="581"/>
      <c r="N1364" s="581"/>
      <c r="O1364" s="585"/>
      <c r="P1364" s="581"/>
      <c r="Q1364" s="581"/>
      <c r="R1364" s="653"/>
    </row>
    <row r="1365" spans="1:18" ht="12.75">
      <c r="A1365" s="647">
        <v>4260</v>
      </c>
      <c r="B1365" s="828" t="s">
        <v>195</v>
      </c>
      <c r="C1365" s="603">
        <v>130018</v>
      </c>
      <c r="D1365" s="581">
        <f t="shared" si="163"/>
        <v>130018</v>
      </c>
      <c r="E1365" s="581">
        <f t="shared" si="167"/>
        <v>36513</v>
      </c>
      <c r="F1365" s="876">
        <f t="shared" si="162"/>
        <v>28.083034656739837</v>
      </c>
      <c r="G1365" s="603">
        <v>130018</v>
      </c>
      <c r="H1365" s="581">
        <v>36513</v>
      </c>
      <c r="I1365" s="629">
        <f t="shared" si="166"/>
        <v>28.083034656739837</v>
      </c>
      <c r="J1365" s="586"/>
      <c r="K1365" s="581"/>
      <c r="L1365" s="585"/>
      <c r="M1365" s="581"/>
      <c r="N1365" s="581"/>
      <c r="O1365" s="585"/>
      <c r="P1365" s="581"/>
      <c r="Q1365" s="581"/>
      <c r="R1365" s="653"/>
    </row>
    <row r="1366" spans="1:18" ht="15" customHeight="1">
      <c r="A1366" s="647">
        <v>4270</v>
      </c>
      <c r="B1366" s="828" t="s">
        <v>197</v>
      </c>
      <c r="C1366" s="603">
        <v>35000</v>
      </c>
      <c r="D1366" s="581">
        <f t="shared" si="163"/>
        <v>30000</v>
      </c>
      <c r="E1366" s="581">
        <f t="shared" si="167"/>
        <v>0</v>
      </c>
      <c r="F1366" s="876">
        <f t="shared" si="162"/>
        <v>0</v>
      </c>
      <c r="G1366" s="603">
        <f>35000-5000</f>
        <v>30000</v>
      </c>
      <c r="H1366" s="581"/>
      <c r="I1366" s="629">
        <f t="shared" si="166"/>
        <v>0</v>
      </c>
      <c r="J1366" s="586"/>
      <c r="K1366" s="581"/>
      <c r="L1366" s="585"/>
      <c r="M1366" s="581"/>
      <c r="N1366" s="581"/>
      <c r="O1366" s="585"/>
      <c r="P1366" s="581"/>
      <c r="Q1366" s="581"/>
      <c r="R1366" s="653"/>
    </row>
    <row r="1367" spans="1:18" ht="15" customHeight="1">
      <c r="A1367" s="647">
        <v>4280</v>
      </c>
      <c r="B1367" s="828" t="s">
        <v>582</v>
      </c>
      <c r="C1367" s="603">
        <v>3100</v>
      </c>
      <c r="D1367" s="581">
        <f t="shared" si="163"/>
        <v>3100</v>
      </c>
      <c r="E1367" s="581">
        <f t="shared" si="167"/>
        <v>889</v>
      </c>
      <c r="F1367" s="876">
        <f t="shared" si="162"/>
        <v>28.67741935483871</v>
      </c>
      <c r="G1367" s="603">
        <v>3100</v>
      </c>
      <c r="H1367" s="581">
        <v>889</v>
      </c>
      <c r="I1367" s="629">
        <f t="shared" si="166"/>
        <v>28.67741935483871</v>
      </c>
      <c r="J1367" s="586"/>
      <c r="K1367" s="581"/>
      <c r="L1367" s="585"/>
      <c r="M1367" s="581"/>
      <c r="N1367" s="581"/>
      <c r="O1367" s="585"/>
      <c r="P1367" s="581"/>
      <c r="Q1367" s="581"/>
      <c r="R1367" s="653"/>
    </row>
    <row r="1368" spans="1:18" ht="15" customHeight="1">
      <c r="A1368" s="647">
        <v>4300</v>
      </c>
      <c r="B1368" s="828" t="s">
        <v>583</v>
      </c>
      <c r="C1368" s="603">
        <v>282870</v>
      </c>
      <c r="D1368" s="581">
        <f t="shared" si="163"/>
        <v>263570</v>
      </c>
      <c r="E1368" s="581">
        <f t="shared" si="167"/>
        <v>71109</v>
      </c>
      <c r="F1368" s="876">
        <f t="shared" si="162"/>
        <v>26.979170618810944</v>
      </c>
      <c r="G1368" s="603">
        <f>282870-29300+10000</f>
        <v>263570</v>
      </c>
      <c r="H1368" s="581">
        <v>71109</v>
      </c>
      <c r="I1368" s="629">
        <f t="shared" si="166"/>
        <v>26.979170618810944</v>
      </c>
      <c r="J1368" s="586"/>
      <c r="K1368" s="581"/>
      <c r="L1368" s="585"/>
      <c r="M1368" s="581"/>
      <c r="N1368" s="581"/>
      <c r="O1368" s="585"/>
      <c r="P1368" s="581"/>
      <c r="Q1368" s="581"/>
      <c r="R1368" s="653"/>
    </row>
    <row r="1369" spans="1:18" ht="24">
      <c r="A1369" s="647">
        <v>4350</v>
      </c>
      <c r="B1369" s="828" t="s">
        <v>584</v>
      </c>
      <c r="C1369" s="603">
        <v>4400</v>
      </c>
      <c r="D1369" s="581">
        <f t="shared" si="163"/>
        <v>4400</v>
      </c>
      <c r="E1369" s="581">
        <f t="shared" si="167"/>
        <v>819</v>
      </c>
      <c r="F1369" s="876">
        <f t="shared" si="162"/>
        <v>18.613636363636363</v>
      </c>
      <c r="G1369" s="603">
        <v>4400</v>
      </c>
      <c r="H1369" s="581">
        <v>819</v>
      </c>
      <c r="I1369" s="629">
        <f t="shared" si="166"/>
        <v>18.613636363636363</v>
      </c>
      <c r="J1369" s="586"/>
      <c r="K1369" s="581"/>
      <c r="L1369" s="585"/>
      <c r="M1369" s="581"/>
      <c r="N1369" s="581"/>
      <c r="O1369" s="585"/>
      <c r="P1369" s="581"/>
      <c r="Q1369" s="581"/>
      <c r="R1369" s="653"/>
    </row>
    <row r="1370" spans="1:18" ht="61.5" customHeight="1">
      <c r="A1370" s="647">
        <v>4360</v>
      </c>
      <c r="B1370" s="712" t="s">
        <v>431</v>
      </c>
      <c r="C1370" s="603">
        <v>9100</v>
      </c>
      <c r="D1370" s="581">
        <f t="shared" si="163"/>
        <v>9100</v>
      </c>
      <c r="E1370" s="581">
        <f>SUM(H1370+K1370+N1370+Q1370)</f>
        <v>2125</v>
      </c>
      <c r="F1370" s="876">
        <f>E1370/D1370*100</f>
        <v>23.35164835164835</v>
      </c>
      <c r="G1370" s="603">
        <v>9100</v>
      </c>
      <c r="H1370" s="581">
        <v>2125</v>
      </c>
      <c r="I1370" s="629">
        <f t="shared" si="166"/>
        <v>23.35164835164835</v>
      </c>
      <c r="J1370" s="586"/>
      <c r="K1370" s="581"/>
      <c r="L1370" s="585"/>
      <c r="M1370" s="581"/>
      <c r="N1370" s="581"/>
      <c r="O1370" s="585"/>
      <c r="P1370" s="581"/>
      <c r="Q1370" s="581"/>
      <c r="R1370" s="653"/>
    </row>
    <row r="1371" spans="1:18" ht="66" customHeight="1">
      <c r="A1371" s="647">
        <v>4370</v>
      </c>
      <c r="B1371" s="712" t="s">
        <v>432</v>
      </c>
      <c r="C1371" s="603">
        <v>55800</v>
      </c>
      <c r="D1371" s="581">
        <f t="shared" si="163"/>
        <v>55800</v>
      </c>
      <c r="E1371" s="581">
        <f>SUM(H1371+K1371+N1371+Q1371)</f>
        <v>9707</v>
      </c>
      <c r="F1371" s="876">
        <f>E1371/D1371*100</f>
        <v>17.39605734767025</v>
      </c>
      <c r="G1371" s="603">
        <v>55800</v>
      </c>
      <c r="H1371" s="581">
        <v>9707</v>
      </c>
      <c r="I1371" s="629">
        <f t="shared" si="166"/>
        <v>17.39605734767025</v>
      </c>
      <c r="J1371" s="586"/>
      <c r="K1371" s="581"/>
      <c r="L1371" s="585"/>
      <c r="M1371" s="581"/>
      <c r="N1371" s="581"/>
      <c r="O1371" s="585"/>
      <c r="P1371" s="581"/>
      <c r="Q1371" s="581"/>
      <c r="R1371" s="653"/>
    </row>
    <row r="1372" spans="1:18" ht="37.5" customHeight="1">
      <c r="A1372" s="647">
        <v>4390</v>
      </c>
      <c r="B1372" s="712" t="s">
        <v>222</v>
      </c>
      <c r="C1372" s="603">
        <v>46000</v>
      </c>
      <c r="D1372" s="581">
        <f>G1372+J1372+P1372+M1372</f>
        <v>46000</v>
      </c>
      <c r="E1372" s="581">
        <f>SUM(H1372+K1372+N1372+Q1372)</f>
        <v>9150</v>
      </c>
      <c r="F1372" s="876">
        <f>E1372/D1372*100</f>
        <v>19.891304347826086</v>
      </c>
      <c r="G1372" s="603">
        <v>46000</v>
      </c>
      <c r="H1372" s="581">
        <v>9150</v>
      </c>
      <c r="I1372" s="629">
        <f t="shared" si="166"/>
        <v>19.891304347826086</v>
      </c>
      <c r="J1372" s="586"/>
      <c r="K1372" s="581"/>
      <c r="L1372" s="585"/>
      <c r="M1372" s="581"/>
      <c r="N1372" s="581"/>
      <c r="O1372" s="585"/>
      <c r="P1372" s="581"/>
      <c r="Q1372" s="581"/>
      <c r="R1372" s="653"/>
    </row>
    <row r="1373" spans="1:18" ht="33" customHeight="1">
      <c r="A1373" s="647">
        <v>4400</v>
      </c>
      <c r="B1373" s="651" t="s">
        <v>433</v>
      </c>
      <c r="C1373" s="603">
        <v>7400</v>
      </c>
      <c r="D1373" s="581">
        <f t="shared" si="163"/>
        <v>7400</v>
      </c>
      <c r="E1373" s="581">
        <f>SUM(H1373+K1373+N1373+Q1373)</f>
        <v>1726</v>
      </c>
      <c r="F1373" s="876">
        <f>E1373/D1373*100</f>
        <v>23.324324324324326</v>
      </c>
      <c r="G1373" s="603">
        <v>7400</v>
      </c>
      <c r="H1373" s="581">
        <v>1726</v>
      </c>
      <c r="I1373" s="629">
        <f t="shared" si="166"/>
        <v>23.324324324324326</v>
      </c>
      <c r="J1373" s="586"/>
      <c r="K1373" s="581"/>
      <c r="L1373" s="585"/>
      <c r="M1373" s="581"/>
      <c r="N1373" s="581"/>
      <c r="O1373" s="585"/>
      <c r="P1373" s="581"/>
      <c r="Q1373" s="581"/>
      <c r="R1373" s="653"/>
    </row>
    <row r="1374" spans="1:18" ht="15" customHeight="1">
      <c r="A1374" s="647">
        <v>4410</v>
      </c>
      <c r="B1374" s="828" t="s">
        <v>173</v>
      </c>
      <c r="C1374" s="603">
        <v>40000</v>
      </c>
      <c r="D1374" s="581">
        <f t="shared" si="163"/>
        <v>40000</v>
      </c>
      <c r="E1374" s="581">
        <f t="shared" si="167"/>
        <v>7696</v>
      </c>
      <c r="F1374" s="876">
        <f t="shared" si="162"/>
        <v>19.24</v>
      </c>
      <c r="G1374" s="603">
        <v>40000</v>
      </c>
      <c r="H1374" s="581">
        <v>7696</v>
      </c>
      <c r="I1374" s="629">
        <f t="shared" si="166"/>
        <v>19.24</v>
      </c>
      <c r="J1374" s="586"/>
      <c r="K1374" s="581"/>
      <c r="L1374" s="585"/>
      <c r="M1374" s="581"/>
      <c r="N1374" s="581"/>
      <c r="O1374" s="585"/>
      <c r="P1374" s="581"/>
      <c r="Q1374" s="581"/>
      <c r="R1374" s="653"/>
    </row>
    <row r="1375" spans="1:18" ht="24" hidden="1">
      <c r="A1375" s="647">
        <v>4420</v>
      </c>
      <c r="B1375" s="828" t="s">
        <v>596</v>
      </c>
      <c r="C1375" s="603"/>
      <c r="D1375" s="581">
        <f t="shared" si="163"/>
        <v>0</v>
      </c>
      <c r="E1375" s="581">
        <f t="shared" si="167"/>
        <v>0</v>
      </c>
      <c r="F1375" s="876" t="e">
        <f t="shared" si="162"/>
        <v>#DIV/0!</v>
      </c>
      <c r="G1375" s="603"/>
      <c r="H1375" s="581"/>
      <c r="I1375" s="629" t="e">
        <f t="shared" si="166"/>
        <v>#DIV/0!</v>
      </c>
      <c r="J1375" s="586"/>
      <c r="K1375" s="581"/>
      <c r="L1375" s="585"/>
      <c r="M1375" s="581"/>
      <c r="N1375" s="581"/>
      <c r="O1375" s="585"/>
      <c r="P1375" s="581"/>
      <c r="Q1375" s="581"/>
      <c r="R1375" s="653"/>
    </row>
    <row r="1376" spans="1:18" ht="15" customHeight="1">
      <c r="A1376" s="647">
        <v>4430</v>
      </c>
      <c r="B1376" s="828" t="s">
        <v>201</v>
      </c>
      <c r="C1376" s="603">
        <v>12500</v>
      </c>
      <c r="D1376" s="581">
        <f t="shared" si="163"/>
        <v>8367</v>
      </c>
      <c r="E1376" s="581">
        <f t="shared" si="167"/>
        <v>1127</v>
      </c>
      <c r="F1376" s="876">
        <f t="shared" si="162"/>
        <v>13.46958288514402</v>
      </c>
      <c r="G1376" s="603">
        <f>12500-4133</f>
        <v>8367</v>
      </c>
      <c r="H1376" s="581">
        <v>1127</v>
      </c>
      <c r="I1376" s="582">
        <f t="shared" si="166"/>
        <v>13.46958288514402</v>
      </c>
      <c r="J1376" s="586"/>
      <c r="K1376" s="581"/>
      <c r="L1376" s="585"/>
      <c r="M1376" s="581"/>
      <c r="N1376" s="581"/>
      <c r="O1376" s="585"/>
      <c r="P1376" s="581"/>
      <c r="Q1376" s="581"/>
      <c r="R1376" s="653"/>
    </row>
    <row r="1377" spans="1:18" ht="15" customHeight="1">
      <c r="A1377" s="647">
        <v>4440</v>
      </c>
      <c r="B1377" s="828" t="s">
        <v>203</v>
      </c>
      <c r="C1377" s="603">
        <v>128200</v>
      </c>
      <c r="D1377" s="581">
        <f t="shared" si="163"/>
        <v>126628</v>
      </c>
      <c r="E1377" s="581">
        <f t="shared" si="167"/>
        <v>81753</v>
      </c>
      <c r="F1377" s="876">
        <f t="shared" si="162"/>
        <v>64.56155036800708</v>
      </c>
      <c r="G1377" s="603">
        <f>128200-1572</f>
        <v>126628</v>
      </c>
      <c r="H1377" s="581">
        <v>81753</v>
      </c>
      <c r="I1377" s="582">
        <f t="shared" si="166"/>
        <v>64.56155036800708</v>
      </c>
      <c r="J1377" s="586"/>
      <c r="K1377" s="581"/>
      <c r="L1377" s="585"/>
      <c r="M1377" s="581"/>
      <c r="N1377" s="581"/>
      <c r="O1377" s="585"/>
      <c r="P1377" s="581"/>
      <c r="Q1377" s="581"/>
      <c r="R1377" s="653"/>
    </row>
    <row r="1378" spans="1:18" ht="17.25" customHeight="1">
      <c r="A1378" s="647">
        <v>4480</v>
      </c>
      <c r="B1378" s="828" t="s">
        <v>205</v>
      </c>
      <c r="C1378" s="603">
        <v>18000</v>
      </c>
      <c r="D1378" s="581">
        <f t="shared" si="163"/>
        <v>18000</v>
      </c>
      <c r="E1378" s="581">
        <f>H1378+K1378+Q1378+N1378</f>
        <v>4702</v>
      </c>
      <c r="F1378" s="876">
        <f t="shared" si="162"/>
        <v>26.122222222222224</v>
      </c>
      <c r="G1378" s="603">
        <v>18000</v>
      </c>
      <c r="H1378" s="581">
        <v>4702</v>
      </c>
      <c r="I1378" s="629">
        <f t="shared" si="166"/>
        <v>26.122222222222224</v>
      </c>
      <c r="J1378" s="586"/>
      <c r="K1378" s="581"/>
      <c r="L1378" s="585"/>
      <c r="M1378" s="581"/>
      <c r="N1378" s="581"/>
      <c r="O1378" s="585"/>
      <c r="P1378" s="581"/>
      <c r="Q1378" s="581"/>
      <c r="R1378" s="653"/>
    </row>
    <row r="1379" spans="1:18" ht="24">
      <c r="A1379" s="647">
        <v>4530</v>
      </c>
      <c r="B1379" s="828" t="s">
        <v>612</v>
      </c>
      <c r="C1379" s="603">
        <v>1000</v>
      </c>
      <c r="D1379" s="581">
        <f t="shared" si="163"/>
        <v>1000</v>
      </c>
      <c r="E1379" s="581">
        <f>H1379+K1379+Q1379+N1379</f>
        <v>21</v>
      </c>
      <c r="F1379" s="876">
        <f t="shared" si="162"/>
        <v>2.1</v>
      </c>
      <c r="G1379" s="603">
        <v>1000</v>
      </c>
      <c r="H1379" s="581">
        <v>21</v>
      </c>
      <c r="I1379" s="629">
        <f t="shared" si="166"/>
        <v>2.1</v>
      </c>
      <c r="J1379" s="586"/>
      <c r="K1379" s="581"/>
      <c r="L1379" s="585"/>
      <c r="M1379" s="581"/>
      <c r="N1379" s="581"/>
      <c r="O1379" s="585"/>
      <c r="P1379" s="581"/>
      <c r="Q1379" s="581"/>
      <c r="R1379" s="653"/>
    </row>
    <row r="1380" spans="1:18" ht="12.75">
      <c r="A1380" s="647">
        <v>4580</v>
      </c>
      <c r="B1380" s="828" t="s">
        <v>223</v>
      </c>
      <c r="C1380" s="603">
        <v>100</v>
      </c>
      <c r="D1380" s="581">
        <f>G1380+J1380+P1380+M1380</f>
        <v>100</v>
      </c>
      <c r="E1380" s="581">
        <f>H1380+K1380+Q1380+N1380</f>
        <v>0</v>
      </c>
      <c r="F1380" s="876">
        <f>E1380/D1380*100</f>
        <v>0</v>
      </c>
      <c r="G1380" s="603">
        <v>100</v>
      </c>
      <c r="H1380" s="581"/>
      <c r="I1380" s="629">
        <f t="shared" si="166"/>
        <v>0</v>
      </c>
      <c r="J1380" s="586"/>
      <c r="K1380" s="581"/>
      <c r="L1380" s="585"/>
      <c r="M1380" s="581"/>
      <c r="N1380" s="581"/>
      <c r="O1380" s="585"/>
      <c r="P1380" s="581"/>
      <c r="Q1380" s="581"/>
      <c r="R1380" s="653"/>
    </row>
    <row r="1381" spans="1:18" ht="36">
      <c r="A1381" s="647">
        <v>4610</v>
      </c>
      <c r="B1381" s="828" t="s">
        <v>811</v>
      </c>
      <c r="C1381" s="603">
        <v>3500</v>
      </c>
      <c r="D1381" s="581">
        <f t="shared" si="163"/>
        <v>3500</v>
      </c>
      <c r="E1381" s="581">
        <f aca="true" t="shared" si="168" ref="E1381:E1393">SUM(H1381+K1381+N1381+Q1381)</f>
        <v>191</v>
      </c>
      <c r="F1381" s="876">
        <f t="shared" si="162"/>
        <v>5.457142857142857</v>
      </c>
      <c r="G1381" s="603">
        <v>3500</v>
      </c>
      <c r="H1381" s="581">
        <v>191</v>
      </c>
      <c r="I1381" s="629">
        <f t="shared" si="166"/>
        <v>5.457142857142857</v>
      </c>
      <c r="J1381" s="586"/>
      <c r="K1381" s="581"/>
      <c r="L1381" s="585"/>
      <c r="M1381" s="581"/>
      <c r="N1381" s="581"/>
      <c r="O1381" s="585"/>
      <c r="P1381" s="581"/>
      <c r="Q1381" s="581"/>
      <c r="R1381" s="653"/>
    </row>
    <row r="1382" spans="1:18" ht="38.25" customHeight="1">
      <c r="A1382" s="647">
        <v>4700</v>
      </c>
      <c r="B1382" s="712" t="s">
        <v>588</v>
      </c>
      <c r="C1382" s="603">
        <v>21000</v>
      </c>
      <c r="D1382" s="581">
        <f t="shared" si="163"/>
        <v>21000</v>
      </c>
      <c r="E1382" s="581">
        <f t="shared" si="168"/>
        <v>5594</v>
      </c>
      <c r="F1382" s="876">
        <f t="shared" si="162"/>
        <v>26.63809523809524</v>
      </c>
      <c r="G1382" s="603">
        <v>21000</v>
      </c>
      <c r="H1382" s="581">
        <v>5594</v>
      </c>
      <c r="I1382" s="629">
        <f t="shared" si="166"/>
        <v>26.63809523809524</v>
      </c>
      <c r="J1382" s="586"/>
      <c r="K1382" s="581"/>
      <c r="L1382" s="585"/>
      <c r="M1382" s="581"/>
      <c r="N1382" s="581"/>
      <c r="O1382" s="585"/>
      <c r="P1382" s="581"/>
      <c r="Q1382" s="581"/>
      <c r="R1382" s="653"/>
    </row>
    <row r="1383" spans="1:18" ht="51.75" customHeight="1">
      <c r="A1383" s="647">
        <v>4740</v>
      </c>
      <c r="B1383" s="712" t="s">
        <v>215</v>
      </c>
      <c r="C1383" s="603">
        <v>12800</v>
      </c>
      <c r="D1383" s="581">
        <f t="shared" si="163"/>
        <v>12800</v>
      </c>
      <c r="E1383" s="581">
        <f t="shared" si="168"/>
        <v>5194</v>
      </c>
      <c r="F1383" s="876">
        <f t="shared" si="162"/>
        <v>40.578125</v>
      </c>
      <c r="G1383" s="603">
        <v>12800</v>
      </c>
      <c r="H1383" s="581">
        <v>5194</v>
      </c>
      <c r="I1383" s="629">
        <f t="shared" si="166"/>
        <v>40.578125</v>
      </c>
      <c r="J1383" s="586"/>
      <c r="K1383" s="581"/>
      <c r="L1383" s="585"/>
      <c r="M1383" s="581"/>
      <c r="N1383" s="581"/>
      <c r="O1383" s="585"/>
      <c r="P1383" s="581"/>
      <c r="Q1383" s="581"/>
      <c r="R1383" s="653"/>
    </row>
    <row r="1384" spans="1:18" ht="36">
      <c r="A1384" s="647">
        <v>4750</v>
      </c>
      <c r="B1384" s="712" t="s">
        <v>589</v>
      </c>
      <c r="C1384" s="603">
        <v>40000</v>
      </c>
      <c r="D1384" s="581">
        <f>G1384+J1384+P1384+M1384</f>
        <v>53000</v>
      </c>
      <c r="E1384" s="581">
        <f t="shared" si="168"/>
        <v>13634</v>
      </c>
      <c r="F1384" s="876">
        <f t="shared" si="162"/>
        <v>25.72452830188679</v>
      </c>
      <c r="G1384" s="603">
        <f>40000+13000</f>
        <v>53000</v>
      </c>
      <c r="H1384" s="581">
        <v>13634</v>
      </c>
      <c r="I1384" s="629">
        <f t="shared" si="166"/>
        <v>25.72452830188679</v>
      </c>
      <c r="J1384" s="586"/>
      <c r="K1384" s="581"/>
      <c r="L1384" s="585"/>
      <c r="M1384" s="581"/>
      <c r="N1384" s="581"/>
      <c r="O1384" s="585"/>
      <c r="P1384" s="581"/>
      <c r="Q1384" s="581"/>
      <c r="R1384" s="653"/>
    </row>
    <row r="1385" spans="1:18" ht="16.5" customHeight="1" hidden="1" thickBot="1">
      <c r="A1385" s="647">
        <v>4990</v>
      </c>
      <c r="B1385" s="651" t="s">
        <v>812</v>
      </c>
      <c r="C1385" s="603"/>
      <c r="D1385" s="581"/>
      <c r="E1385" s="581">
        <f t="shared" si="168"/>
        <v>0</v>
      </c>
      <c r="F1385" s="876"/>
      <c r="G1385" s="603"/>
      <c r="H1385" s="581"/>
      <c r="I1385" s="629"/>
      <c r="J1385" s="586"/>
      <c r="K1385" s="581"/>
      <c r="L1385" s="585"/>
      <c r="M1385" s="581"/>
      <c r="N1385" s="581"/>
      <c r="O1385" s="585"/>
      <c r="P1385" s="581"/>
      <c r="Q1385" s="581"/>
      <c r="R1385" s="653"/>
    </row>
    <row r="1386" spans="1:18" ht="36" hidden="1">
      <c r="A1386" s="647">
        <v>6050</v>
      </c>
      <c r="B1386" s="828" t="s">
        <v>225</v>
      </c>
      <c r="C1386" s="603"/>
      <c r="D1386" s="581">
        <f>G1386+J1386+P1386+M1386</f>
        <v>0</v>
      </c>
      <c r="E1386" s="581">
        <f t="shared" si="168"/>
        <v>0</v>
      </c>
      <c r="F1386" s="876" t="e">
        <f t="shared" si="162"/>
        <v>#DIV/0!</v>
      </c>
      <c r="G1386" s="603"/>
      <c r="H1386" s="581"/>
      <c r="I1386" s="629" t="e">
        <f t="shared" si="166"/>
        <v>#DIV/0!</v>
      </c>
      <c r="J1386" s="586"/>
      <c r="K1386" s="581"/>
      <c r="L1386" s="585"/>
      <c r="M1386" s="581"/>
      <c r="N1386" s="581"/>
      <c r="O1386" s="585"/>
      <c r="P1386" s="581"/>
      <c r="Q1386" s="581"/>
      <c r="R1386" s="653"/>
    </row>
    <row r="1387" spans="1:26" s="639" customFormat="1" ht="60" hidden="1">
      <c r="A1387" s="647">
        <v>6060</v>
      </c>
      <c r="B1387" s="828" t="s">
        <v>540</v>
      </c>
      <c r="C1387" s="603"/>
      <c r="D1387" s="581">
        <f t="shared" si="163"/>
        <v>0</v>
      </c>
      <c r="E1387" s="581">
        <f t="shared" si="168"/>
        <v>0</v>
      </c>
      <c r="F1387" s="876" t="e">
        <f t="shared" si="162"/>
        <v>#DIV/0!</v>
      </c>
      <c r="G1387" s="603"/>
      <c r="H1387" s="581"/>
      <c r="I1387" s="629" t="e">
        <f t="shared" si="166"/>
        <v>#DIV/0!</v>
      </c>
      <c r="J1387" s="586"/>
      <c r="K1387" s="581"/>
      <c r="L1387" s="585"/>
      <c r="M1387" s="581"/>
      <c r="N1387" s="581"/>
      <c r="O1387" s="585"/>
      <c r="P1387" s="581"/>
      <c r="Q1387" s="581"/>
      <c r="R1387" s="653"/>
      <c r="S1387" s="564"/>
      <c r="T1387" s="564"/>
      <c r="U1387" s="564"/>
      <c r="V1387" s="564"/>
      <c r="W1387" s="565"/>
      <c r="X1387" s="565"/>
      <c r="Y1387" s="565"/>
      <c r="Z1387" s="565"/>
    </row>
    <row r="1388" spans="1:26" s="917" customFormat="1" ht="102" hidden="1">
      <c r="A1388" s="822"/>
      <c r="B1388" s="910" t="s">
        <v>288</v>
      </c>
      <c r="C1388" s="754"/>
      <c r="D1388" s="755">
        <f t="shared" si="163"/>
        <v>0</v>
      </c>
      <c r="E1388" s="755">
        <f t="shared" si="168"/>
        <v>0</v>
      </c>
      <c r="F1388" s="911" t="e">
        <f t="shared" si="162"/>
        <v>#DIV/0!</v>
      </c>
      <c r="G1388" s="754"/>
      <c r="H1388" s="755"/>
      <c r="I1388" s="912"/>
      <c r="J1388" s="756">
        <f>SUM(J1389:J1393)</f>
        <v>0</v>
      </c>
      <c r="K1388" s="755">
        <f>SUM(K1389:K1393)</f>
        <v>0</v>
      </c>
      <c r="L1388" s="913" t="e">
        <f aca="true" t="shared" si="169" ref="L1388:L1393">K1388/J1388*100</f>
        <v>#DIV/0!</v>
      </c>
      <c r="M1388" s="755"/>
      <c r="N1388" s="755"/>
      <c r="O1388" s="913"/>
      <c r="P1388" s="755"/>
      <c r="Q1388" s="755"/>
      <c r="R1388" s="914"/>
      <c r="S1388" s="915"/>
      <c r="T1388" s="915"/>
      <c r="U1388" s="915"/>
      <c r="V1388" s="915"/>
      <c r="W1388" s="916"/>
      <c r="X1388" s="916"/>
      <c r="Y1388" s="916"/>
      <c r="Z1388" s="916"/>
    </row>
    <row r="1389" spans="1:26" s="639" customFormat="1" ht="36" hidden="1">
      <c r="A1389" s="647">
        <v>4110</v>
      </c>
      <c r="B1389" s="828" t="s">
        <v>187</v>
      </c>
      <c r="C1389" s="603"/>
      <c r="D1389" s="581">
        <f t="shared" si="163"/>
        <v>0</v>
      </c>
      <c r="E1389" s="581">
        <f t="shared" si="168"/>
        <v>0</v>
      </c>
      <c r="F1389" s="876" t="e">
        <f t="shared" si="162"/>
        <v>#DIV/0!</v>
      </c>
      <c r="G1389" s="603"/>
      <c r="H1389" s="581"/>
      <c r="I1389" s="629"/>
      <c r="J1389" s="586">
        <f>910-910</f>
        <v>0</v>
      </c>
      <c r="K1389" s="581"/>
      <c r="L1389" s="918" t="e">
        <f t="shared" si="169"/>
        <v>#DIV/0!</v>
      </c>
      <c r="M1389" s="581"/>
      <c r="N1389" s="581"/>
      <c r="O1389" s="585"/>
      <c r="P1389" s="581"/>
      <c r="Q1389" s="581"/>
      <c r="R1389" s="653"/>
      <c r="S1389" s="564"/>
      <c r="T1389" s="564"/>
      <c r="U1389" s="564"/>
      <c r="V1389" s="564"/>
      <c r="W1389" s="565"/>
      <c r="X1389" s="565"/>
      <c r="Y1389" s="565"/>
      <c r="Z1389" s="565"/>
    </row>
    <row r="1390" spans="1:26" s="639" customFormat="1" ht="12.75" hidden="1">
      <c r="A1390" s="647">
        <v>4120</v>
      </c>
      <c r="B1390" s="828" t="s">
        <v>619</v>
      </c>
      <c r="C1390" s="603"/>
      <c r="D1390" s="581">
        <f t="shared" si="163"/>
        <v>0</v>
      </c>
      <c r="E1390" s="581">
        <f t="shared" si="168"/>
        <v>0</v>
      </c>
      <c r="F1390" s="876" t="e">
        <f t="shared" si="162"/>
        <v>#DIV/0!</v>
      </c>
      <c r="G1390" s="603"/>
      <c r="H1390" s="581"/>
      <c r="I1390" s="629"/>
      <c r="J1390" s="586">
        <f>140-140</f>
        <v>0</v>
      </c>
      <c r="K1390" s="581"/>
      <c r="L1390" s="918" t="e">
        <f t="shared" si="169"/>
        <v>#DIV/0!</v>
      </c>
      <c r="M1390" s="581"/>
      <c r="N1390" s="581"/>
      <c r="O1390" s="585"/>
      <c r="P1390" s="581"/>
      <c r="Q1390" s="581"/>
      <c r="R1390" s="653"/>
      <c r="S1390" s="564"/>
      <c r="T1390" s="564"/>
      <c r="U1390" s="564"/>
      <c r="V1390" s="564"/>
      <c r="W1390" s="565"/>
      <c r="X1390" s="565"/>
      <c r="Y1390" s="565"/>
      <c r="Z1390" s="565"/>
    </row>
    <row r="1391" spans="1:26" s="639" customFormat="1" ht="24" hidden="1">
      <c r="A1391" s="647">
        <v>4170</v>
      </c>
      <c r="B1391" s="828" t="s">
        <v>221</v>
      </c>
      <c r="C1391" s="603"/>
      <c r="D1391" s="581">
        <f t="shared" si="163"/>
        <v>0</v>
      </c>
      <c r="E1391" s="581">
        <f t="shared" si="168"/>
        <v>0</v>
      </c>
      <c r="F1391" s="876" t="e">
        <f t="shared" si="162"/>
        <v>#DIV/0!</v>
      </c>
      <c r="G1391" s="603"/>
      <c r="H1391" s="581"/>
      <c r="I1391" s="629"/>
      <c r="J1391" s="586">
        <f>5950-5950</f>
        <v>0</v>
      </c>
      <c r="K1391" s="581"/>
      <c r="L1391" s="918" t="e">
        <f t="shared" si="169"/>
        <v>#DIV/0!</v>
      </c>
      <c r="M1391" s="581"/>
      <c r="N1391" s="581"/>
      <c r="O1391" s="585"/>
      <c r="P1391" s="581"/>
      <c r="Q1391" s="581"/>
      <c r="R1391" s="653"/>
      <c r="S1391" s="564"/>
      <c r="T1391" s="564"/>
      <c r="U1391" s="564"/>
      <c r="V1391" s="564"/>
      <c r="W1391" s="565"/>
      <c r="X1391" s="565"/>
      <c r="Y1391" s="565"/>
      <c r="Z1391" s="565"/>
    </row>
    <row r="1392" spans="1:26" s="639" customFormat="1" ht="24" hidden="1">
      <c r="A1392" s="647">
        <v>4210</v>
      </c>
      <c r="B1392" s="828" t="s">
        <v>191</v>
      </c>
      <c r="C1392" s="603"/>
      <c r="D1392" s="581">
        <f t="shared" si="163"/>
        <v>0</v>
      </c>
      <c r="E1392" s="581">
        <f t="shared" si="168"/>
        <v>0</v>
      </c>
      <c r="F1392" s="876" t="e">
        <f t="shared" si="162"/>
        <v>#DIV/0!</v>
      </c>
      <c r="G1392" s="603"/>
      <c r="H1392" s="581"/>
      <c r="I1392" s="629"/>
      <c r="J1392" s="586">
        <f>1600-1600</f>
        <v>0</v>
      </c>
      <c r="K1392" s="581"/>
      <c r="L1392" s="918" t="e">
        <f t="shared" si="169"/>
        <v>#DIV/0!</v>
      </c>
      <c r="M1392" s="581"/>
      <c r="N1392" s="581"/>
      <c r="O1392" s="585"/>
      <c r="P1392" s="581"/>
      <c r="Q1392" s="581"/>
      <c r="R1392" s="653"/>
      <c r="S1392" s="564"/>
      <c r="T1392" s="564"/>
      <c r="U1392" s="564"/>
      <c r="V1392" s="564"/>
      <c r="W1392" s="565"/>
      <c r="X1392" s="565"/>
      <c r="Y1392" s="565"/>
      <c r="Z1392" s="565"/>
    </row>
    <row r="1393" spans="1:26" s="639" customFormat="1" ht="24" hidden="1">
      <c r="A1393" s="647">
        <v>4300</v>
      </c>
      <c r="B1393" s="828" t="s">
        <v>583</v>
      </c>
      <c r="C1393" s="603"/>
      <c r="D1393" s="581">
        <f t="shared" si="163"/>
        <v>0</v>
      </c>
      <c r="E1393" s="581">
        <f t="shared" si="168"/>
        <v>0</v>
      </c>
      <c r="F1393" s="876" t="e">
        <f t="shared" si="162"/>
        <v>#DIV/0!</v>
      </c>
      <c r="G1393" s="603"/>
      <c r="H1393" s="675"/>
      <c r="I1393" s="629"/>
      <c r="J1393" s="676">
        <f>1650-1650</f>
        <v>0</v>
      </c>
      <c r="K1393" s="675"/>
      <c r="L1393" s="918" t="e">
        <f t="shared" si="169"/>
        <v>#DIV/0!</v>
      </c>
      <c r="M1393" s="675"/>
      <c r="N1393" s="675"/>
      <c r="O1393" s="585"/>
      <c r="P1393" s="675"/>
      <c r="Q1393" s="675"/>
      <c r="R1393" s="680"/>
      <c r="S1393" s="564"/>
      <c r="T1393" s="564"/>
      <c r="U1393" s="564"/>
      <c r="V1393" s="564"/>
      <c r="W1393" s="565"/>
      <c r="X1393" s="565"/>
      <c r="Y1393" s="565"/>
      <c r="Z1393" s="565"/>
    </row>
    <row r="1394" spans="1:26" s="639" customFormat="1" ht="54" customHeight="1">
      <c r="A1394" s="640">
        <v>85220</v>
      </c>
      <c r="B1394" s="856" t="s">
        <v>813</v>
      </c>
      <c r="C1394" s="608">
        <f>SUM(C1395:C1403)</f>
        <v>229433</v>
      </c>
      <c r="D1394" s="595">
        <f t="shared" si="163"/>
        <v>229433</v>
      </c>
      <c r="E1394" s="595">
        <f>H1394+K1394+Q1394+N1394</f>
        <v>6247</v>
      </c>
      <c r="F1394" s="907">
        <f t="shared" si="162"/>
        <v>2.722799248582375</v>
      </c>
      <c r="G1394" s="608">
        <f>SUM(G1395:G1403)</f>
        <v>33433</v>
      </c>
      <c r="H1394" s="595">
        <f>SUM(H1395:H1403)</f>
        <v>6247</v>
      </c>
      <c r="I1394" s="919">
        <f>H1394/G1394*100</f>
        <v>18.685131456943736</v>
      </c>
      <c r="J1394" s="600"/>
      <c r="K1394" s="595"/>
      <c r="L1394" s="601"/>
      <c r="M1394" s="595">
        <f>SUM(M1395:M1403)</f>
        <v>196000</v>
      </c>
      <c r="N1394" s="595">
        <f>SUM(N1395:N1403)</f>
        <v>0</v>
      </c>
      <c r="O1394" s="624">
        <f>N1394/M1394*100</f>
        <v>0</v>
      </c>
      <c r="P1394" s="595">
        <f>SUM(P1395:P1403)</f>
        <v>0</v>
      </c>
      <c r="Q1394" s="595">
        <f>SUM(Q1395:Q1403)</f>
        <v>0</v>
      </c>
      <c r="R1394" s="624"/>
      <c r="S1394" s="564"/>
      <c r="T1394" s="564"/>
      <c r="U1394" s="564"/>
      <c r="V1394" s="564"/>
      <c r="W1394" s="565"/>
      <c r="X1394" s="565"/>
      <c r="Y1394" s="565"/>
      <c r="Z1394" s="565"/>
    </row>
    <row r="1395" spans="1:26" s="639" customFormat="1" ht="59.25" customHeight="1">
      <c r="A1395" s="647">
        <v>2820</v>
      </c>
      <c r="B1395" s="828" t="s">
        <v>593</v>
      </c>
      <c r="C1395" s="603">
        <v>196000</v>
      </c>
      <c r="D1395" s="581">
        <f t="shared" si="163"/>
        <v>196000</v>
      </c>
      <c r="E1395" s="581">
        <f aca="true" t="shared" si="170" ref="E1395:E1403">SUM(H1395+K1395+N1395+Q1395)</f>
        <v>0</v>
      </c>
      <c r="F1395" s="876">
        <f t="shared" si="162"/>
        <v>0</v>
      </c>
      <c r="G1395" s="603"/>
      <c r="H1395" s="581"/>
      <c r="I1395" s="653"/>
      <c r="J1395" s="586"/>
      <c r="K1395" s="581"/>
      <c r="L1395" s="587"/>
      <c r="M1395" s="603">
        <v>196000</v>
      </c>
      <c r="N1395" s="615"/>
      <c r="O1395" s="627">
        <f>N1395/M1395*100</f>
        <v>0</v>
      </c>
      <c r="P1395" s="581"/>
      <c r="Q1395" s="581"/>
      <c r="R1395" s="627"/>
      <c r="S1395" s="564"/>
      <c r="T1395" s="564"/>
      <c r="U1395" s="564"/>
      <c r="V1395" s="564"/>
      <c r="W1395" s="565"/>
      <c r="X1395" s="565"/>
      <c r="Y1395" s="565"/>
      <c r="Z1395" s="565"/>
    </row>
    <row r="1396" spans="1:26" s="639" customFormat="1" ht="24" hidden="1">
      <c r="A1396" s="647">
        <v>4170</v>
      </c>
      <c r="B1396" s="828" t="s">
        <v>221</v>
      </c>
      <c r="C1396" s="603"/>
      <c r="D1396" s="581">
        <f t="shared" si="163"/>
        <v>0</v>
      </c>
      <c r="E1396" s="581">
        <f t="shared" si="170"/>
        <v>0</v>
      </c>
      <c r="F1396" s="876"/>
      <c r="G1396" s="603"/>
      <c r="H1396" s="581"/>
      <c r="I1396" s="653"/>
      <c r="J1396" s="586"/>
      <c r="K1396" s="581"/>
      <c r="L1396" s="587"/>
      <c r="M1396" s="603"/>
      <c r="N1396" s="581"/>
      <c r="O1396" s="585"/>
      <c r="P1396" s="581"/>
      <c r="Q1396" s="581"/>
      <c r="R1396" s="627"/>
      <c r="S1396" s="564"/>
      <c r="T1396" s="564"/>
      <c r="U1396" s="564"/>
      <c r="V1396" s="564"/>
      <c r="W1396" s="565"/>
      <c r="X1396" s="565"/>
      <c r="Y1396" s="565"/>
      <c r="Z1396" s="565"/>
    </row>
    <row r="1397" spans="1:26" s="639" customFormat="1" ht="24">
      <c r="A1397" s="647">
        <v>4210</v>
      </c>
      <c r="B1397" s="828" t="s">
        <v>191</v>
      </c>
      <c r="C1397" s="603">
        <v>3700</v>
      </c>
      <c r="D1397" s="581">
        <f t="shared" si="163"/>
        <v>3700</v>
      </c>
      <c r="E1397" s="581">
        <f t="shared" si="170"/>
        <v>190</v>
      </c>
      <c r="F1397" s="876">
        <f t="shared" si="162"/>
        <v>5.135135135135135</v>
      </c>
      <c r="G1397" s="603">
        <v>3700</v>
      </c>
      <c r="H1397" s="581">
        <v>190</v>
      </c>
      <c r="I1397" s="897">
        <f>H1397/G1397*100</f>
        <v>5.135135135135135</v>
      </c>
      <c r="J1397" s="586"/>
      <c r="K1397" s="581"/>
      <c r="L1397" s="587"/>
      <c r="M1397" s="603"/>
      <c r="N1397" s="581"/>
      <c r="O1397" s="585"/>
      <c r="P1397" s="581"/>
      <c r="Q1397" s="581"/>
      <c r="R1397" s="627"/>
      <c r="S1397" s="564"/>
      <c r="T1397" s="564"/>
      <c r="U1397" s="564"/>
      <c r="V1397" s="564"/>
      <c r="W1397" s="565"/>
      <c r="X1397" s="565"/>
      <c r="Y1397" s="565"/>
      <c r="Z1397" s="565"/>
    </row>
    <row r="1398" spans="1:26" s="639" customFormat="1" ht="15.75" customHeight="1">
      <c r="A1398" s="647">
        <v>4260</v>
      </c>
      <c r="B1398" s="828" t="s">
        <v>195</v>
      </c>
      <c r="C1398" s="603">
        <v>17711</v>
      </c>
      <c r="D1398" s="581">
        <f t="shared" si="163"/>
        <v>17711</v>
      </c>
      <c r="E1398" s="581">
        <f t="shared" si="170"/>
        <v>4140</v>
      </c>
      <c r="F1398" s="876">
        <f>E1398/D1398*100</f>
        <v>23.375303483710688</v>
      </c>
      <c r="G1398" s="603">
        <v>17711</v>
      </c>
      <c r="H1398" s="581">
        <f>4139+1</f>
        <v>4140</v>
      </c>
      <c r="I1398" s="897">
        <f>H1398/G1398*100</f>
        <v>23.375303483710688</v>
      </c>
      <c r="J1398" s="586"/>
      <c r="K1398" s="581"/>
      <c r="L1398" s="587"/>
      <c r="M1398" s="603"/>
      <c r="N1398" s="581"/>
      <c r="O1398" s="585"/>
      <c r="P1398" s="581"/>
      <c r="Q1398" s="581"/>
      <c r="R1398" s="627"/>
      <c r="S1398" s="564"/>
      <c r="T1398" s="564"/>
      <c r="U1398" s="564"/>
      <c r="V1398" s="564"/>
      <c r="W1398" s="565"/>
      <c r="X1398" s="565"/>
      <c r="Y1398" s="565"/>
      <c r="Z1398" s="565"/>
    </row>
    <row r="1399" spans="1:26" s="639" customFormat="1" ht="15.75" customHeight="1">
      <c r="A1399" s="647">
        <v>4270</v>
      </c>
      <c r="B1399" s="828" t="s">
        <v>197</v>
      </c>
      <c r="C1399" s="603">
        <v>2000</v>
      </c>
      <c r="D1399" s="581">
        <f t="shared" si="163"/>
        <v>2000</v>
      </c>
      <c r="E1399" s="581">
        <f t="shared" si="170"/>
        <v>0</v>
      </c>
      <c r="F1399" s="876">
        <f>E1399/D1399*100</f>
        <v>0</v>
      </c>
      <c r="G1399" s="603">
        <v>2000</v>
      </c>
      <c r="H1399" s="581"/>
      <c r="I1399" s="897">
        <f>H1399/G1399*100</f>
        <v>0</v>
      </c>
      <c r="J1399" s="586"/>
      <c r="K1399" s="581"/>
      <c r="L1399" s="587"/>
      <c r="M1399" s="603"/>
      <c r="N1399" s="581"/>
      <c r="O1399" s="585"/>
      <c r="P1399" s="581"/>
      <c r="Q1399" s="581"/>
      <c r="R1399" s="585"/>
      <c r="S1399" s="564"/>
      <c r="T1399" s="564"/>
      <c r="U1399" s="564"/>
      <c r="V1399" s="564"/>
      <c r="W1399" s="565"/>
      <c r="X1399" s="565"/>
      <c r="Y1399" s="565"/>
      <c r="Z1399" s="565"/>
    </row>
    <row r="1400" spans="1:26" s="639" customFormat="1" ht="15.75" customHeight="1">
      <c r="A1400" s="647">
        <v>4300</v>
      </c>
      <c r="B1400" s="712" t="s">
        <v>583</v>
      </c>
      <c r="C1400" s="603">
        <v>3822</v>
      </c>
      <c r="D1400" s="581">
        <f>G1400+J1400+P1400+M1400</f>
        <v>3822</v>
      </c>
      <c r="E1400" s="581">
        <f>SUM(H1400+K1400+N1400+Q1400)</f>
        <v>610</v>
      </c>
      <c r="F1400" s="876">
        <f>E1400/D1400*100</f>
        <v>15.960230245944532</v>
      </c>
      <c r="G1400" s="603">
        <v>3822</v>
      </c>
      <c r="H1400" s="581">
        <v>610</v>
      </c>
      <c r="I1400" s="897">
        <f>H1400/G1400*100</f>
        <v>15.960230245944532</v>
      </c>
      <c r="J1400" s="586"/>
      <c r="K1400" s="581"/>
      <c r="L1400" s="587"/>
      <c r="M1400" s="603"/>
      <c r="N1400" s="581"/>
      <c r="O1400" s="585"/>
      <c r="P1400" s="581"/>
      <c r="Q1400" s="581"/>
      <c r="R1400" s="627"/>
      <c r="S1400" s="564"/>
      <c r="T1400" s="564"/>
      <c r="U1400" s="564"/>
      <c r="V1400" s="564"/>
      <c r="W1400" s="565"/>
      <c r="X1400" s="565"/>
      <c r="Y1400" s="565"/>
      <c r="Z1400" s="565"/>
    </row>
    <row r="1401" spans="1:26" s="639" customFormat="1" ht="36" customHeight="1">
      <c r="A1401" s="647">
        <v>4400</v>
      </c>
      <c r="B1401" s="651" t="s">
        <v>433</v>
      </c>
      <c r="C1401" s="603">
        <v>6200</v>
      </c>
      <c r="D1401" s="581">
        <f>G1401+J1401+P1401+M1401</f>
        <v>6200</v>
      </c>
      <c r="E1401" s="581">
        <f>SUM(H1401+K1401+N1401+Q1401)</f>
        <v>1307</v>
      </c>
      <c r="F1401" s="876">
        <f>E1401/D1401*100</f>
        <v>21.080645161290324</v>
      </c>
      <c r="G1401" s="603">
        <v>6200</v>
      </c>
      <c r="H1401" s="581">
        <v>1307</v>
      </c>
      <c r="I1401" s="897">
        <f>H1401/G1401*100</f>
        <v>21.080645161290324</v>
      </c>
      <c r="J1401" s="586"/>
      <c r="K1401" s="581"/>
      <c r="L1401" s="587"/>
      <c r="M1401" s="603"/>
      <c r="N1401" s="581"/>
      <c r="O1401" s="585"/>
      <c r="P1401" s="581"/>
      <c r="Q1401" s="581"/>
      <c r="R1401" s="585"/>
      <c r="S1401" s="564"/>
      <c r="T1401" s="564"/>
      <c r="U1401" s="564"/>
      <c r="V1401" s="564"/>
      <c r="W1401" s="565"/>
      <c r="X1401" s="565"/>
      <c r="Y1401" s="565"/>
      <c r="Z1401" s="565"/>
    </row>
    <row r="1402" spans="1:26" s="639" customFormat="1" ht="60" hidden="1">
      <c r="A1402" s="647">
        <v>4740</v>
      </c>
      <c r="B1402" s="712" t="s">
        <v>215</v>
      </c>
      <c r="C1402" s="603"/>
      <c r="D1402" s="581">
        <f>G1402+J1402+P1402+M1402</f>
        <v>0</v>
      </c>
      <c r="E1402" s="581">
        <f>SUM(H1402+K1402+N1402+Q1402)</f>
        <v>0</v>
      </c>
      <c r="F1402" s="876" t="e">
        <f>E1402/D1402*100</f>
        <v>#DIV/0!</v>
      </c>
      <c r="G1402" s="603"/>
      <c r="H1402" s="581"/>
      <c r="I1402" s="653"/>
      <c r="J1402" s="586"/>
      <c r="K1402" s="581"/>
      <c r="L1402" s="587"/>
      <c r="M1402" s="603"/>
      <c r="N1402" s="581"/>
      <c r="O1402" s="585"/>
      <c r="P1402" s="581"/>
      <c r="Q1402" s="581"/>
      <c r="R1402" s="627" t="e">
        <f>Q1402/P1402*100</f>
        <v>#DIV/0!</v>
      </c>
      <c r="S1402" s="564"/>
      <c r="T1402" s="564"/>
      <c r="U1402" s="564"/>
      <c r="V1402" s="564"/>
      <c r="W1402" s="565"/>
      <c r="X1402" s="565"/>
      <c r="Y1402" s="565"/>
      <c r="Z1402" s="565"/>
    </row>
    <row r="1403" spans="1:26" s="639" customFormat="1" ht="36" hidden="1">
      <c r="A1403" s="647">
        <v>4750</v>
      </c>
      <c r="B1403" s="712" t="s">
        <v>589</v>
      </c>
      <c r="C1403" s="674"/>
      <c r="D1403" s="675">
        <f t="shared" si="163"/>
        <v>0</v>
      </c>
      <c r="E1403" s="675">
        <f t="shared" si="170"/>
        <v>0</v>
      </c>
      <c r="F1403" s="905" t="e">
        <f aca="true" t="shared" si="171" ref="F1403:F1466">E1403/D1403*100</f>
        <v>#DIV/0!</v>
      </c>
      <c r="G1403" s="674"/>
      <c r="H1403" s="675"/>
      <c r="I1403" s="653"/>
      <c r="J1403" s="676"/>
      <c r="K1403" s="675"/>
      <c r="L1403" s="677"/>
      <c r="M1403" s="674"/>
      <c r="N1403" s="675"/>
      <c r="O1403" s="679"/>
      <c r="P1403" s="675"/>
      <c r="Q1403" s="675"/>
      <c r="R1403" s="627" t="e">
        <f>Q1403/P1403*100</f>
        <v>#DIV/0!</v>
      </c>
      <c r="S1403" s="564"/>
      <c r="T1403" s="564"/>
      <c r="U1403" s="564"/>
      <c r="V1403" s="564"/>
      <c r="W1403" s="565"/>
      <c r="X1403" s="565"/>
      <c r="Y1403" s="565"/>
      <c r="Z1403" s="565"/>
    </row>
    <row r="1404" spans="1:26" s="639" customFormat="1" ht="24" customHeight="1">
      <c r="A1404" s="640">
        <v>85226</v>
      </c>
      <c r="B1404" s="856" t="s">
        <v>814</v>
      </c>
      <c r="C1404" s="608">
        <f>SUM(C1405:C1423)</f>
        <v>374573</v>
      </c>
      <c r="D1404" s="595">
        <f t="shared" si="163"/>
        <v>374573</v>
      </c>
      <c r="E1404" s="595">
        <f>H1404+K1404+Q1404+N1404</f>
        <v>104848</v>
      </c>
      <c r="F1404" s="907">
        <f t="shared" si="171"/>
        <v>27.991339471878646</v>
      </c>
      <c r="G1404" s="734"/>
      <c r="H1404" s="735"/>
      <c r="I1404" s="731"/>
      <c r="J1404" s="736"/>
      <c r="K1404" s="735"/>
      <c r="L1404" s="737"/>
      <c r="M1404" s="595">
        <f>SUM(M1405:M1423)</f>
        <v>374573</v>
      </c>
      <c r="N1404" s="595">
        <f>SUM(N1405:N1423)</f>
        <v>104848</v>
      </c>
      <c r="O1404" s="624">
        <f aca="true" t="shared" si="172" ref="O1404:O1423">N1404/M1404*100</f>
        <v>27.991339471878646</v>
      </c>
      <c r="P1404" s="595"/>
      <c r="Q1404" s="595"/>
      <c r="R1404" s="602"/>
      <c r="S1404" s="564"/>
      <c r="T1404" s="564"/>
      <c r="U1404" s="564"/>
      <c r="V1404" s="564"/>
      <c r="W1404" s="565"/>
      <c r="X1404" s="565"/>
      <c r="Y1404" s="565"/>
      <c r="Z1404" s="565"/>
    </row>
    <row r="1405" spans="1:26" s="639" customFormat="1" ht="24" customHeight="1">
      <c r="A1405" s="667">
        <v>3020</v>
      </c>
      <c r="B1405" s="875" t="s">
        <v>736</v>
      </c>
      <c r="C1405" s="606">
        <v>900</v>
      </c>
      <c r="D1405" s="615">
        <f t="shared" si="163"/>
        <v>900</v>
      </c>
      <c r="E1405" s="615">
        <f aca="true" t="shared" si="173" ref="E1405:E1431">SUM(H1405+K1405+N1405+Q1405)</f>
        <v>0</v>
      </c>
      <c r="F1405" s="904">
        <f t="shared" si="171"/>
        <v>0</v>
      </c>
      <c r="G1405" s="606"/>
      <c r="H1405" s="615"/>
      <c r="I1405" s="671"/>
      <c r="J1405" s="618"/>
      <c r="K1405" s="615"/>
      <c r="L1405" s="619"/>
      <c r="M1405" s="606">
        <v>900</v>
      </c>
      <c r="N1405" s="615"/>
      <c r="O1405" s="669">
        <f t="shared" si="172"/>
        <v>0</v>
      </c>
      <c r="P1405" s="615"/>
      <c r="Q1405" s="615"/>
      <c r="R1405" s="590"/>
      <c r="S1405" s="564"/>
      <c r="T1405" s="564"/>
      <c r="U1405" s="564"/>
      <c r="V1405" s="564"/>
      <c r="W1405" s="565"/>
      <c r="X1405" s="565"/>
      <c r="Y1405" s="565"/>
      <c r="Z1405" s="565"/>
    </row>
    <row r="1406" spans="1:26" s="639" customFormat="1" ht="24" customHeight="1">
      <c r="A1406" s="647">
        <v>4010</v>
      </c>
      <c r="B1406" s="828" t="s">
        <v>703</v>
      </c>
      <c r="C1406" s="603">
        <v>249723</v>
      </c>
      <c r="D1406" s="581">
        <f t="shared" si="163"/>
        <v>249723</v>
      </c>
      <c r="E1406" s="581">
        <f t="shared" si="173"/>
        <v>62682</v>
      </c>
      <c r="F1406" s="876">
        <f t="shared" si="171"/>
        <v>25.100611477517088</v>
      </c>
      <c r="G1406" s="603"/>
      <c r="H1406" s="581"/>
      <c r="I1406" s="653"/>
      <c r="J1406" s="586"/>
      <c r="K1406" s="581"/>
      <c r="L1406" s="587"/>
      <c r="M1406" s="603">
        <v>249723</v>
      </c>
      <c r="N1406" s="581">
        <v>62682</v>
      </c>
      <c r="O1406" s="627">
        <f t="shared" si="172"/>
        <v>25.100611477517088</v>
      </c>
      <c r="P1406" s="581"/>
      <c r="Q1406" s="581"/>
      <c r="R1406" s="585"/>
      <c r="S1406" s="482"/>
      <c r="T1406" s="482"/>
      <c r="U1406" s="564"/>
      <c r="V1406" s="564"/>
      <c r="W1406" s="565"/>
      <c r="X1406" s="565"/>
      <c r="Y1406" s="565"/>
      <c r="Z1406" s="565"/>
    </row>
    <row r="1407" spans="1:26" s="639" customFormat="1" ht="26.25" customHeight="1">
      <c r="A1407" s="647">
        <v>4040</v>
      </c>
      <c r="B1407" s="828" t="s">
        <v>185</v>
      </c>
      <c r="C1407" s="603">
        <v>21000</v>
      </c>
      <c r="D1407" s="581">
        <f t="shared" si="163"/>
        <v>21000</v>
      </c>
      <c r="E1407" s="581">
        <f t="shared" si="173"/>
        <v>18728</v>
      </c>
      <c r="F1407" s="876">
        <f t="shared" si="171"/>
        <v>89.18095238095238</v>
      </c>
      <c r="G1407" s="603"/>
      <c r="H1407" s="581"/>
      <c r="I1407" s="653"/>
      <c r="J1407" s="586"/>
      <c r="K1407" s="581"/>
      <c r="L1407" s="587"/>
      <c r="M1407" s="603">
        <v>21000</v>
      </c>
      <c r="N1407" s="581">
        <v>18728</v>
      </c>
      <c r="O1407" s="627">
        <f t="shared" si="172"/>
        <v>89.18095238095238</v>
      </c>
      <c r="P1407" s="581"/>
      <c r="Q1407" s="581"/>
      <c r="R1407" s="585"/>
      <c r="S1407" s="482"/>
      <c r="T1407" s="482"/>
      <c r="U1407" s="564"/>
      <c r="V1407" s="564"/>
      <c r="W1407" s="565"/>
      <c r="X1407" s="565"/>
      <c r="Y1407" s="565"/>
      <c r="Z1407" s="565"/>
    </row>
    <row r="1408" spans="1:26" s="639" customFormat="1" ht="24" customHeight="1">
      <c r="A1408" s="647">
        <v>4110</v>
      </c>
      <c r="B1408" s="828" t="s">
        <v>187</v>
      </c>
      <c r="C1408" s="603">
        <v>42980</v>
      </c>
      <c r="D1408" s="581">
        <f aca="true" t="shared" si="174" ref="D1408:D1489">G1408+J1408+P1408+M1408</f>
        <v>42980</v>
      </c>
      <c r="E1408" s="581">
        <f t="shared" si="173"/>
        <v>12586</v>
      </c>
      <c r="F1408" s="876">
        <f t="shared" si="171"/>
        <v>29.28338762214984</v>
      </c>
      <c r="G1408" s="603"/>
      <c r="H1408" s="581"/>
      <c r="I1408" s="653"/>
      <c r="J1408" s="586"/>
      <c r="K1408" s="581"/>
      <c r="L1408" s="587"/>
      <c r="M1408" s="603">
        <v>42980</v>
      </c>
      <c r="N1408" s="581">
        <v>12586</v>
      </c>
      <c r="O1408" s="627">
        <f t="shared" si="172"/>
        <v>29.28338762214984</v>
      </c>
      <c r="P1408" s="581"/>
      <c r="Q1408" s="581"/>
      <c r="R1408" s="585"/>
      <c r="S1408" s="482"/>
      <c r="T1408" s="482"/>
      <c r="U1408" s="564"/>
      <c r="V1408" s="564"/>
      <c r="W1408" s="565"/>
      <c r="X1408" s="565"/>
      <c r="Y1408" s="565"/>
      <c r="Z1408" s="565"/>
    </row>
    <row r="1409" spans="1:26" s="639" customFormat="1" ht="16.5" customHeight="1">
      <c r="A1409" s="647">
        <v>4120</v>
      </c>
      <c r="B1409" s="828" t="s">
        <v>619</v>
      </c>
      <c r="C1409" s="603">
        <v>6700</v>
      </c>
      <c r="D1409" s="581">
        <f t="shared" si="174"/>
        <v>6700</v>
      </c>
      <c r="E1409" s="581">
        <f t="shared" si="173"/>
        <v>1781</v>
      </c>
      <c r="F1409" s="876">
        <f t="shared" si="171"/>
        <v>26.58208955223881</v>
      </c>
      <c r="G1409" s="603"/>
      <c r="H1409" s="581"/>
      <c r="I1409" s="653"/>
      <c r="J1409" s="586"/>
      <c r="K1409" s="581"/>
      <c r="L1409" s="587"/>
      <c r="M1409" s="603">
        <v>6700</v>
      </c>
      <c r="N1409" s="581">
        <v>1781</v>
      </c>
      <c r="O1409" s="627">
        <f t="shared" si="172"/>
        <v>26.58208955223881</v>
      </c>
      <c r="P1409" s="581"/>
      <c r="Q1409" s="581"/>
      <c r="R1409" s="585"/>
      <c r="S1409" s="482"/>
      <c r="T1409" s="482"/>
      <c r="U1409" s="564"/>
      <c r="V1409" s="564"/>
      <c r="W1409" s="565"/>
      <c r="X1409" s="565"/>
      <c r="Y1409" s="565"/>
      <c r="Z1409" s="565"/>
    </row>
    <row r="1410" spans="1:26" s="639" customFormat="1" ht="24">
      <c r="A1410" s="647">
        <v>4170</v>
      </c>
      <c r="B1410" s="828" t="s">
        <v>221</v>
      </c>
      <c r="C1410" s="603">
        <v>5000</v>
      </c>
      <c r="D1410" s="581">
        <f t="shared" si="174"/>
        <v>5000</v>
      </c>
      <c r="E1410" s="581">
        <f t="shared" si="173"/>
        <v>200</v>
      </c>
      <c r="F1410" s="876">
        <f t="shared" si="171"/>
        <v>4</v>
      </c>
      <c r="G1410" s="603"/>
      <c r="H1410" s="581"/>
      <c r="I1410" s="653"/>
      <c r="J1410" s="586"/>
      <c r="K1410" s="581"/>
      <c r="L1410" s="587"/>
      <c r="M1410" s="603">
        <v>5000</v>
      </c>
      <c r="N1410" s="581">
        <v>200</v>
      </c>
      <c r="O1410" s="627">
        <f t="shared" si="172"/>
        <v>4</v>
      </c>
      <c r="P1410" s="581"/>
      <c r="Q1410" s="581"/>
      <c r="R1410" s="585"/>
      <c r="S1410" s="482"/>
      <c r="T1410" s="482"/>
      <c r="U1410" s="564"/>
      <c r="V1410" s="564"/>
      <c r="W1410" s="565"/>
      <c r="X1410" s="565"/>
      <c r="Y1410" s="565"/>
      <c r="Z1410" s="565"/>
    </row>
    <row r="1411" spans="1:26" s="639" customFormat="1" ht="23.25" customHeight="1">
      <c r="A1411" s="647">
        <v>4210</v>
      </c>
      <c r="B1411" s="828" t="s">
        <v>191</v>
      </c>
      <c r="C1411" s="603">
        <v>5000</v>
      </c>
      <c r="D1411" s="581">
        <f t="shared" si="174"/>
        <v>5000</v>
      </c>
      <c r="E1411" s="581">
        <f t="shared" si="173"/>
        <v>618</v>
      </c>
      <c r="F1411" s="876">
        <f t="shared" si="171"/>
        <v>12.36</v>
      </c>
      <c r="G1411" s="603"/>
      <c r="H1411" s="581"/>
      <c r="I1411" s="653"/>
      <c r="J1411" s="586"/>
      <c r="K1411" s="581"/>
      <c r="L1411" s="587"/>
      <c r="M1411" s="603">
        <v>5000</v>
      </c>
      <c r="N1411" s="581">
        <v>618</v>
      </c>
      <c r="O1411" s="627">
        <f t="shared" si="172"/>
        <v>12.36</v>
      </c>
      <c r="P1411" s="581"/>
      <c r="Q1411" s="581"/>
      <c r="R1411" s="585"/>
      <c r="S1411" s="564"/>
      <c r="T1411" s="564"/>
      <c r="U1411" s="564"/>
      <c r="V1411" s="564"/>
      <c r="W1411" s="565"/>
      <c r="X1411" s="565"/>
      <c r="Y1411" s="565"/>
      <c r="Z1411" s="565"/>
    </row>
    <row r="1412" spans="1:26" s="639" customFormat="1" ht="28.5" customHeight="1">
      <c r="A1412" s="647">
        <v>4240</v>
      </c>
      <c r="B1412" s="828" t="s">
        <v>696</v>
      </c>
      <c r="C1412" s="603">
        <v>1000</v>
      </c>
      <c r="D1412" s="581">
        <f t="shared" si="174"/>
        <v>1000</v>
      </c>
      <c r="E1412" s="581">
        <f t="shared" si="173"/>
        <v>0</v>
      </c>
      <c r="F1412" s="876">
        <f t="shared" si="171"/>
        <v>0</v>
      </c>
      <c r="G1412" s="603"/>
      <c r="H1412" s="581"/>
      <c r="I1412" s="653"/>
      <c r="J1412" s="586"/>
      <c r="K1412" s="581"/>
      <c r="L1412" s="587"/>
      <c r="M1412" s="603">
        <v>1000</v>
      </c>
      <c r="N1412" s="581"/>
      <c r="O1412" s="627">
        <f t="shared" si="172"/>
        <v>0</v>
      </c>
      <c r="P1412" s="581"/>
      <c r="Q1412" s="581"/>
      <c r="R1412" s="585"/>
      <c r="S1412" s="564"/>
      <c r="T1412" s="564"/>
      <c r="U1412" s="564"/>
      <c r="V1412" s="564"/>
      <c r="W1412" s="565"/>
      <c r="X1412" s="565"/>
      <c r="Y1412" s="565"/>
      <c r="Z1412" s="565"/>
    </row>
    <row r="1413" spans="1:26" s="639" customFormat="1" ht="15" customHeight="1">
      <c r="A1413" s="647">
        <v>4260</v>
      </c>
      <c r="B1413" s="828" t="s">
        <v>195</v>
      </c>
      <c r="C1413" s="603">
        <v>6000</v>
      </c>
      <c r="D1413" s="581">
        <f t="shared" si="174"/>
        <v>6000</v>
      </c>
      <c r="E1413" s="581">
        <f t="shared" si="173"/>
        <v>2574</v>
      </c>
      <c r="F1413" s="876">
        <f t="shared" si="171"/>
        <v>42.9</v>
      </c>
      <c r="G1413" s="603"/>
      <c r="H1413" s="581"/>
      <c r="I1413" s="653"/>
      <c r="J1413" s="586"/>
      <c r="K1413" s="581"/>
      <c r="L1413" s="587"/>
      <c r="M1413" s="603">
        <v>6000</v>
      </c>
      <c r="N1413" s="581">
        <f>2575-1</f>
        <v>2574</v>
      </c>
      <c r="O1413" s="627">
        <f t="shared" si="172"/>
        <v>42.9</v>
      </c>
      <c r="P1413" s="581"/>
      <c r="Q1413" s="581"/>
      <c r="R1413" s="585"/>
      <c r="S1413" s="564"/>
      <c r="T1413" s="564"/>
      <c r="U1413" s="564"/>
      <c r="V1413" s="564"/>
      <c r="W1413" s="565"/>
      <c r="X1413" s="565"/>
      <c r="Y1413" s="565"/>
      <c r="Z1413" s="565"/>
    </row>
    <row r="1414" spans="1:26" s="639" customFormat="1" ht="15" customHeight="1" hidden="1">
      <c r="A1414" s="647">
        <v>4270</v>
      </c>
      <c r="B1414" s="828" t="s">
        <v>197</v>
      </c>
      <c r="C1414" s="603"/>
      <c r="D1414" s="581">
        <f t="shared" si="174"/>
        <v>0</v>
      </c>
      <c r="E1414" s="581">
        <f>SUM(H1414+K1414+N1414+Q1414)</f>
        <v>0</v>
      </c>
      <c r="F1414" s="876"/>
      <c r="G1414" s="603"/>
      <c r="H1414" s="581"/>
      <c r="I1414" s="653"/>
      <c r="J1414" s="586"/>
      <c r="K1414" s="581"/>
      <c r="L1414" s="587"/>
      <c r="M1414" s="603"/>
      <c r="N1414" s="581"/>
      <c r="O1414" s="627"/>
      <c r="P1414" s="581"/>
      <c r="Q1414" s="581"/>
      <c r="R1414" s="585"/>
      <c r="S1414" s="564"/>
      <c r="T1414" s="564"/>
      <c r="U1414" s="564"/>
      <c r="V1414" s="564"/>
      <c r="W1414" s="565"/>
      <c r="X1414" s="565"/>
      <c r="Y1414" s="565"/>
      <c r="Z1414" s="565"/>
    </row>
    <row r="1415" spans="1:26" s="639" customFormat="1" ht="15" customHeight="1">
      <c r="A1415" s="647">
        <v>4280</v>
      </c>
      <c r="B1415" s="828" t="s">
        <v>582</v>
      </c>
      <c r="C1415" s="603">
        <v>700</v>
      </c>
      <c r="D1415" s="581">
        <f t="shared" si="174"/>
        <v>700</v>
      </c>
      <c r="E1415" s="581">
        <f t="shared" si="173"/>
        <v>0</v>
      </c>
      <c r="F1415" s="876">
        <f t="shared" si="171"/>
        <v>0</v>
      </c>
      <c r="G1415" s="603"/>
      <c r="H1415" s="581"/>
      <c r="I1415" s="653"/>
      <c r="J1415" s="586"/>
      <c r="K1415" s="581"/>
      <c r="L1415" s="587"/>
      <c r="M1415" s="603">
        <v>700</v>
      </c>
      <c r="N1415" s="581"/>
      <c r="O1415" s="627">
        <f t="shared" si="172"/>
        <v>0</v>
      </c>
      <c r="P1415" s="581"/>
      <c r="Q1415" s="581"/>
      <c r="R1415" s="585"/>
      <c r="S1415" s="564"/>
      <c r="T1415" s="564"/>
      <c r="U1415" s="564"/>
      <c r="V1415" s="564"/>
      <c r="W1415" s="565"/>
      <c r="X1415" s="565"/>
      <c r="Y1415" s="565"/>
      <c r="Z1415" s="565"/>
    </row>
    <row r="1416" spans="1:26" s="639" customFormat="1" ht="16.5" customHeight="1">
      <c r="A1416" s="647">
        <v>4300</v>
      </c>
      <c r="B1416" s="828" t="s">
        <v>199</v>
      </c>
      <c r="C1416" s="603">
        <v>11000</v>
      </c>
      <c r="D1416" s="581">
        <f t="shared" si="174"/>
        <v>11000</v>
      </c>
      <c r="E1416" s="581">
        <f t="shared" si="173"/>
        <v>2291</v>
      </c>
      <c r="F1416" s="876">
        <f t="shared" si="171"/>
        <v>20.827272727272728</v>
      </c>
      <c r="G1416" s="603"/>
      <c r="H1416" s="581"/>
      <c r="I1416" s="653"/>
      <c r="J1416" s="586"/>
      <c r="K1416" s="581"/>
      <c r="L1416" s="587"/>
      <c r="M1416" s="603">
        <v>11000</v>
      </c>
      <c r="N1416" s="581">
        <v>2291</v>
      </c>
      <c r="O1416" s="627">
        <f t="shared" si="172"/>
        <v>20.827272727272728</v>
      </c>
      <c r="P1416" s="581"/>
      <c r="Q1416" s="581"/>
      <c r="R1416" s="585"/>
      <c r="S1416" s="564"/>
      <c r="T1416" s="564"/>
      <c r="U1416" s="564"/>
      <c r="V1416" s="564"/>
      <c r="W1416" s="565"/>
      <c r="X1416" s="565"/>
      <c r="Y1416" s="565"/>
      <c r="Z1416" s="565"/>
    </row>
    <row r="1417" spans="1:26" s="639" customFormat="1" ht="24">
      <c r="A1417" s="647">
        <v>4350</v>
      </c>
      <c r="B1417" s="828" t="s">
        <v>584</v>
      </c>
      <c r="C1417" s="603">
        <v>1500</v>
      </c>
      <c r="D1417" s="581">
        <f t="shared" si="174"/>
        <v>1500</v>
      </c>
      <c r="E1417" s="581">
        <f t="shared" si="173"/>
        <v>255</v>
      </c>
      <c r="F1417" s="876">
        <f t="shared" si="171"/>
        <v>17</v>
      </c>
      <c r="G1417" s="603"/>
      <c r="H1417" s="581"/>
      <c r="I1417" s="653"/>
      <c r="J1417" s="586"/>
      <c r="K1417" s="581"/>
      <c r="L1417" s="587"/>
      <c r="M1417" s="603">
        <v>1500</v>
      </c>
      <c r="N1417" s="581">
        <v>255</v>
      </c>
      <c r="O1417" s="627">
        <f t="shared" si="172"/>
        <v>17</v>
      </c>
      <c r="P1417" s="581"/>
      <c r="Q1417" s="581"/>
      <c r="R1417" s="585"/>
      <c r="S1417" s="564"/>
      <c r="T1417" s="564"/>
      <c r="U1417" s="564"/>
      <c r="V1417" s="564"/>
      <c r="W1417" s="565"/>
      <c r="X1417" s="565"/>
      <c r="Y1417" s="565"/>
      <c r="Z1417" s="565"/>
    </row>
    <row r="1418" spans="1:26" s="639" customFormat="1" ht="60" customHeight="1">
      <c r="A1418" s="647">
        <v>4370</v>
      </c>
      <c r="B1418" s="712" t="s">
        <v>432</v>
      </c>
      <c r="C1418" s="603">
        <v>5000</v>
      </c>
      <c r="D1418" s="581">
        <f t="shared" si="174"/>
        <v>5000</v>
      </c>
      <c r="E1418" s="581">
        <f t="shared" si="173"/>
        <v>798</v>
      </c>
      <c r="F1418" s="876">
        <f t="shared" si="171"/>
        <v>15.959999999999999</v>
      </c>
      <c r="G1418" s="603"/>
      <c r="H1418" s="581"/>
      <c r="I1418" s="653"/>
      <c r="J1418" s="586"/>
      <c r="K1418" s="581"/>
      <c r="L1418" s="587"/>
      <c r="M1418" s="603">
        <v>5000</v>
      </c>
      <c r="N1418" s="581">
        <v>798</v>
      </c>
      <c r="O1418" s="627">
        <f t="shared" si="172"/>
        <v>15.959999999999999</v>
      </c>
      <c r="P1418" s="581"/>
      <c r="Q1418" s="581"/>
      <c r="R1418" s="585"/>
      <c r="S1418" s="564"/>
      <c r="T1418" s="564"/>
      <c r="U1418" s="564"/>
      <c r="V1418" s="564"/>
      <c r="W1418" s="565"/>
      <c r="X1418" s="565"/>
      <c r="Y1418" s="565"/>
      <c r="Z1418" s="565"/>
    </row>
    <row r="1419" spans="1:26" s="639" customFormat="1" ht="14.25" customHeight="1">
      <c r="A1419" s="647">
        <v>4410</v>
      </c>
      <c r="B1419" s="828" t="s">
        <v>815</v>
      </c>
      <c r="C1419" s="603">
        <v>3500</v>
      </c>
      <c r="D1419" s="581">
        <f t="shared" si="174"/>
        <v>3500</v>
      </c>
      <c r="E1419" s="581">
        <f t="shared" si="173"/>
        <v>235</v>
      </c>
      <c r="F1419" s="876">
        <f t="shared" si="171"/>
        <v>6.714285714285714</v>
      </c>
      <c r="G1419" s="603"/>
      <c r="H1419" s="581"/>
      <c r="I1419" s="653"/>
      <c r="J1419" s="586"/>
      <c r="K1419" s="581"/>
      <c r="L1419" s="587"/>
      <c r="M1419" s="603">
        <v>3500</v>
      </c>
      <c r="N1419" s="581">
        <v>235</v>
      </c>
      <c r="O1419" s="627">
        <f t="shared" si="172"/>
        <v>6.714285714285714</v>
      </c>
      <c r="P1419" s="581"/>
      <c r="Q1419" s="581"/>
      <c r="R1419" s="585"/>
      <c r="S1419" s="564"/>
      <c r="T1419" s="564"/>
      <c r="U1419" s="564"/>
      <c r="V1419" s="564"/>
      <c r="W1419" s="565"/>
      <c r="X1419" s="565"/>
      <c r="Y1419" s="565"/>
      <c r="Z1419" s="565"/>
    </row>
    <row r="1420" spans="1:26" s="639" customFormat="1" ht="14.25" customHeight="1">
      <c r="A1420" s="647">
        <v>4440</v>
      </c>
      <c r="B1420" s="712" t="s">
        <v>712</v>
      </c>
      <c r="C1420" s="603">
        <v>7070</v>
      </c>
      <c r="D1420" s="581">
        <f t="shared" si="174"/>
        <v>7070</v>
      </c>
      <c r="E1420" s="581">
        <f t="shared" si="173"/>
        <v>1700</v>
      </c>
      <c r="F1420" s="876">
        <f t="shared" si="171"/>
        <v>24.045261669024047</v>
      </c>
      <c r="G1420" s="603"/>
      <c r="H1420" s="581"/>
      <c r="I1420" s="653"/>
      <c r="J1420" s="586"/>
      <c r="K1420" s="581"/>
      <c r="L1420" s="587"/>
      <c r="M1420" s="603">
        <v>7070</v>
      </c>
      <c r="N1420" s="581">
        <v>1700</v>
      </c>
      <c r="O1420" s="627">
        <f t="shared" si="172"/>
        <v>24.045261669024047</v>
      </c>
      <c r="P1420" s="581"/>
      <c r="Q1420" s="581"/>
      <c r="R1420" s="585"/>
      <c r="S1420" s="564"/>
      <c r="T1420" s="564"/>
      <c r="U1420" s="564"/>
      <c r="V1420" s="564"/>
      <c r="W1420" s="565"/>
      <c r="X1420" s="565"/>
      <c r="Y1420" s="565"/>
      <c r="Z1420" s="565"/>
    </row>
    <row r="1421" spans="1:26" s="639" customFormat="1" ht="39.75" customHeight="1">
      <c r="A1421" s="647">
        <v>4700</v>
      </c>
      <c r="B1421" s="712" t="s">
        <v>588</v>
      </c>
      <c r="C1421" s="603">
        <v>2500</v>
      </c>
      <c r="D1421" s="581">
        <f t="shared" si="174"/>
        <v>2500</v>
      </c>
      <c r="E1421" s="581">
        <f t="shared" si="173"/>
        <v>400</v>
      </c>
      <c r="F1421" s="876">
        <f t="shared" si="171"/>
        <v>16</v>
      </c>
      <c r="G1421" s="603"/>
      <c r="H1421" s="581"/>
      <c r="I1421" s="653"/>
      <c r="J1421" s="586"/>
      <c r="K1421" s="581"/>
      <c r="L1421" s="587"/>
      <c r="M1421" s="603">
        <v>2500</v>
      </c>
      <c r="N1421" s="581">
        <v>400</v>
      </c>
      <c r="O1421" s="627">
        <f t="shared" si="172"/>
        <v>16</v>
      </c>
      <c r="P1421" s="581"/>
      <c r="Q1421" s="581"/>
      <c r="R1421" s="585"/>
      <c r="S1421" s="564"/>
      <c r="T1421" s="564"/>
      <c r="U1421" s="564"/>
      <c r="V1421" s="564"/>
      <c r="W1421" s="565"/>
      <c r="X1421" s="565"/>
      <c r="Y1421" s="565"/>
      <c r="Z1421" s="565"/>
    </row>
    <row r="1422" spans="1:26" s="639" customFormat="1" ht="52.5" customHeight="1">
      <c r="A1422" s="647">
        <v>4740</v>
      </c>
      <c r="B1422" s="712" t="s">
        <v>215</v>
      </c>
      <c r="C1422" s="603">
        <v>3000</v>
      </c>
      <c r="D1422" s="581">
        <f t="shared" si="174"/>
        <v>3000</v>
      </c>
      <c r="E1422" s="581">
        <f t="shared" si="173"/>
        <v>0</v>
      </c>
      <c r="F1422" s="876">
        <f t="shared" si="171"/>
        <v>0</v>
      </c>
      <c r="G1422" s="603"/>
      <c r="H1422" s="581"/>
      <c r="I1422" s="653"/>
      <c r="J1422" s="586"/>
      <c r="K1422" s="581"/>
      <c r="L1422" s="587"/>
      <c r="M1422" s="603">
        <v>3000</v>
      </c>
      <c r="N1422" s="581"/>
      <c r="O1422" s="627">
        <f t="shared" si="172"/>
        <v>0</v>
      </c>
      <c r="P1422" s="581"/>
      <c r="Q1422" s="581"/>
      <c r="R1422" s="585"/>
      <c r="S1422" s="564"/>
      <c r="T1422" s="564"/>
      <c r="U1422" s="564"/>
      <c r="V1422" s="564"/>
      <c r="W1422" s="565"/>
      <c r="X1422" s="565"/>
      <c r="Y1422" s="565"/>
      <c r="Z1422" s="565"/>
    </row>
    <row r="1423" spans="1:26" s="639" customFormat="1" ht="36">
      <c r="A1423" s="647">
        <v>4750</v>
      </c>
      <c r="B1423" s="712" t="s">
        <v>589</v>
      </c>
      <c r="C1423" s="603">
        <v>2000</v>
      </c>
      <c r="D1423" s="581">
        <f t="shared" si="174"/>
        <v>2000</v>
      </c>
      <c r="E1423" s="581">
        <f t="shared" si="173"/>
        <v>0</v>
      </c>
      <c r="F1423" s="876">
        <f t="shared" si="171"/>
        <v>0</v>
      </c>
      <c r="G1423" s="603"/>
      <c r="H1423" s="581"/>
      <c r="I1423" s="653"/>
      <c r="J1423" s="586"/>
      <c r="K1423" s="581"/>
      <c r="L1423" s="587"/>
      <c r="M1423" s="603">
        <v>2000</v>
      </c>
      <c r="N1423" s="581"/>
      <c r="O1423" s="627">
        <f t="shared" si="172"/>
        <v>0</v>
      </c>
      <c r="P1423" s="581"/>
      <c r="Q1423" s="581"/>
      <c r="R1423" s="585"/>
      <c r="S1423" s="564"/>
      <c r="T1423" s="564"/>
      <c r="U1423" s="564"/>
      <c r="V1423" s="564"/>
      <c r="W1423" s="565"/>
      <c r="X1423" s="565"/>
      <c r="Y1423" s="565"/>
      <c r="Z1423" s="565"/>
    </row>
    <row r="1424" spans="1:26" s="917" customFormat="1" ht="114.75" hidden="1">
      <c r="A1424" s="822"/>
      <c r="B1424" s="823" t="s">
        <v>289</v>
      </c>
      <c r="C1424" s="754"/>
      <c r="D1424" s="755">
        <f t="shared" si="174"/>
        <v>0</v>
      </c>
      <c r="E1424" s="755">
        <f t="shared" si="173"/>
        <v>0</v>
      </c>
      <c r="F1424" s="876" t="e">
        <f t="shared" si="171"/>
        <v>#DIV/0!</v>
      </c>
      <c r="G1424" s="754"/>
      <c r="H1424" s="755"/>
      <c r="I1424" s="914"/>
      <c r="J1424" s="756"/>
      <c r="K1424" s="755"/>
      <c r="L1424" s="920"/>
      <c r="M1424" s="756"/>
      <c r="N1424" s="755"/>
      <c r="O1424" s="913"/>
      <c r="P1424" s="755">
        <f>SUM(P1425:P1432)</f>
        <v>0</v>
      </c>
      <c r="Q1424" s="755">
        <f>SUM(Q1425:Q1432)</f>
        <v>0</v>
      </c>
      <c r="R1424" s="585" t="e">
        <f>Q1424/P1424*100</f>
        <v>#DIV/0!</v>
      </c>
      <c r="S1424" s="915"/>
      <c r="T1424" s="915"/>
      <c r="U1424" s="915"/>
      <c r="V1424" s="915"/>
      <c r="W1424" s="916"/>
      <c r="X1424" s="916"/>
      <c r="Y1424" s="916"/>
      <c r="Z1424" s="916"/>
    </row>
    <row r="1425" spans="1:26" s="639" customFormat="1" ht="36" hidden="1">
      <c r="A1425" s="647">
        <v>4110</v>
      </c>
      <c r="B1425" s="828" t="s">
        <v>187</v>
      </c>
      <c r="C1425" s="603"/>
      <c r="D1425" s="581">
        <f t="shared" si="174"/>
        <v>0</v>
      </c>
      <c r="E1425" s="581">
        <f t="shared" si="173"/>
        <v>0</v>
      </c>
      <c r="F1425" s="876" t="e">
        <f t="shared" si="171"/>
        <v>#DIV/0!</v>
      </c>
      <c r="G1425" s="603"/>
      <c r="H1425" s="581"/>
      <c r="I1425" s="653"/>
      <c r="J1425" s="586"/>
      <c r="K1425" s="581"/>
      <c r="L1425" s="587"/>
      <c r="M1425" s="586"/>
      <c r="N1425" s="581"/>
      <c r="O1425" s="627"/>
      <c r="P1425" s="581">
        <f>1050-1050</f>
        <v>0</v>
      </c>
      <c r="Q1425" s="581"/>
      <c r="R1425" s="585" t="e">
        <f>Q1425/P1425*100</f>
        <v>#DIV/0!</v>
      </c>
      <c r="S1425" s="564"/>
      <c r="T1425" s="564"/>
      <c r="U1425" s="564"/>
      <c r="V1425" s="564"/>
      <c r="W1425" s="565"/>
      <c r="X1425" s="565"/>
      <c r="Y1425" s="565"/>
      <c r="Z1425" s="565"/>
    </row>
    <row r="1426" spans="1:26" s="639" customFormat="1" ht="12.75" hidden="1">
      <c r="A1426" s="647">
        <v>4120</v>
      </c>
      <c r="B1426" s="828" t="s">
        <v>619</v>
      </c>
      <c r="C1426" s="603"/>
      <c r="D1426" s="581">
        <f t="shared" si="174"/>
        <v>0</v>
      </c>
      <c r="E1426" s="581">
        <f t="shared" si="173"/>
        <v>0</v>
      </c>
      <c r="F1426" s="876" t="e">
        <f t="shared" si="171"/>
        <v>#DIV/0!</v>
      </c>
      <c r="G1426" s="603"/>
      <c r="H1426" s="581"/>
      <c r="I1426" s="653"/>
      <c r="J1426" s="586"/>
      <c r="K1426" s="581"/>
      <c r="L1426" s="587"/>
      <c r="M1426" s="586"/>
      <c r="N1426" s="581"/>
      <c r="O1426" s="627"/>
      <c r="P1426" s="581">
        <f>160-160</f>
        <v>0</v>
      </c>
      <c r="Q1426" s="581"/>
      <c r="R1426" s="585" t="e">
        <f aca="true" t="shared" si="175" ref="R1426:R1431">Q1426/P1426*100</f>
        <v>#DIV/0!</v>
      </c>
      <c r="S1426" s="564"/>
      <c r="T1426" s="564"/>
      <c r="U1426" s="564"/>
      <c r="V1426" s="564"/>
      <c r="W1426" s="565"/>
      <c r="X1426" s="565"/>
      <c r="Y1426" s="565"/>
      <c r="Z1426" s="565"/>
    </row>
    <row r="1427" spans="1:26" s="639" customFormat="1" ht="24" hidden="1">
      <c r="A1427" s="647">
        <v>4170</v>
      </c>
      <c r="B1427" s="828" t="s">
        <v>221</v>
      </c>
      <c r="C1427" s="603"/>
      <c r="D1427" s="581">
        <f t="shared" si="174"/>
        <v>0</v>
      </c>
      <c r="E1427" s="581">
        <f t="shared" si="173"/>
        <v>0</v>
      </c>
      <c r="F1427" s="876" t="e">
        <f t="shared" si="171"/>
        <v>#DIV/0!</v>
      </c>
      <c r="G1427" s="603"/>
      <c r="H1427" s="581"/>
      <c r="I1427" s="653"/>
      <c r="J1427" s="586"/>
      <c r="K1427" s="581"/>
      <c r="L1427" s="587"/>
      <c r="M1427" s="586"/>
      <c r="N1427" s="581"/>
      <c r="O1427" s="627"/>
      <c r="P1427" s="581">
        <f>6500-6500</f>
        <v>0</v>
      </c>
      <c r="Q1427" s="581"/>
      <c r="R1427" s="585" t="e">
        <f t="shared" si="175"/>
        <v>#DIV/0!</v>
      </c>
      <c r="S1427" s="564"/>
      <c r="T1427" s="564"/>
      <c r="U1427" s="564"/>
      <c r="V1427" s="564"/>
      <c r="W1427" s="565"/>
      <c r="X1427" s="565"/>
      <c r="Y1427" s="565"/>
      <c r="Z1427" s="565"/>
    </row>
    <row r="1428" spans="1:26" s="639" customFormat="1" ht="24" hidden="1">
      <c r="A1428" s="647">
        <v>4210</v>
      </c>
      <c r="B1428" s="828" t="s">
        <v>191</v>
      </c>
      <c r="C1428" s="603"/>
      <c r="D1428" s="581">
        <f t="shared" si="174"/>
        <v>0</v>
      </c>
      <c r="E1428" s="581">
        <f t="shared" si="173"/>
        <v>0</v>
      </c>
      <c r="F1428" s="876" t="e">
        <f t="shared" si="171"/>
        <v>#DIV/0!</v>
      </c>
      <c r="G1428" s="603"/>
      <c r="H1428" s="581"/>
      <c r="I1428" s="653"/>
      <c r="J1428" s="586"/>
      <c r="K1428" s="581"/>
      <c r="L1428" s="587"/>
      <c r="M1428" s="586"/>
      <c r="N1428" s="581"/>
      <c r="O1428" s="627"/>
      <c r="P1428" s="581">
        <f>2770-2770</f>
        <v>0</v>
      </c>
      <c r="Q1428" s="581"/>
      <c r="R1428" s="585" t="e">
        <f t="shared" si="175"/>
        <v>#DIV/0!</v>
      </c>
      <c r="S1428" s="564"/>
      <c r="T1428" s="564"/>
      <c r="U1428" s="564"/>
      <c r="V1428" s="564"/>
      <c r="W1428" s="565"/>
      <c r="X1428" s="565"/>
      <c r="Y1428" s="565"/>
      <c r="Z1428" s="565"/>
    </row>
    <row r="1429" spans="1:26" s="639" customFormat="1" ht="36" hidden="1">
      <c r="A1429" s="647">
        <v>4240</v>
      </c>
      <c r="B1429" s="828" t="s">
        <v>696</v>
      </c>
      <c r="C1429" s="603"/>
      <c r="D1429" s="581">
        <f t="shared" si="174"/>
        <v>0</v>
      </c>
      <c r="E1429" s="581">
        <f t="shared" si="173"/>
        <v>0</v>
      </c>
      <c r="F1429" s="876" t="e">
        <f t="shared" si="171"/>
        <v>#DIV/0!</v>
      </c>
      <c r="G1429" s="603"/>
      <c r="H1429" s="581"/>
      <c r="I1429" s="653"/>
      <c r="J1429" s="586"/>
      <c r="K1429" s="581"/>
      <c r="L1429" s="587"/>
      <c r="M1429" s="586"/>
      <c r="N1429" s="581"/>
      <c r="O1429" s="627"/>
      <c r="P1429" s="581">
        <f>600-600</f>
        <v>0</v>
      </c>
      <c r="Q1429" s="581"/>
      <c r="R1429" s="585" t="e">
        <f t="shared" si="175"/>
        <v>#DIV/0!</v>
      </c>
      <c r="S1429" s="564"/>
      <c r="T1429" s="564"/>
      <c r="U1429" s="564"/>
      <c r="V1429" s="564"/>
      <c r="W1429" s="565"/>
      <c r="X1429" s="565"/>
      <c r="Y1429" s="565"/>
      <c r="Z1429" s="565"/>
    </row>
    <row r="1430" spans="1:26" s="639" customFormat="1" ht="24" hidden="1">
      <c r="A1430" s="672">
        <v>4300</v>
      </c>
      <c r="B1430" s="877" t="s">
        <v>199</v>
      </c>
      <c r="C1430" s="674"/>
      <c r="D1430" s="675">
        <f t="shared" si="174"/>
        <v>0</v>
      </c>
      <c r="E1430" s="675">
        <f t="shared" si="173"/>
        <v>0</v>
      </c>
      <c r="F1430" s="905" t="e">
        <f t="shared" si="171"/>
        <v>#DIV/0!</v>
      </c>
      <c r="G1430" s="674"/>
      <c r="H1430" s="675"/>
      <c r="I1430" s="680"/>
      <c r="J1430" s="676"/>
      <c r="K1430" s="675"/>
      <c r="L1430" s="677"/>
      <c r="M1430" s="676"/>
      <c r="N1430" s="675"/>
      <c r="O1430" s="644"/>
      <c r="P1430" s="675">
        <f>300-300</f>
        <v>0</v>
      </c>
      <c r="Q1430" s="675"/>
      <c r="R1430" s="679" t="e">
        <f t="shared" si="175"/>
        <v>#DIV/0!</v>
      </c>
      <c r="S1430" s="564"/>
      <c r="T1430" s="564"/>
      <c r="U1430" s="564"/>
      <c r="V1430" s="564"/>
      <c r="W1430" s="565"/>
      <c r="X1430" s="565"/>
      <c r="Y1430" s="565"/>
      <c r="Z1430" s="565"/>
    </row>
    <row r="1431" spans="1:26" s="639" customFormat="1" ht="48" hidden="1">
      <c r="A1431" s="647">
        <v>4370</v>
      </c>
      <c r="B1431" s="712" t="s">
        <v>666</v>
      </c>
      <c r="C1431" s="603"/>
      <c r="D1431" s="581">
        <f t="shared" si="174"/>
        <v>0</v>
      </c>
      <c r="E1431" s="581">
        <f t="shared" si="173"/>
        <v>0</v>
      </c>
      <c r="F1431" s="876" t="e">
        <f t="shared" si="171"/>
        <v>#DIV/0!</v>
      </c>
      <c r="G1431" s="603"/>
      <c r="H1431" s="581"/>
      <c r="I1431" s="653"/>
      <c r="J1431" s="586"/>
      <c r="K1431" s="581"/>
      <c r="L1431" s="587"/>
      <c r="M1431" s="586"/>
      <c r="N1431" s="581"/>
      <c r="O1431" s="627"/>
      <c r="P1431" s="581">
        <f>450-450</f>
        <v>0</v>
      </c>
      <c r="Q1431" s="581"/>
      <c r="R1431" s="585" t="e">
        <f t="shared" si="175"/>
        <v>#DIV/0!</v>
      </c>
      <c r="S1431" s="564"/>
      <c r="T1431" s="564"/>
      <c r="U1431" s="564"/>
      <c r="V1431" s="564"/>
      <c r="W1431" s="565"/>
      <c r="X1431" s="565"/>
      <c r="Y1431" s="565"/>
      <c r="Z1431" s="565"/>
    </row>
    <row r="1432" spans="1:26" s="639" customFormat="1" ht="36" hidden="1">
      <c r="A1432" s="647">
        <v>4750</v>
      </c>
      <c r="B1432" s="712" t="s">
        <v>589</v>
      </c>
      <c r="C1432" s="603"/>
      <c r="D1432" s="581">
        <f>G1432+J1432+P1432+M1432</f>
        <v>0</v>
      </c>
      <c r="E1432" s="581">
        <f>SUM(H1432+K1432+N1432+Q1432)</f>
        <v>0</v>
      </c>
      <c r="F1432" s="876" t="e">
        <f>E1432/D1432*100</f>
        <v>#DIV/0!</v>
      </c>
      <c r="G1432" s="674"/>
      <c r="H1432" s="675"/>
      <c r="I1432" s="680"/>
      <c r="J1432" s="676"/>
      <c r="K1432" s="675"/>
      <c r="L1432" s="677"/>
      <c r="M1432" s="586"/>
      <c r="N1432" s="675"/>
      <c r="O1432" s="627"/>
      <c r="P1432" s="675">
        <f>1000-1000</f>
        <v>0</v>
      </c>
      <c r="Q1432" s="675"/>
      <c r="R1432" s="585" t="e">
        <f>Q1432/P1432*100</f>
        <v>#DIV/0!</v>
      </c>
      <c r="S1432" s="564"/>
      <c r="T1432" s="564"/>
      <c r="U1432" s="564"/>
      <c r="V1432" s="564"/>
      <c r="W1432" s="565"/>
      <c r="X1432" s="565"/>
      <c r="Y1432" s="565"/>
      <c r="Z1432" s="565"/>
    </row>
    <row r="1433" spans="1:18" ht="36">
      <c r="A1433" s="640">
        <v>85228</v>
      </c>
      <c r="B1433" s="856" t="s">
        <v>816</v>
      </c>
      <c r="C1433" s="608">
        <f>SUM(C1434:C1448)</f>
        <v>1426536</v>
      </c>
      <c r="D1433" s="595">
        <f t="shared" si="174"/>
        <v>1426536</v>
      </c>
      <c r="E1433" s="595">
        <f>H1433+K1433+Q1433+N1433</f>
        <v>430895</v>
      </c>
      <c r="F1433" s="907">
        <f t="shared" si="171"/>
        <v>30.20568706292726</v>
      </c>
      <c r="G1433" s="608">
        <f>SUM(G1434:G1448)</f>
        <v>1276536</v>
      </c>
      <c r="H1433" s="595">
        <f>SUM(H1434:H1448)</f>
        <v>394727</v>
      </c>
      <c r="I1433" s="751">
        <f aca="true" t="shared" si="176" ref="I1433:I1448">H1433/G1433*100</f>
        <v>30.921728803574673</v>
      </c>
      <c r="J1433" s="600">
        <f>SUM(J1434:J1448)</f>
        <v>150000</v>
      </c>
      <c r="K1433" s="595">
        <f>SUM(K1434:K1448)</f>
        <v>36168</v>
      </c>
      <c r="L1433" s="601">
        <f>K1433/J1433*100</f>
        <v>24.112000000000002</v>
      </c>
      <c r="M1433" s="595"/>
      <c r="N1433" s="595"/>
      <c r="O1433" s="645"/>
      <c r="P1433" s="595"/>
      <c r="Q1433" s="595"/>
      <c r="R1433" s="602"/>
    </row>
    <row r="1434" spans="1:26" s="639" customFormat="1" ht="36">
      <c r="A1434" s="647">
        <v>3020</v>
      </c>
      <c r="B1434" s="828" t="s">
        <v>736</v>
      </c>
      <c r="C1434" s="603">
        <v>12775</v>
      </c>
      <c r="D1434" s="581">
        <f t="shared" si="174"/>
        <v>12775</v>
      </c>
      <c r="E1434" s="581">
        <f aca="true" t="shared" si="177" ref="E1434:E1448">SUM(H1434+K1434+N1434+Q1434)</f>
        <v>0</v>
      </c>
      <c r="F1434" s="876">
        <f t="shared" si="171"/>
        <v>0</v>
      </c>
      <c r="G1434" s="603">
        <v>12375</v>
      </c>
      <c r="H1434" s="581"/>
      <c r="I1434" s="629">
        <f t="shared" si="176"/>
        <v>0</v>
      </c>
      <c r="J1434" s="586">
        <v>400</v>
      </c>
      <c r="K1434" s="581"/>
      <c r="L1434" s="587">
        <f aca="true" t="shared" si="178" ref="L1434:L1446">K1434/J1434*100</f>
        <v>0</v>
      </c>
      <c r="M1434" s="581"/>
      <c r="N1434" s="581"/>
      <c r="O1434" s="649"/>
      <c r="P1434" s="581"/>
      <c r="Q1434" s="581"/>
      <c r="R1434" s="585"/>
      <c r="S1434" s="564"/>
      <c r="T1434" s="564"/>
      <c r="U1434" s="564"/>
      <c r="V1434" s="564"/>
      <c r="W1434" s="565"/>
      <c r="X1434" s="565"/>
      <c r="Y1434" s="565"/>
      <c r="Z1434" s="565"/>
    </row>
    <row r="1435" spans="1:26" s="639" customFormat="1" ht="29.25" customHeight="1">
      <c r="A1435" s="647">
        <v>4010</v>
      </c>
      <c r="B1435" s="828" t="s">
        <v>181</v>
      </c>
      <c r="C1435" s="603">
        <v>843018</v>
      </c>
      <c r="D1435" s="581">
        <f>G1435+J1435+P1435+M1435</f>
        <v>843018</v>
      </c>
      <c r="E1435" s="581">
        <f t="shared" si="177"/>
        <v>232313</v>
      </c>
      <c r="F1435" s="876">
        <f>E1435/D1435*100</f>
        <v>27.557300081374304</v>
      </c>
      <c r="G1435" s="603">
        <v>817915</v>
      </c>
      <c r="H1435" s="581">
        <v>225813</v>
      </c>
      <c r="I1435" s="582">
        <f t="shared" si="176"/>
        <v>27.608370062903848</v>
      </c>
      <c r="J1435" s="586">
        <v>25103</v>
      </c>
      <c r="K1435" s="581">
        <v>6500</v>
      </c>
      <c r="L1435" s="587">
        <f t="shared" si="178"/>
        <v>25.89331952356292</v>
      </c>
      <c r="M1435" s="581"/>
      <c r="N1435" s="581"/>
      <c r="O1435" s="649"/>
      <c r="P1435" s="581"/>
      <c r="Q1435" s="581"/>
      <c r="R1435" s="585"/>
      <c r="S1435" s="482"/>
      <c r="T1435" s="482"/>
      <c r="U1435" s="564"/>
      <c r="V1435" s="564"/>
      <c r="W1435" s="565"/>
      <c r="X1435" s="565"/>
      <c r="Y1435" s="565"/>
      <c r="Z1435" s="565"/>
    </row>
    <row r="1436" spans="1:26" s="639" customFormat="1" ht="24">
      <c r="A1436" s="647">
        <v>4040</v>
      </c>
      <c r="B1436" s="828" t="s">
        <v>185</v>
      </c>
      <c r="C1436" s="603">
        <v>74122</v>
      </c>
      <c r="D1436" s="581">
        <f>G1436+J1436+P1436+M1436</f>
        <v>74122</v>
      </c>
      <c r="E1436" s="581">
        <f>SUM(H1436+K1436+N1436+Q1436)</f>
        <v>62894</v>
      </c>
      <c r="F1436" s="876">
        <f>E1436/D1436*100</f>
        <v>84.85200075551118</v>
      </c>
      <c r="G1436" s="603">
        <v>71669</v>
      </c>
      <c r="H1436" s="581">
        <f>60895+1-1</f>
        <v>60895</v>
      </c>
      <c r="I1436" s="582">
        <f t="shared" si="176"/>
        <v>84.96700107438363</v>
      </c>
      <c r="J1436" s="586">
        <v>2453</v>
      </c>
      <c r="K1436" s="581">
        <v>1999</v>
      </c>
      <c r="L1436" s="587">
        <f t="shared" si="178"/>
        <v>81.49205055034652</v>
      </c>
      <c r="M1436" s="581"/>
      <c r="N1436" s="581"/>
      <c r="O1436" s="649"/>
      <c r="P1436" s="581"/>
      <c r="Q1436" s="581"/>
      <c r="R1436" s="585"/>
      <c r="S1436" s="482"/>
      <c r="T1436" s="482"/>
      <c r="U1436" s="564"/>
      <c r="V1436" s="564"/>
      <c r="W1436" s="565"/>
      <c r="X1436" s="565"/>
      <c r="Y1436" s="565"/>
      <c r="Z1436" s="565"/>
    </row>
    <row r="1437" spans="1:26" s="639" customFormat="1" ht="24.75" customHeight="1">
      <c r="A1437" s="647">
        <v>4110</v>
      </c>
      <c r="B1437" s="828" t="s">
        <v>187</v>
      </c>
      <c r="C1437" s="603">
        <v>159287</v>
      </c>
      <c r="D1437" s="581">
        <f>G1437+J1437+P1437+M1437</f>
        <v>159287</v>
      </c>
      <c r="E1437" s="581">
        <f t="shared" si="177"/>
        <v>45140</v>
      </c>
      <c r="F1437" s="876">
        <f>E1437/D1437*100</f>
        <v>28.338784709361093</v>
      </c>
      <c r="G1437" s="603">
        <v>153102</v>
      </c>
      <c r="H1437" s="581">
        <v>43620</v>
      </c>
      <c r="I1437" s="582">
        <f t="shared" si="176"/>
        <v>28.49081004820316</v>
      </c>
      <c r="J1437" s="586">
        <v>6185</v>
      </c>
      <c r="K1437" s="581">
        <v>1520</v>
      </c>
      <c r="L1437" s="628">
        <f t="shared" si="178"/>
        <v>24.575586095392076</v>
      </c>
      <c r="M1437" s="581"/>
      <c r="N1437" s="581"/>
      <c r="O1437" s="649"/>
      <c r="P1437" s="581"/>
      <c r="Q1437" s="581"/>
      <c r="R1437" s="585"/>
      <c r="S1437" s="482"/>
      <c r="T1437" s="482"/>
      <c r="U1437" s="564"/>
      <c r="V1437" s="564"/>
      <c r="W1437" s="565"/>
      <c r="X1437" s="565"/>
      <c r="Y1437" s="565"/>
      <c r="Z1437" s="565"/>
    </row>
    <row r="1438" spans="1:26" s="639" customFormat="1" ht="14.25" customHeight="1">
      <c r="A1438" s="647">
        <v>4120</v>
      </c>
      <c r="B1438" s="828" t="s">
        <v>619</v>
      </c>
      <c r="C1438" s="603">
        <v>23695</v>
      </c>
      <c r="D1438" s="581">
        <f t="shared" si="174"/>
        <v>23695</v>
      </c>
      <c r="E1438" s="581">
        <f t="shared" si="177"/>
        <v>5865</v>
      </c>
      <c r="F1438" s="876">
        <f t="shared" si="171"/>
        <v>24.752057396075124</v>
      </c>
      <c r="G1438" s="603">
        <v>22775</v>
      </c>
      <c r="H1438" s="581">
        <v>5603</v>
      </c>
      <c r="I1438" s="582">
        <f t="shared" si="176"/>
        <v>24.60153677277717</v>
      </c>
      <c r="J1438" s="586">
        <v>920</v>
      </c>
      <c r="K1438" s="581">
        <f>262-1+1</f>
        <v>262</v>
      </c>
      <c r="L1438" s="587">
        <f t="shared" si="178"/>
        <v>28.47826086956522</v>
      </c>
      <c r="M1438" s="581"/>
      <c r="N1438" s="581"/>
      <c r="O1438" s="649"/>
      <c r="P1438" s="581"/>
      <c r="Q1438" s="581"/>
      <c r="R1438" s="585"/>
      <c r="S1438" s="482"/>
      <c r="T1438" s="482"/>
      <c r="U1438" s="564"/>
      <c r="V1438" s="564"/>
      <c r="W1438" s="565"/>
      <c r="X1438" s="565"/>
      <c r="Y1438" s="565"/>
      <c r="Z1438" s="565"/>
    </row>
    <row r="1439" spans="1:26" s="639" customFormat="1" ht="24">
      <c r="A1439" s="647">
        <v>4170</v>
      </c>
      <c r="B1439" s="828" t="s">
        <v>221</v>
      </c>
      <c r="C1439" s="603">
        <v>127908</v>
      </c>
      <c r="D1439" s="581">
        <f t="shared" si="174"/>
        <v>127908</v>
      </c>
      <c r="E1439" s="581">
        <f t="shared" si="177"/>
        <v>27350</v>
      </c>
      <c r="F1439" s="876">
        <f t="shared" si="171"/>
        <v>21.382556212277574</v>
      </c>
      <c r="G1439" s="603">
        <v>40000</v>
      </c>
      <c r="H1439" s="581">
        <v>9338</v>
      </c>
      <c r="I1439" s="582">
        <f t="shared" si="176"/>
        <v>23.345</v>
      </c>
      <c r="J1439" s="586">
        <v>87908</v>
      </c>
      <c r="K1439" s="581">
        <v>18012</v>
      </c>
      <c r="L1439" s="587">
        <f t="shared" si="178"/>
        <v>20.489602766528645</v>
      </c>
      <c r="M1439" s="581"/>
      <c r="N1439" s="581"/>
      <c r="O1439" s="649"/>
      <c r="P1439" s="581"/>
      <c r="Q1439" s="581"/>
      <c r="R1439" s="585"/>
      <c r="S1439" s="482"/>
      <c r="T1439" s="482"/>
      <c r="U1439" s="564"/>
      <c r="V1439" s="564"/>
      <c r="W1439" s="565"/>
      <c r="X1439" s="565"/>
      <c r="Y1439" s="565"/>
      <c r="Z1439" s="565"/>
    </row>
    <row r="1440" spans="1:26" s="639" customFormat="1" ht="24">
      <c r="A1440" s="647">
        <v>4210</v>
      </c>
      <c r="B1440" s="828" t="s">
        <v>191</v>
      </c>
      <c r="C1440" s="603">
        <v>3000</v>
      </c>
      <c r="D1440" s="581">
        <f t="shared" si="174"/>
        <v>3000</v>
      </c>
      <c r="E1440" s="581">
        <f t="shared" si="177"/>
        <v>0</v>
      </c>
      <c r="F1440" s="876">
        <f t="shared" si="171"/>
        <v>0</v>
      </c>
      <c r="G1440" s="603">
        <v>3000</v>
      </c>
      <c r="H1440" s="581"/>
      <c r="I1440" s="582">
        <f t="shared" si="176"/>
        <v>0</v>
      </c>
      <c r="J1440" s="586"/>
      <c r="K1440" s="581"/>
      <c r="L1440" s="587"/>
      <c r="M1440" s="581"/>
      <c r="N1440" s="581"/>
      <c r="O1440" s="649"/>
      <c r="P1440" s="581"/>
      <c r="Q1440" s="581"/>
      <c r="R1440" s="585"/>
      <c r="S1440" s="564"/>
      <c r="T1440" s="564"/>
      <c r="U1440" s="564"/>
      <c r="V1440" s="564"/>
      <c r="W1440" s="565"/>
      <c r="X1440" s="565"/>
      <c r="Y1440" s="565"/>
      <c r="Z1440" s="565"/>
    </row>
    <row r="1441" spans="1:26" s="639" customFormat="1" ht="12.75">
      <c r="A1441" s="647">
        <v>4260</v>
      </c>
      <c r="B1441" s="828" t="s">
        <v>195</v>
      </c>
      <c r="C1441" s="603">
        <v>1000</v>
      </c>
      <c r="D1441" s="581">
        <f t="shared" si="174"/>
        <v>1000</v>
      </c>
      <c r="E1441" s="581">
        <f t="shared" si="177"/>
        <v>27</v>
      </c>
      <c r="F1441" s="876">
        <f t="shared" si="171"/>
        <v>2.7</v>
      </c>
      <c r="G1441" s="603">
        <v>1000</v>
      </c>
      <c r="H1441" s="581">
        <v>27</v>
      </c>
      <c r="I1441" s="582">
        <f t="shared" si="176"/>
        <v>2.7</v>
      </c>
      <c r="J1441" s="586"/>
      <c r="K1441" s="581"/>
      <c r="L1441" s="587"/>
      <c r="M1441" s="581"/>
      <c r="N1441" s="581"/>
      <c r="O1441" s="649"/>
      <c r="P1441" s="581"/>
      <c r="Q1441" s="581"/>
      <c r="R1441" s="585"/>
      <c r="S1441" s="564"/>
      <c r="T1441" s="564"/>
      <c r="U1441" s="564"/>
      <c r="V1441" s="564"/>
      <c r="W1441" s="565"/>
      <c r="X1441" s="565"/>
      <c r="Y1441" s="565"/>
      <c r="Z1441" s="565"/>
    </row>
    <row r="1442" spans="1:26" s="639" customFormat="1" ht="16.5" customHeight="1">
      <c r="A1442" s="647">
        <v>4280</v>
      </c>
      <c r="B1442" s="828" t="s">
        <v>582</v>
      </c>
      <c r="C1442" s="603">
        <v>1000</v>
      </c>
      <c r="D1442" s="581">
        <f t="shared" si="174"/>
        <v>1000</v>
      </c>
      <c r="E1442" s="581">
        <f t="shared" si="177"/>
        <v>322</v>
      </c>
      <c r="F1442" s="876">
        <f t="shared" si="171"/>
        <v>32.2</v>
      </c>
      <c r="G1442" s="603">
        <v>1000</v>
      </c>
      <c r="H1442" s="581">
        <v>322</v>
      </c>
      <c r="I1442" s="582">
        <f t="shared" si="176"/>
        <v>32.2</v>
      </c>
      <c r="J1442" s="586"/>
      <c r="K1442" s="581"/>
      <c r="L1442" s="587"/>
      <c r="M1442" s="581"/>
      <c r="N1442" s="581"/>
      <c r="O1442" s="649"/>
      <c r="P1442" s="581"/>
      <c r="Q1442" s="581"/>
      <c r="R1442" s="585"/>
      <c r="S1442" s="564"/>
      <c r="T1442" s="564"/>
      <c r="U1442" s="564"/>
      <c r="V1442" s="564"/>
      <c r="W1442" s="565"/>
      <c r="X1442" s="565"/>
      <c r="Y1442" s="565"/>
      <c r="Z1442" s="565"/>
    </row>
    <row r="1443" spans="1:26" s="639" customFormat="1" ht="15.75" customHeight="1">
      <c r="A1443" s="647">
        <v>4300</v>
      </c>
      <c r="B1443" s="828" t="s">
        <v>583</v>
      </c>
      <c r="C1443" s="603">
        <v>120531</v>
      </c>
      <c r="D1443" s="581">
        <f t="shared" si="174"/>
        <v>120531</v>
      </c>
      <c r="E1443" s="581">
        <f t="shared" si="177"/>
        <v>13041</v>
      </c>
      <c r="F1443" s="876">
        <f t="shared" si="171"/>
        <v>10.819623167483885</v>
      </c>
      <c r="G1443" s="603">
        <v>95200</v>
      </c>
      <c r="H1443" s="581">
        <v>6266</v>
      </c>
      <c r="I1443" s="582">
        <f t="shared" si="176"/>
        <v>6.581932773109243</v>
      </c>
      <c r="J1443" s="586">
        <v>25331</v>
      </c>
      <c r="K1443" s="581">
        <v>6775</v>
      </c>
      <c r="L1443" s="587">
        <f t="shared" si="178"/>
        <v>26.74588448936086</v>
      </c>
      <c r="M1443" s="581"/>
      <c r="N1443" s="581"/>
      <c r="O1443" s="649"/>
      <c r="P1443" s="581"/>
      <c r="Q1443" s="581"/>
      <c r="R1443" s="585"/>
      <c r="S1443" s="564"/>
      <c r="T1443" s="564"/>
      <c r="U1443" s="564"/>
      <c r="V1443" s="564"/>
      <c r="W1443" s="565"/>
      <c r="X1443" s="565"/>
      <c r="Y1443" s="565"/>
      <c r="Z1443" s="565"/>
    </row>
    <row r="1444" spans="1:26" s="639" customFormat="1" ht="48" hidden="1">
      <c r="A1444" s="647">
        <v>4370</v>
      </c>
      <c r="B1444" s="828" t="s">
        <v>585</v>
      </c>
      <c r="C1444" s="603"/>
      <c r="D1444" s="581">
        <f>G1444+J1444+P1444+M1444</f>
        <v>0</v>
      </c>
      <c r="E1444" s="581">
        <f>SUM(H1444+K1444+N1444+Q1444)</f>
        <v>0</v>
      </c>
      <c r="F1444" s="876" t="e">
        <f>E1444/D1444*100</f>
        <v>#DIV/0!</v>
      </c>
      <c r="G1444" s="603"/>
      <c r="H1444" s="581"/>
      <c r="I1444" s="582" t="e">
        <f t="shared" si="176"/>
        <v>#DIV/0!</v>
      </c>
      <c r="J1444" s="586"/>
      <c r="K1444" s="581"/>
      <c r="L1444" s="587"/>
      <c r="M1444" s="581"/>
      <c r="N1444" s="581"/>
      <c r="O1444" s="649"/>
      <c r="P1444" s="581"/>
      <c r="Q1444" s="581"/>
      <c r="R1444" s="585"/>
      <c r="S1444" s="564"/>
      <c r="T1444" s="564"/>
      <c r="U1444" s="564"/>
      <c r="V1444" s="564"/>
      <c r="W1444" s="565"/>
      <c r="X1444" s="565"/>
      <c r="Y1444" s="565"/>
      <c r="Z1444" s="565"/>
    </row>
    <row r="1445" spans="1:26" s="639" customFormat="1" ht="13.5" customHeight="1">
      <c r="A1445" s="647">
        <v>4410</v>
      </c>
      <c r="B1445" s="828" t="s">
        <v>815</v>
      </c>
      <c r="C1445" s="603">
        <v>20600</v>
      </c>
      <c r="D1445" s="581">
        <f t="shared" si="174"/>
        <v>20600</v>
      </c>
      <c r="E1445" s="581">
        <f t="shared" si="177"/>
        <v>5843</v>
      </c>
      <c r="F1445" s="876">
        <f t="shared" si="171"/>
        <v>28.364077669902915</v>
      </c>
      <c r="G1445" s="603">
        <v>20000</v>
      </c>
      <c r="H1445" s="581">
        <v>5843</v>
      </c>
      <c r="I1445" s="582">
        <f t="shared" si="176"/>
        <v>29.215000000000003</v>
      </c>
      <c r="J1445" s="586">
        <v>600</v>
      </c>
      <c r="K1445" s="581"/>
      <c r="L1445" s="587">
        <f t="shared" si="178"/>
        <v>0</v>
      </c>
      <c r="M1445" s="581"/>
      <c r="N1445" s="581"/>
      <c r="O1445" s="649"/>
      <c r="P1445" s="581"/>
      <c r="Q1445" s="581"/>
      <c r="R1445" s="585"/>
      <c r="S1445" s="564"/>
      <c r="T1445" s="564"/>
      <c r="U1445" s="564"/>
      <c r="V1445" s="564"/>
      <c r="W1445" s="565"/>
      <c r="X1445" s="565"/>
      <c r="Y1445" s="565"/>
      <c r="Z1445" s="565"/>
    </row>
    <row r="1446" spans="1:26" s="639" customFormat="1" ht="12.75">
      <c r="A1446" s="647">
        <v>4440</v>
      </c>
      <c r="B1446" s="712" t="s">
        <v>712</v>
      </c>
      <c r="C1446" s="603">
        <v>38100</v>
      </c>
      <c r="D1446" s="581">
        <f t="shared" si="174"/>
        <v>38100</v>
      </c>
      <c r="E1446" s="581">
        <f t="shared" si="177"/>
        <v>38100</v>
      </c>
      <c r="F1446" s="876">
        <f t="shared" si="171"/>
        <v>100</v>
      </c>
      <c r="G1446" s="603">
        <v>37000</v>
      </c>
      <c r="H1446" s="581">
        <v>37000</v>
      </c>
      <c r="I1446" s="582">
        <f t="shared" si="176"/>
        <v>100</v>
      </c>
      <c r="J1446" s="586">
        <v>1100</v>
      </c>
      <c r="K1446" s="581">
        <v>1100</v>
      </c>
      <c r="L1446" s="628">
        <f t="shared" si="178"/>
        <v>100</v>
      </c>
      <c r="M1446" s="581"/>
      <c r="N1446" s="581"/>
      <c r="O1446" s="649"/>
      <c r="P1446" s="581"/>
      <c r="Q1446" s="581"/>
      <c r="R1446" s="585"/>
      <c r="S1446" s="564"/>
      <c r="T1446" s="564"/>
      <c r="U1446" s="564"/>
      <c r="V1446" s="564"/>
      <c r="W1446" s="565"/>
      <c r="X1446" s="565"/>
      <c r="Y1446" s="565"/>
      <c r="Z1446" s="565"/>
    </row>
    <row r="1447" spans="1:26" s="639" customFormat="1" ht="51.75" customHeight="1">
      <c r="A1447" s="647">
        <v>4740</v>
      </c>
      <c r="B1447" s="712" t="s">
        <v>215</v>
      </c>
      <c r="C1447" s="603">
        <v>500</v>
      </c>
      <c r="D1447" s="581">
        <f t="shared" si="174"/>
        <v>500</v>
      </c>
      <c r="E1447" s="581">
        <f t="shared" si="177"/>
        <v>0</v>
      </c>
      <c r="F1447" s="876">
        <f t="shared" si="171"/>
        <v>0</v>
      </c>
      <c r="G1447" s="603">
        <v>500</v>
      </c>
      <c r="H1447" s="581"/>
      <c r="I1447" s="582">
        <f t="shared" si="176"/>
        <v>0</v>
      </c>
      <c r="J1447" s="586"/>
      <c r="K1447" s="581"/>
      <c r="L1447" s="587"/>
      <c r="M1447" s="581"/>
      <c r="N1447" s="581"/>
      <c r="O1447" s="649"/>
      <c r="P1447" s="581"/>
      <c r="Q1447" s="581"/>
      <c r="R1447" s="585"/>
      <c r="S1447" s="564"/>
      <c r="T1447" s="564"/>
      <c r="U1447" s="564"/>
      <c r="V1447" s="564"/>
      <c r="W1447" s="565"/>
      <c r="X1447" s="565"/>
      <c r="Y1447" s="565"/>
      <c r="Z1447" s="565"/>
    </row>
    <row r="1448" spans="1:26" s="639" customFormat="1" ht="36">
      <c r="A1448" s="647">
        <v>4750</v>
      </c>
      <c r="B1448" s="712" t="s">
        <v>589</v>
      </c>
      <c r="C1448" s="603">
        <v>1000</v>
      </c>
      <c r="D1448" s="581">
        <f t="shared" si="174"/>
        <v>1000</v>
      </c>
      <c r="E1448" s="581">
        <f t="shared" si="177"/>
        <v>0</v>
      </c>
      <c r="F1448" s="876">
        <f t="shared" si="171"/>
        <v>0</v>
      </c>
      <c r="G1448" s="603">
        <v>1000</v>
      </c>
      <c r="H1448" s="581"/>
      <c r="I1448" s="582">
        <f t="shared" si="176"/>
        <v>0</v>
      </c>
      <c r="J1448" s="586"/>
      <c r="K1448" s="581"/>
      <c r="L1448" s="587"/>
      <c r="M1448" s="581"/>
      <c r="N1448" s="581"/>
      <c r="O1448" s="649"/>
      <c r="P1448" s="581"/>
      <c r="Q1448" s="581"/>
      <c r="R1448" s="585"/>
      <c r="S1448" s="564"/>
      <c r="T1448" s="564"/>
      <c r="U1448" s="564"/>
      <c r="V1448" s="564"/>
      <c r="W1448" s="565"/>
      <c r="X1448" s="565"/>
      <c r="Y1448" s="565"/>
      <c r="Z1448" s="565"/>
    </row>
    <row r="1449" spans="1:26" s="639" customFormat="1" ht="24" hidden="1">
      <c r="A1449" s="719">
        <v>85278</v>
      </c>
      <c r="B1449" s="856" t="s">
        <v>817</v>
      </c>
      <c r="C1449" s="608"/>
      <c r="D1449" s="595">
        <f t="shared" si="174"/>
        <v>0</v>
      </c>
      <c r="E1449" s="595">
        <f>H1449+K1449+Q1449+N1449</f>
        <v>0</v>
      </c>
      <c r="F1449" s="902" t="e">
        <f t="shared" si="171"/>
        <v>#DIV/0!</v>
      </c>
      <c r="G1449" s="608"/>
      <c r="H1449" s="595"/>
      <c r="I1449" s="751"/>
      <c r="J1449" s="600">
        <f>SUM(J1450)</f>
        <v>0</v>
      </c>
      <c r="K1449" s="595">
        <f>SUM(K1450)</f>
        <v>0</v>
      </c>
      <c r="L1449" s="625" t="e">
        <f>K1449/J1449*100</f>
        <v>#DIV/0!</v>
      </c>
      <c r="M1449" s="595"/>
      <c r="N1449" s="595"/>
      <c r="O1449" s="684"/>
      <c r="P1449" s="595"/>
      <c r="Q1449" s="595"/>
      <c r="R1449" s="682"/>
      <c r="S1449" s="564"/>
      <c r="T1449" s="564"/>
      <c r="U1449" s="564"/>
      <c r="V1449" s="564"/>
      <c r="W1449" s="565"/>
      <c r="X1449" s="565"/>
      <c r="Y1449" s="565"/>
      <c r="Z1449" s="565"/>
    </row>
    <row r="1450" spans="1:26" s="639" customFormat="1" ht="14.25" customHeight="1" hidden="1">
      <c r="A1450" s="732">
        <v>3110</v>
      </c>
      <c r="B1450" s="909" t="s">
        <v>740</v>
      </c>
      <c r="C1450" s="734"/>
      <c r="D1450" s="735">
        <f t="shared" si="174"/>
        <v>0</v>
      </c>
      <c r="E1450" s="735">
        <f>H1450+K1450+Q1450+N1450</f>
        <v>0</v>
      </c>
      <c r="F1450" s="907" t="e">
        <f t="shared" si="171"/>
        <v>#DIV/0!</v>
      </c>
      <c r="G1450" s="734"/>
      <c r="H1450" s="735"/>
      <c r="I1450" s="751"/>
      <c r="J1450" s="736"/>
      <c r="K1450" s="735"/>
      <c r="L1450" s="921" t="e">
        <f>K1450/J1450*100</f>
        <v>#DIV/0!</v>
      </c>
      <c r="M1450" s="735"/>
      <c r="N1450" s="735"/>
      <c r="O1450" s="645"/>
      <c r="P1450" s="735"/>
      <c r="Q1450" s="735"/>
      <c r="R1450" s="602"/>
      <c r="S1450" s="564"/>
      <c r="T1450" s="564"/>
      <c r="U1450" s="564"/>
      <c r="V1450" s="564"/>
      <c r="W1450" s="565"/>
      <c r="X1450" s="565"/>
      <c r="Y1450" s="565"/>
      <c r="Z1450" s="565"/>
    </row>
    <row r="1451" spans="1:18" ht="24.75" customHeight="1">
      <c r="A1451" s="640">
        <v>85295</v>
      </c>
      <c r="B1451" s="856" t="s">
        <v>213</v>
      </c>
      <c r="C1451" s="593">
        <f>SUM(C1452:C1460)</f>
        <v>498500</v>
      </c>
      <c r="D1451" s="595">
        <f>G1451+J1451+P1451+M1451</f>
        <v>1117313</v>
      </c>
      <c r="E1451" s="595">
        <f>H1451+K1451+Q1451+N1451</f>
        <v>290264</v>
      </c>
      <c r="F1451" s="907">
        <f t="shared" si="171"/>
        <v>25.97875438664009</v>
      </c>
      <c r="G1451" s="593">
        <f>SUM(G1453:G1460)+G1452+G1461+G1466</f>
        <v>1117313</v>
      </c>
      <c r="H1451" s="594">
        <f>SUM(H1453:H1460)+H1452+H1461+H1466</f>
        <v>290264</v>
      </c>
      <c r="I1451" s="596">
        <f aca="true" t="shared" si="179" ref="I1451:I1510">H1451/G1451*100</f>
        <v>25.97875438664009</v>
      </c>
      <c r="J1451" s="593"/>
      <c r="K1451" s="594"/>
      <c r="L1451" s="737"/>
      <c r="M1451" s="922"/>
      <c r="N1451" s="594"/>
      <c r="O1451" s="737"/>
      <c r="P1451" s="690"/>
      <c r="Q1451" s="690"/>
      <c r="R1451" s="624"/>
    </row>
    <row r="1452" spans="1:26" s="639" customFormat="1" ht="59.25" customHeight="1">
      <c r="A1452" s="667">
        <v>2820</v>
      </c>
      <c r="B1452" s="777" t="s">
        <v>668</v>
      </c>
      <c r="C1452" s="606">
        <v>150000</v>
      </c>
      <c r="D1452" s="615">
        <f t="shared" si="174"/>
        <v>150000</v>
      </c>
      <c r="E1452" s="615">
        <f aca="true" t="shared" si="180" ref="E1452:E1490">SUM(H1452+K1452+N1452+Q1452)</f>
        <v>93000</v>
      </c>
      <c r="F1452" s="904">
        <f t="shared" si="171"/>
        <v>62</v>
      </c>
      <c r="G1452" s="606">
        <v>150000</v>
      </c>
      <c r="H1452" s="615">
        <v>93000</v>
      </c>
      <c r="I1452" s="604">
        <f t="shared" si="179"/>
        <v>62</v>
      </c>
      <c r="J1452" s="618"/>
      <c r="K1452" s="615"/>
      <c r="L1452" s="619"/>
      <c r="M1452" s="615"/>
      <c r="N1452" s="615"/>
      <c r="O1452" s="686"/>
      <c r="P1452" s="615"/>
      <c r="Q1452" s="615"/>
      <c r="R1452" s="590"/>
      <c r="S1452" s="564"/>
      <c r="T1452" s="564"/>
      <c r="U1452" s="564"/>
      <c r="V1452" s="564"/>
      <c r="W1452" s="565"/>
      <c r="X1452" s="565"/>
      <c r="Y1452" s="565"/>
      <c r="Z1452" s="565"/>
    </row>
    <row r="1453" spans="1:26" s="639" customFormat="1" ht="26.25" customHeight="1">
      <c r="A1453" s="647">
        <v>3110</v>
      </c>
      <c r="B1453" s="828" t="s">
        <v>541</v>
      </c>
      <c r="C1453" s="603">
        <v>326000</v>
      </c>
      <c r="D1453" s="581">
        <f>G1453+J1453+P1453+M1453</f>
        <v>326000</v>
      </c>
      <c r="E1453" s="581">
        <f t="shared" si="180"/>
        <v>27264</v>
      </c>
      <c r="F1453" s="876">
        <f>E1453/D1453*100</f>
        <v>8.36319018404908</v>
      </c>
      <c r="G1453" s="603">
        <v>326000</v>
      </c>
      <c r="H1453" s="581">
        <f>27265-1</f>
        <v>27264</v>
      </c>
      <c r="I1453" s="582">
        <f t="shared" si="179"/>
        <v>8.36319018404908</v>
      </c>
      <c r="J1453" s="586"/>
      <c r="K1453" s="581"/>
      <c r="L1453" s="587"/>
      <c r="M1453" s="581"/>
      <c r="N1453" s="581"/>
      <c r="O1453" s="649"/>
      <c r="P1453" s="581"/>
      <c r="Q1453" s="581"/>
      <c r="R1453" s="585"/>
      <c r="S1453" s="564"/>
      <c r="T1453" s="564"/>
      <c r="U1453" s="564"/>
      <c r="V1453" s="564"/>
      <c r="W1453" s="565"/>
      <c r="X1453" s="565"/>
      <c r="Y1453" s="565"/>
      <c r="Z1453" s="565"/>
    </row>
    <row r="1454" spans="1:26" s="639" customFormat="1" ht="24">
      <c r="A1454" s="647">
        <v>3110</v>
      </c>
      <c r="B1454" s="828" t="s">
        <v>542</v>
      </c>
      <c r="C1454" s="603"/>
      <c r="D1454" s="581">
        <f t="shared" si="174"/>
        <v>558813</v>
      </c>
      <c r="E1454" s="581">
        <f t="shared" si="180"/>
        <v>159660</v>
      </c>
      <c r="F1454" s="876">
        <f t="shared" si="171"/>
        <v>28.571275185079802</v>
      </c>
      <c r="G1454" s="603">
        <v>558813</v>
      </c>
      <c r="H1454" s="581">
        <f>159661-1</f>
        <v>159660</v>
      </c>
      <c r="I1454" s="582">
        <f t="shared" si="179"/>
        <v>28.571275185079802</v>
      </c>
      <c r="J1454" s="586"/>
      <c r="K1454" s="581"/>
      <c r="L1454" s="587"/>
      <c r="M1454" s="581"/>
      <c r="N1454" s="581"/>
      <c r="O1454" s="649"/>
      <c r="P1454" s="581"/>
      <c r="Q1454" s="581"/>
      <c r="R1454" s="585"/>
      <c r="S1454" s="564"/>
      <c r="T1454" s="564"/>
      <c r="U1454" s="564"/>
      <c r="V1454" s="564"/>
      <c r="W1454" s="565"/>
      <c r="X1454" s="565"/>
      <c r="Y1454" s="565"/>
      <c r="Z1454" s="565"/>
    </row>
    <row r="1455" spans="1:26" s="639" customFormat="1" ht="24" hidden="1">
      <c r="A1455" s="647">
        <v>4170</v>
      </c>
      <c r="B1455" s="828" t="s">
        <v>221</v>
      </c>
      <c r="C1455" s="603"/>
      <c r="D1455" s="581">
        <f>G1455+J1455+P1455+M1455</f>
        <v>0</v>
      </c>
      <c r="E1455" s="581">
        <f t="shared" si="180"/>
        <v>0</v>
      </c>
      <c r="F1455" s="876" t="e">
        <f>E1455/D1455*100</f>
        <v>#DIV/0!</v>
      </c>
      <c r="G1455" s="603"/>
      <c r="H1455" s="581"/>
      <c r="I1455" s="582" t="e">
        <f t="shared" si="179"/>
        <v>#DIV/0!</v>
      </c>
      <c r="J1455" s="586"/>
      <c r="K1455" s="581"/>
      <c r="L1455" s="587"/>
      <c r="M1455" s="581"/>
      <c r="N1455" s="581"/>
      <c r="O1455" s="649"/>
      <c r="P1455" s="581"/>
      <c r="Q1455" s="581"/>
      <c r="R1455" s="585"/>
      <c r="S1455" s="564"/>
      <c r="T1455" s="564"/>
      <c r="U1455" s="564"/>
      <c r="V1455" s="564"/>
      <c r="W1455" s="565"/>
      <c r="X1455" s="565"/>
      <c r="Y1455" s="565"/>
      <c r="Z1455" s="565"/>
    </row>
    <row r="1456" spans="1:26" s="639" customFormat="1" ht="24" hidden="1">
      <c r="A1456" s="647">
        <v>4210</v>
      </c>
      <c r="B1456" s="828" t="s">
        <v>191</v>
      </c>
      <c r="C1456" s="603"/>
      <c r="D1456" s="581">
        <f>G1456+J1456+P1456+M1456</f>
        <v>0</v>
      </c>
      <c r="E1456" s="581">
        <f t="shared" si="180"/>
        <v>0</v>
      </c>
      <c r="F1456" s="876" t="e">
        <f>E1456/D1456*100</f>
        <v>#DIV/0!</v>
      </c>
      <c r="G1456" s="603"/>
      <c r="H1456" s="581"/>
      <c r="I1456" s="582" t="e">
        <f t="shared" si="179"/>
        <v>#DIV/0!</v>
      </c>
      <c r="J1456" s="586"/>
      <c r="K1456" s="581"/>
      <c r="L1456" s="587"/>
      <c r="M1456" s="581"/>
      <c r="N1456" s="581"/>
      <c r="O1456" s="587" t="e">
        <f>N1456/M1456*100</f>
        <v>#DIV/0!</v>
      </c>
      <c r="P1456" s="581"/>
      <c r="Q1456" s="581"/>
      <c r="R1456" s="627" t="e">
        <f>Q1456/P1456*100</f>
        <v>#DIV/0!</v>
      </c>
      <c r="S1456" s="564"/>
      <c r="T1456" s="564"/>
      <c r="U1456" s="564"/>
      <c r="V1456" s="564"/>
      <c r="W1456" s="565"/>
      <c r="X1456" s="565"/>
      <c r="Y1456" s="565"/>
      <c r="Z1456" s="565"/>
    </row>
    <row r="1457" spans="1:26" s="639" customFormat="1" ht="24">
      <c r="A1457" s="647">
        <v>4300</v>
      </c>
      <c r="B1457" s="828" t="s">
        <v>674</v>
      </c>
      <c r="C1457" s="603"/>
      <c r="D1457" s="581">
        <f>G1457+J1457+P1457+M1457</f>
        <v>60000</v>
      </c>
      <c r="E1457" s="581">
        <f>SUM(H1457+K1457+N1457+Q1457)</f>
        <v>0</v>
      </c>
      <c r="F1457" s="876">
        <f>E1457/D1457*100</f>
        <v>0</v>
      </c>
      <c r="G1457" s="603">
        <v>60000</v>
      </c>
      <c r="H1457" s="581"/>
      <c r="I1457" s="582">
        <f t="shared" si="179"/>
        <v>0</v>
      </c>
      <c r="J1457" s="586"/>
      <c r="K1457" s="581"/>
      <c r="L1457" s="587"/>
      <c r="M1457" s="581"/>
      <c r="N1457" s="581"/>
      <c r="O1457" s="587"/>
      <c r="P1457" s="581"/>
      <c r="Q1457" s="581"/>
      <c r="R1457" s="627"/>
      <c r="S1457" s="564"/>
      <c r="T1457" s="564"/>
      <c r="U1457" s="564"/>
      <c r="V1457" s="564"/>
      <c r="W1457" s="565"/>
      <c r="X1457" s="565"/>
      <c r="Y1457" s="565"/>
      <c r="Z1457" s="565"/>
    </row>
    <row r="1458" spans="1:26" s="639" customFormat="1" ht="16.5" customHeight="1" thickBot="1">
      <c r="A1458" s="647">
        <v>4300</v>
      </c>
      <c r="B1458" s="828" t="s">
        <v>199</v>
      </c>
      <c r="C1458" s="603">
        <v>22500</v>
      </c>
      <c r="D1458" s="581">
        <f t="shared" si="174"/>
        <v>22500</v>
      </c>
      <c r="E1458" s="581">
        <f t="shared" si="180"/>
        <v>10340</v>
      </c>
      <c r="F1458" s="876">
        <f t="shared" si="171"/>
        <v>45.955555555555556</v>
      </c>
      <c r="G1458" s="603">
        <v>22500</v>
      </c>
      <c r="H1458" s="581">
        <v>10340</v>
      </c>
      <c r="I1458" s="582">
        <f t="shared" si="179"/>
        <v>45.955555555555556</v>
      </c>
      <c r="J1458" s="586"/>
      <c r="K1458" s="581"/>
      <c r="L1458" s="587"/>
      <c r="M1458" s="581"/>
      <c r="N1458" s="581"/>
      <c r="O1458" s="587"/>
      <c r="P1458" s="581"/>
      <c r="Q1458" s="581"/>
      <c r="R1458" s="627"/>
      <c r="S1458" s="564"/>
      <c r="T1458" s="564"/>
      <c r="U1458" s="564"/>
      <c r="V1458" s="564"/>
      <c r="W1458" s="565"/>
      <c r="X1458" s="565"/>
      <c r="Y1458" s="565"/>
      <c r="Z1458" s="565"/>
    </row>
    <row r="1459" spans="1:26" s="639" customFormat="1" ht="51.75" customHeight="1" hidden="1">
      <c r="A1459" s="647">
        <v>4740</v>
      </c>
      <c r="B1459" s="712" t="s">
        <v>215</v>
      </c>
      <c r="C1459" s="603"/>
      <c r="D1459" s="581">
        <f>G1459+J1459+P1459+M1459</f>
        <v>0</v>
      </c>
      <c r="E1459" s="581">
        <f>SUM(H1459+K1459+N1459+Q1459)</f>
        <v>0</v>
      </c>
      <c r="F1459" s="876" t="e">
        <f>E1459/D1459*100</f>
        <v>#DIV/0!</v>
      </c>
      <c r="G1459" s="603"/>
      <c r="H1459" s="581"/>
      <c r="I1459" s="582"/>
      <c r="J1459" s="586"/>
      <c r="K1459" s="581"/>
      <c r="L1459" s="587"/>
      <c r="M1459" s="581"/>
      <c r="N1459" s="581"/>
      <c r="O1459" s="587"/>
      <c r="P1459" s="581"/>
      <c r="Q1459" s="581"/>
      <c r="R1459" s="627" t="e">
        <f>Q1459/P1459*100</f>
        <v>#DIV/0!</v>
      </c>
      <c r="S1459" s="564"/>
      <c r="T1459" s="564"/>
      <c r="U1459" s="564"/>
      <c r="V1459" s="564"/>
      <c r="W1459" s="565"/>
      <c r="X1459" s="565"/>
      <c r="Y1459" s="565"/>
      <c r="Z1459" s="565"/>
    </row>
    <row r="1460" spans="1:26" s="639" customFormat="1" ht="36.75" hidden="1" thickBot="1">
      <c r="A1460" s="647">
        <v>4750</v>
      </c>
      <c r="B1460" s="712" t="s">
        <v>589</v>
      </c>
      <c r="C1460" s="603"/>
      <c r="D1460" s="581">
        <f t="shared" si="174"/>
        <v>0</v>
      </c>
      <c r="E1460" s="581">
        <f t="shared" si="180"/>
        <v>0</v>
      </c>
      <c r="F1460" s="864" t="e">
        <f t="shared" si="171"/>
        <v>#DIV/0!</v>
      </c>
      <c r="G1460" s="603"/>
      <c r="H1460" s="581"/>
      <c r="I1460" s="582"/>
      <c r="J1460" s="586"/>
      <c r="K1460" s="581"/>
      <c r="L1460" s="587"/>
      <c r="M1460" s="581"/>
      <c r="N1460" s="581"/>
      <c r="O1460" s="585"/>
      <c r="P1460" s="581"/>
      <c r="Q1460" s="581"/>
      <c r="R1460" s="627" t="e">
        <f>Q1460/P1460*100</f>
        <v>#DIV/0!</v>
      </c>
      <c r="S1460" s="564"/>
      <c r="T1460" s="564"/>
      <c r="U1460" s="564"/>
      <c r="V1460" s="564"/>
      <c r="W1460" s="565"/>
      <c r="X1460" s="565"/>
      <c r="Y1460" s="565"/>
      <c r="Z1460" s="565"/>
    </row>
    <row r="1461" spans="1:26" s="639" customFormat="1" ht="24.75" hidden="1" thickBot="1">
      <c r="A1461" s="657"/>
      <c r="B1461" s="923" t="s">
        <v>818</v>
      </c>
      <c r="C1461" s="659"/>
      <c r="D1461" s="660">
        <f t="shared" si="174"/>
        <v>0</v>
      </c>
      <c r="E1461" s="660">
        <f t="shared" si="180"/>
        <v>0</v>
      </c>
      <c r="F1461" s="924" t="e">
        <f t="shared" si="171"/>
        <v>#DIV/0!</v>
      </c>
      <c r="G1461" s="925">
        <f>SUM(G1462:G1465)</f>
        <v>0</v>
      </c>
      <c r="H1461" s="660">
        <f>SUM(H1462:H1465)</f>
        <v>0</v>
      </c>
      <c r="I1461" s="582" t="e">
        <f t="shared" si="179"/>
        <v>#DIV/0!</v>
      </c>
      <c r="J1461" s="661"/>
      <c r="K1461" s="660"/>
      <c r="L1461" s="662"/>
      <c r="M1461" s="659"/>
      <c r="N1461" s="660"/>
      <c r="O1461" s="926"/>
      <c r="P1461" s="660"/>
      <c r="Q1461" s="660"/>
      <c r="R1461" s="926"/>
      <c r="S1461" s="564"/>
      <c r="T1461" s="564"/>
      <c r="U1461" s="564"/>
      <c r="V1461" s="564"/>
      <c r="W1461" s="565"/>
      <c r="X1461" s="565"/>
      <c r="Y1461" s="565"/>
      <c r="Z1461" s="565"/>
    </row>
    <row r="1462" spans="1:26" s="639" customFormat="1" ht="24.75" hidden="1" thickBot="1">
      <c r="A1462" s="647">
        <v>4170</v>
      </c>
      <c r="B1462" s="828" t="s">
        <v>221</v>
      </c>
      <c r="C1462" s="603"/>
      <c r="D1462" s="581">
        <f t="shared" si="174"/>
        <v>0</v>
      </c>
      <c r="E1462" s="581">
        <f t="shared" si="180"/>
        <v>0</v>
      </c>
      <c r="F1462" s="864" t="e">
        <f t="shared" si="171"/>
        <v>#DIV/0!</v>
      </c>
      <c r="G1462" s="603"/>
      <c r="H1462" s="581"/>
      <c r="I1462" s="582" t="e">
        <f t="shared" si="179"/>
        <v>#DIV/0!</v>
      </c>
      <c r="J1462" s="586"/>
      <c r="K1462" s="581"/>
      <c r="L1462" s="587"/>
      <c r="M1462" s="603"/>
      <c r="N1462" s="581"/>
      <c r="O1462" s="827"/>
      <c r="P1462" s="581"/>
      <c r="Q1462" s="581"/>
      <c r="R1462" s="629"/>
      <c r="S1462" s="564"/>
      <c r="T1462" s="564"/>
      <c r="U1462" s="564"/>
      <c r="V1462" s="564"/>
      <c r="W1462" s="565"/>
      <c r="X1462" s="565"/>
      <c r="Y1462" s="565"/>
      <c r="Z1462" s="565"/>
    </row>
    <row r="1463" spans="1:26" s="639" customFormat="1" ht="24.75" hidden="1" thickBot="1">
      <c r="A1463" s="647">
        <v>4210</v>
      </c>
      <c r="B1463" s="828" t="s">
        <v>191</v>
      </c>
      <c r="C1463" s="603"/>
      <c r="D1463" s="581">
        <f t="shared" si="174"/>
        <v>0</v>
      </c>
      <c r="E1463" s="581">
        <f t="shared" si="180"/>
        <v>0</v>
      </c>
      <c r="F1463" s="864" t="e">
        <f t="shared" si="171"/>
        <v>#DIV/0!</v>
      </c>
      <c r="G1463" s="603"/>
      <c r="H1463" s="581"/>
      <c r="I1463" s="582" t="e">
        <f t="shared" si="179"/>
        <v>#DIV/0!</v>
      </c>
      <c r="J1463" s="586"/>
      <c r="K1463" s="581"/>
      <c r="L1463" s="587"/>
      <c r="M1463" s="603"/>
      <c r="N1463" s="581"/>
      <c r="O1463" s="827"/>
      <c r="P1463" s="581"/>
      <c r="Q1463" s="581"/>
      <c r="R1463" s="629"/>
      <c r="S1463" s="564"/>
      <c r="T1463" s="564"/>
      <c r="U1463" s="564"/>
      <c r="V1463" s="564"/>
      <c r="W1463" s="565"/>
      <c r="X1463" s="565"/>
      <c r="Y1463" s="565"/>
      <c r="Z1463" s="565"/>
    </row>
    <row r="1464" spans="1:26" s="639" customFormat="1" ht="24.75" hidden="1" thickBot="1">
      <c r="A1464" s="647">
        <v>4300</v>
      </c>
      <c r="B1464" s="828" t="s">
        <v>199</v>
      </c>
      <c r="C1464" s="603"/>
      <c r="D1464" s="581">
        <f t="shared" si="174"/>
        <v>0</v>
      </c>
      <c r="E1464" s="581">
        <f t="shared" si="180"/>
        <v>0</v>
      </c>
      <c r="F1464" s="864" t="e">
        <f t="shared" si="171"/>
        <v>#DIV/0!</v>
      </c>
      <c r="G1464" s="603"/>
      <c r="H1464" s="581"/>
      <c r="I1464" s="582" t="e">
        <f t="shared" si="179"/>
        <v>#DIV/0!</v>
      </c>
      <c r="J1464" s="586"/>
      <c r="K1464" s="581"/>
      <c r="L1464" s="587"/>
      <c r="M1464" s="603"/>
      <c r="N1464" s="581"/>
      <c r="O1464" s="827"/>
      <c r="P1464" s="581"/>
      <c r="Q1464" s="581"/>
      <c r="R1464" s="629"/>
      <c r="S1464" s="564"/>
      <c r="T1464" s="564"/>
      <c r="U1464" s="564"/>
      <c r="V1464" s="564"/>
      <c r="W1464" s="565"/>
      <c r="X1464" s="565"/>
      <c r="Y1464" s="565"/>
      <c r="Z1464" s="565"/>
    </row>
    <row r="1465" spans="1:26" s="639" customFormat="1" ht="60.75" hidden="1" thickBot="1">
      <c r="A1465" s="647">
        <v>4740</v>
      </c>
      <c r="B1465" s="828" t="s">
        <v>215</v>
      </c>
      <c r="C1465" s="603"/>
      <c r="D1465" s="581">
        <f t="shared" si="174"/>
        <v>0</v>
      </c>
      <c r="E1465" s="581">
        <f t="shared" si="180"/>
        <v>0</v>
      </c>
      <c r="F1465" s="864" t="e">
        <f t="shared" si="171"/>
        <v>#DIV/0!</v>
      </c>
      <c r="G1465" s="603"/>
      <c r="H1465" s="581"/>
      <c r="I1465" s="582" t="e">
        <f t="shared" si="179"/>
        <v>#DIV/0!</v>
      </c>
      <c r="J1465" s="586"/>
      <c r="K1465" s="581"/>
      <c r="L1465" s="587"/>
      <c r="M1465" s="603"/>
      <c r="N1465" s="581"/>
      <c r="O1465" s="827"/>
      <c r="P1465" s="581"/>
      <c r="Q1465" s="581"/>
      <c r="R1465" s="629"/>
      <c r="S1465" s="564"/>
      <c r="T1465" s="564"/>
      <c r="U1465" s="564"/>
      <c r="V1465" s="564"/>
      <c r="W1465" s="565"/>
      <c r="X1465" s="565"/>
      <c r="Y1465" s="565"/>
      <c r="Z1465" s="565"/>
    </row>
    <row r="1466" spans="1:26" s="639" customFormat="1" ht="84.75" hidden="1" thickBot="1">
      <c r="A1466" s="657"/>
      <c r="B1466" s="923" t="s">
        <v>290</v>
      </c>
      <c r="C1466" s="659"/>
      <c r="D1466" s="660">
        <f t="shared" si="174"/>
        <v>0</v>
      </c>
      <c r="E1466" s="660">
        <f t="shared" si="180"/>
        <v>0</v>
      </c>
      <c r="F1466" s="864" t="e">
        <f t="shared" si="171"/>
        <v>#DIV/0!</v>
      </c>
      <c r="G1466" s="659">
        <f>SUM(G1467:G1490)</f>
        <v>0</v>
      </c>
      <c r="H1466" s="660">
        <f>SUM(H1467:H1490)</f>
        <v>0</v>
      </c>
      <c r="I1466" s="582" t="e">
        <f t="shared" si="179"/>
        <v>#DIV/0!</v>
      </c>
      <c r="J1466" s="661"/>
      <c r="K1466" s="660"/>
      <c r="L1466" s="662"/>
      <c r="M1466" s="661"/>
      <c r="N1466" s="660"/>
      <c r="O1466" s="827"/>
      <c r="P1466" s="660"/>
      <c r="Q1466" s="660"/>
      <c r="R1466" s="827"/>
      <c r="S1466" s="564"/>
      <c r="T1466" s="564"/>
      <c r="U1466" s="564"/>
      <c r="V1466" s="564"/>
      <c r="W1466" s="565"/>
      <c r="X1466" s="565"/>
      <c r="Y1466" s="565"/>
      <c r="Z1466" s="565"/>
    </row>
    <row r="1467" spans="1:26" s="639" customFormat="1" ht="24.75" hidden="1" thickBot="1">
      <c r="A1467" s="647">
        <v>3118</v>
      </c>
      <c r="B1467" s="828" t="s">
        <v>740</v>
      </c>
      <c r="C1467" s="603"/>
      <c r="D1467" s="581">
        <f t="shared" si="174"/>
        <v>0</v>
      </c>
      <c r="E1467" s="581">
        <f t="shared" si="180"/>
        <v>0</v>
      </c>
      <c r="F1467" s="864" t="e">
        <f aca="true" t="shared" si="181" ref="F1467:F1489">E1467/D1467*100</f>
        <v>#DIV/0!</v>
      </c>
      <c r="G1467" s="603">
        <f>40080-6012+3315-37383</f>
        <v>0</v>
      </c>
      <c r="H1467" s="581"/>
      <c r="I1467" s="582" t="e">
        <f t="shared" si="179"/>
        <v>#DIV/0!</v>
      </c>
      <c r="J1467" s="586"/>
      <c r="K1467" s="581"/>
      <c r="L1467" s="587"/>
      <c r="M1467" s="586"/>
      <c r="N1467" s="581"/>
      <c r="O1467" s="827"/>
      <c r="P1467" s="581"/>
      <c r="Q1467" s="581"/>
      <c r="R1467" s="629"/>
      <c r="S1467" s="564"/>
      <c r="T1467" s="564"/>
      <c r="U1467" s="564"/>
      <c r="V1467" s="564"/>
      <c r="W1467" s="565"/>
      <c r="X1467" s="565"/>
      <c r="Y1467" s="565"/>
      <c r="Z1467" s="565"/>
    </row>
    <row r="1468" spans="1:26" s="639" customFormat="1" ht="24.75" hidden="1" thickBot="1">
      <c r="A1468" s="647">
        <v>3119</v>
      </c>
      <c r="B1468" s="828" t="s">
        <v>740</v>
      </c>
      <c r="C1468" s="603"/>
      <c r="D1468" s="581">
        <f t="shared" si="174"/>
        <v>0</v>
      </c>
      <c r="E1468" s="581">
        <f t="shared" si="180"/>
        <v>0</v>
      </c>
      <c r="F1468" s="864" t="e">
        <f t="shared" si="181"/>
        <v>#DIV/0!</v>
      </c>
      <c r="G1468" s="603">
        <f>6012+585-6597</f>
        <v>0</v>
      </c>
      <c r="H1468" s="581"/>
      <c r="I1468" s="582" t="e">
        <f t="shared" si="179"/>
        <v>#DIV/0!</v>
      </c>
      <c r="J1468" s="586"/>
      <c r="K1468" s="581"/>
      <c r="L1468" s="587"/>
      <c r="M1468" s="586"/>
      <c r="N1468" s="581"/>
      <c r="O1468" s="827"/>
      <c r="P1468" s="581"/>
      <c r="Q1468" s="581"/>
      <c r="R1468" s="629"/>
      <c r="S1468" s="564"/>
      <c r="T1468" s="564"/>
      <c r="U1468" s="564"/>
      <c r="V1468" s="564"/>
      <c r="W1468" s="565"/>
      <c r="X1468" s="565"/>
      <c r="Y1468" s="565"/>
      <c r="Z1468" s="565"/>
    </row>
    <row r="1469" spans="1:26" s="639" customFormat="1" ht="36.75" hidden="1" thickBot="1">
      <c r="A1469" s="647">
        <v>4018</v>
      </c>
      <c r="B1469" s="828" t="s">
        <v>181</v>
      </c>
      <c r="C1469" s="603"/>
      <c r="D1469" s="581">
        <f t="shared" si="174"/>
        <v>0</v>
      </c>
      <c r="E1469" s="581">
        <f t="shared" si="180"/>
        <v>0</v>
      </c>
      <c r="F1469" s="864" t="e">
        <f t="shared" si="181"/>
        <v>#DIV/0!</v>
      </c>
      <c r="G1469" s="603">
        <f>38810-5822-32988</f>
        <v>0</v>
      </c>
      <c r="H1469" s="581"/>
      <c r="I1469" s="582" t="e">
        <f t="shared" si="179"/>
        <v>#DIV/0!</v>
      </c>
      <c r="J1469" s="586"/>
      <c r="K1469" s="581"/>
      <c r="L1469" s="587"/>
      <c r="M1469" s="586"/>
      <c r="N1469" s="581"/>
      <c r="O1469" s="827"/>
      <c r="P1469" s="581"/>
      <c r="Q1469" s="581"/>
      <c r="R1469" s="629"/>
      <c r="S1469" s="564"/>
      <c r="T1469" s="564"/>
      <c r="U1469" s="564"/>
      <c r="V1469" s="564"/>
      <c r="W1469" s="565"/>
      <c r="X1469" s="565"/>
      <c r="Y1469" s="565"/>
      <c r="Z1469" s="565"/>
    </row>
    <row r="1470" spans="1:26" s="639" customFormat="1" ht="36.75" hidden="1" thickBot="1">
      <c r="A1470" s="647">
        <v>4019</v>
      </c>
      <c r="B1470" s="828" t="s">
        <v>181</v>
      </c>
      <c r="C1470" s="603"/>
      <c r="D1470" s="581">
        <f t="shared" si="174"/>
        <v>0</v>
      </c>
      <c r="E1470" s="581">
        <f t="shared" si="180"/>
        <v>0</v>
      </c>
      <c r="F1470" s="864" t="e">
        <f t="shared" si="181"/>
        <v>#DIV/0!</v>
      </c>
      <c r="G1470" s="603">
        <f>5822-5822</f>
        <v>0</v>
      </c>
      <c r="H1470" s="581"/>
      <c r="I1470" s="582" t="e">
        <f t="shared" si="179"/>
        <v>#DIV/0!</v>
      </c>
      <c r="J1470" s="586"/>
      <c r="K1470" s="581"/>
      <c r="L1470" s="587"/>
      <c r="M1470" s="586"/>
      <c r="N1470" s="581"/>
      <c r="O1470" s="827"/>
      <c r="P1470" s="581"/>
      <c r="Q1470" s="581"/>
      <c r="R1470" s="629"/>
      <c r="S1470" s="564"/>
      <c r="T1470" s="564"/>
      <c r="U1470" s="564"/>
      <c r="V1470" s="564"/>
      <c r="W1470" s="565"/>
      <c r="X1470" s="565"/>
      <c r="Y1470" s="565"/>
      <c r="Z1470" s="565"/>
    </row>
    <row r="1471" spans="1:26" s="639" customFormat="1" ht="36.75" hidden="1" thickBot="1">
      <c r="A1471" s="647">
        <v>4118</v>
      </c>
      <c r="B1471" s="828" t="s">
        <v>187</v>
      </c>
      <c r="C1471" s="603"/>
      <c r="D1471" s="581">
        <f t="shared" si="174"/>
        <v>0</v>
      </c>
      <c r="E1471" s="581">
        <f t="shared" si="180"/>
        <v>0</v>
      </c>
      <c r="F1471" s="864" t="e">
        <f t="shared" si="181"/>
        <v>#DIV/0!</v>
      </c>
      <c r="G1471" s="603">
        <f>12354-1854-1217-9283</f>
        <v>0</v>
      </c>
      <c r="H1471" s="581"/>
      <c r="I1471" s="582" t="e">
        <f t="shared" si="179"/>
        <v>#DIV/0!</v>
      </c>
      <c r="J1471" s="586"/>
      <c r="K1471" s="581"/>
      <c r="L1471" s="587"/>
      <c r="M1471" s="586"/>
      <c r="N1471" s="581"/>
      <c r="O1471" s="827"/>
      <c r="P1471" s="581"/>
      <c r="Q1471" s="581"/>
      <c r="R1471" s="629"/>
      <c r="S1471" s="564"/>
      <c r="T1471" s="564"/>
      <c r="U1471" s="564"/>
      <c r="V1471" s="564"/>
      <c r="W1471" s="565"/>
      <c r="X1471" s="565"/>
      <c r="Y1471" s="565"/>
      <c r="Z1471" s="565"/>
    </row>
    <row r="1472" spans="1:26" s="639" customFormat="1" ht="36.75" hidden="1" thickBot="1">
      <c r="A1472" s="647">
        <v>4119</v>
      </c>
      <c r="B1472" s="828" t="s">
        <v>187</v>
      </c>
      <c r="C1472" s="603"/>
      <c r="D1472" s="581">
        <f t="shared" si="174"/>
        <v>0</v>
      </c>
      <c r="E1472" s="581">
        <f t="shared" si="180"/>
        <v>0</v>
      </c>
      <c r="F1472" s="864" t="e">
        <f t="shared" si="181"/>
        <v>#DIV/0!</v>
      </c>
      <c r="G1472" s="603">
        <f>1854-216-1638</f>
        <v>0</v>
      </c>
      <c r="H1472" s="581"/>
      <c r="I1472" s="582" t="e">
        <f t="shared" si="179"/>
        <v>#DIV/0!</v>
      </c>
      <c r="J1472" s="586"/>
      <c r="K1472" s="581"/>
      <c r="L1472" s="587"/>
      <c r="M1472" s="586"/>
      <c r="N1472" s="581"/>
      <c r="O1472" s="827"/>
      <c r="P1472" s="581"/>
      <c r="Q1472" s="581"/>
      <c r="R1472" s="629"/>
      <c r="S1472" s="564"/>
      <c r="T1472" s="564"/>
      <c r="U1472" s="564"/>
      <c r="V1472" s="564"/>
      <c r="W1472" s="565"/>
      <c r="X1472" s="565"/>
      <c r="Y1472" s="565"/>
      <c r="Z1472" s="565"/>
    </row>
    <row r="1473" spans="1:26" s="639" customFormat="1" ht="13.5" hidden="1" thickBot="1">
      <c r="A1473" s="647">
        <v>4128</v>
      </c>
      <c r="B1473" s="828" t="s">
        <v>619</v>
      </c>
      <c r="C1473" s="603"/>
      <c r="D1473" s="581">
        <f t="shared" si="174"/>
        <v>0</v>
      </c>
      <c r="E1473" s="581">
        <f t="shared" si="180"/>
        <v>0</v>
      </c>
      <c r="F1473" s="864" t="e">
        <f t="shared" si="181"/>
        <v>#DIV/0!</v>
      </c>
      <c r="G1473" s="603">
        <f>1886-283-187-1416</f>
        <v>0</v>
      </c>
      <c r="H1473" s="581"/>
      <c r="I1473" s="582" t="e">
        <f t="shared" si="179"/>
        <v>#DIV/0!</v>
      </c>
      <c r="J1473" s="586"/>
      <c r="K1473" s="581"/>
      <c r="L1473" s="587"/>
      <c r="M1473" s="586"/>
      <c r="N1473" s="581"/>
      <c r="O1473" s="827"/>
      <c r="P1473" s="581"/>
      <c r="Q1473" s="581"/>
      <c r="R1473" s="629"/>
      <c r="S1473" s="564"/>
      <c r="T1473" s="564"/>
      <c r="U1473" s="564"/>
      <c r="V1473" s="564"/>
      <c r="W1473" s="565"/>
      <c r="X1473" s="565"/>
      <c r="Y1473" s="565"/>
      <c r="Z1473" s="565"/>
    </row>
    <row r="1474" spans="1:26" s="639" customFormat="1" ht="13.5" hidden="1" thickBot="1">
      <c r="A1474" s="647">
        <v>4129</v>
      </c>
      <c r="B1474" s="828" t="s">
        <v>619</v>
      </c>
      <c r="C1474" s="603"/>
      <c r="D1474" s="581">
        <f t="shared" si="174"/>
        <v>0</v>
      </c>
      <c r="E1474" s="581">
        <f t="shared" si="180"/>
        <v>0</v>
      </c>
      <c r="F1474" s="864" t="e">
        <f t="shared" si="181"/>
        <v>#DIV/0!</v>
      </c>
      <c r="G1474" s="603">
        <f>283-33-250</f>
        <v>0</v>
      </c>
      <c r="H1474" s="581"/>
      <c r="I1474" s="582" t="e">
        <f t="shared" si="179"/>
        <v>#DIV/0!</v>
      </c>
      <c r="J1474" s="586"/>
      <c r="K1474" s="581"/>
      <c r="L1474" s="587"/>
      <c r="M1474" s="586"/>
      <c r="N1474" s="581"/>
      <c r="O1474" s="827"/>
      <c r="P1474" s="581"/>
      <c r="Q1474" s="581"/>
      <c r="R1474" s="629"/>
      <c r="S1474" s="564"/>
      <c r="T1474" s="564"/>
      <c r="U1474" s="564"/>
      <c r="V1474" s="564"/>
      <c r="W1474" s="565"/>
      <c r="X1474" s="565"/>
      <c r="Y1474" s="565"/>
      <c r="Z1474" s="565"/>
    </row>
    <row r="1475" spans="1:26" s="639" customFormat="1" ht="24.75" hidden="1" thickBot="1">
      <c r="A1475" s="647">
        <v>4178</v>
      </c>
      <c r="B1475" s="828" t="s">
        <v>221</v>
      </c>
      <c r="C1475" s="603"/>
      <c r="D1475" s="581">
        <f t="shared" si="174"/>
        <v>0</v>
      </c>
      <c r="E1475" s="581">
        <f t="shared" si="180"/>
        <v>0</v>
      </c>
      <c r="F1475" s="864" t="e">
        <f t="shared" si="181"/>
        <v>#DIV/0!</v>
      </c>
      <c r="G1475" s="603">
        <f>38150-5723-7605-24822</f>
        <v>0</v>
      </c>
      <c r="H1475" s="581"/>
      <c r="I1475" s="582" t="e">
        <f t="shared" si="179"/>
        <v>#DIV/0!</v>
      </c>
      <c r="J1475" s="586"/>
      <c r="K1475" s="581"/>
      <c r="L1475" s="587"/>
      <c r="M1475" s="586"/>
      <c r="N1475" s="581"/>
      <c r="O1475" s="827"/>
      <c r="P1475" s="581"/>
      <c r="Q1475" s="581"/>
      <c r="R1475" s="629"/>
      <c r="S1475" s="564"/>
      <c r="T1475" s="564"/>
      <c r="U1475" s="564"/>
      <c r="V1475" s="564"/>
      <c r="W1475" s="565"/>
      <c r="X1475" s="565"/>
      <c r="Y1475" s="565"/>
      <c r="Z1475" s="565"/>
    </row>
    <row r="1476" spans="1:26" s="639" customFormat="1" ht="24.75" hidden="1" thickBot="1">
      <c r="A1476" s="647">
        <v>4179</v>
      </c>
      <c r="B1476" s="828" t="s">
        <v>221</v>
      </c>
      <c r="C1476" s="603"/>
      <c r="D1476" s="581">
        <f t="shared" si="174"/>
        <v>0</v>
      </c>
      <c r="E1476" s="581">
        <f t="shared" si="180"/>
        <v>0</v>
      </c>
      <c r="F1476" s="864" t="e">
        <f t="shared" si="181"/>
        <v>#DIV/0!</v>
      </c>
      <c r="G1476" s="603">
        <f>5723-1342-4381</f>
        <v>0</v>
      </c>
      <c r="H1476" s="581"/>
      <c r="I1476" s="582" t="e">
        <f t="shared" si="179"/>
        <v>#DIV/0!</v>
      </c>
      <c r="J1476" s="586"/>
      <c r="K1476" s="581"/>
      <c r="L1476" s="587"/>
      <c r="M1476" s="586"/>
      <c r="N1476" s="581"/>
      <c r="O1476" s="827"/>
      <c r="P1476" s="581"/>
      <c r="Q1476" s="581"/>
      <c r="R1476" s="629"/>
      <c r="S1476" s="564"/>
      <c r="T1476" s="564"/>
      <c r="U1476" s="564"/>
      <c r="V1476" s="564"/>
      <c r="W1476" s="565"/>
      <c r="X1476" s="565"/>
      <c r="Y1476" s="565"/>
      <c r="Z1476" s="565"/>
    </row>
    <row r="1477" spans="1:26" s="639" customFormat="1" ht="24.75" hidden="1" thickBot="1">
      <c r="A1477" s="647">
        <v>4218</v>
      </c>
      <c r="B1477" s="828" t="s">
        <v>191</v>
      </c>
      <c r="C1477" s="603"/>
      <c r="D1477" s="581">
        <f t="shared" si="174"/>
        <v>0</v>
      </c>
      <c r="E1477" s="581">
        <f t="shared" si="180"/>
        <v>0</v>
      </c>
      <c r="F1477" s="864" t="e">
        <f t="shared" si="181"/>
        <v>#DIV/0!</v>
      </c>
      <c r="G1477" s="603">
        <f>1020-153+1215-2082</f>
        <v>0</v>
      </c>
      <c r="H1477" s="581"/>
      <c r="I1477" s="582" t="e">
        <f t="shared" si="179"/>
        <v>#DIV/0!</v>
      </c>
      <c r="J1477" s="586"/>
      <c r="K1477" s="581"/>
      <c r="L1477" s="587"/>
      <c r="M1477" s="586"/>
      <c r="N1477" s="581"/>
      <c r="O1477" s="827"/>
      <c r="P1477" s="581"/>
      <c r="Q1477" s="581"/>
      <c r="R1477" s="629"/>
      <c r="S1477" s="564"/>
      <c r="T1477" s="564"/>
      <c r="U1477" s="564"/>
      <c r="V1477" s="564"/>
      <c r="W1477" s="565"/>
      <c r="X1477" s="565"/>
      <c r="Y1477" s="565"/>
      <c r="Z1477" s="565"/>
    </row>
    <row r="1478" spans="1:26" s="639" customFormat="1" ht="24.75" hidden="1" thickBot="1">
      <c r="A1478" s="647">
        <v>4219</v>
      </c>
      <c r="B1478" s="828" t="s">
        <v>191</v>
      </c>
      <c r="C1478" s="603"/>
      <c r="D1478" s="581">
        <f t="shared" si="174"/>
        <v>0</v>
      </c>
      <c r="E1478" s="581">
        <f t="shared" si="180"/>
        <v>0</v>
      </c>
      <c r="F1478" s="864" t="e">
        <f t="shared" si="181"/>
        <v>#DIV/0!</v>
      </c>
      <c r="G1478" s="603">
        <f>153+215-368</f>
        <v>0</v>
      </c>
      <c r="H1478" s="581"/>
      <c r="I1478" s="582" t="e">
        <f t="shared" si="179"/>
        <v>#DIV/0!</v>
      </c>
      <c r="J1478" s="586"/>
      <c r="K1478" s="581"/>
      <c r="L1478" s="587"/>
      <c r="M1478" s="586"/>
      <c r="N1478" s="581"/>
      <c r="O1478" s="827"/>
      <c r="P1478" s="581"/>
      <c r="Q1478" s="581"/>
      <c r="R1478" s="629"/>
      <c r="S1478" s="564"/>
      <c r="T1478" s="564"/>
      <c r="U1478" s="564"/>
      <c r="V1478" s="564"/>
      <c r="W1478" s="565"/>
      <c r="X1478" s="565"/>
      <c r="Y1478" s="565"/>
      <c r="Z1478" s="565"/>
    </row>
    <row r="1479" spans="1:26" s="639" customFormat="1" ht="24.75" hidden="1" thickBot="1">
      <c r="A1479" s="647">
        <v>4288</v>
      </c>
      <c r="B1479" s="828" t="s">
        <v>582</v>
      </c>
      <c r="C1479" s="603"/>
      <c r="D1479" s="581">
        <f>G1479+J1479+P1479+M1479</f>
        <v>0</v>
      </c>
      <c r="E1479" s="581">
        <f>SUM(H1479+K1479+N1479+Q1479)</f>
        <v>0</v>
      </c>
      <c r="F1479" s="864" t="e">
        <f>E1479/D1479*100</f>
        <v>#DIV/0!</v>
      </c>
      <c r="G1479" s="603">
        <f>893-893</f>
        <v>0</v>
      </c>
      <c r="H1479" s="581"/>
      <c r="I1479" s="582" t="e">
        <f t="shared" si="179"/>
        <v>#DIV/0!</v>
      </c>
      <c r="J1479" s="586"/>
      <c r="K1479" s="581"/>
      <c r="L1479" s="587"/>
      <c r="M1479" s="586"/>
      <c r="N1479" s="581"/>
      <c r="O1479" s="827"/>
      <c r="P1479" s="581"/>
      <c r="Q1479" s="581"/>
      <c r="R1479" s="629"/>
      <c r="S1479" s="564"/>
      <c r="T1479" s="564"/>
      <c r="U1479" s="564"/>
      <c r="V1479" s="564"/>
      <c r="W1479" s="565"/>
      <c r="X1479" s="565"/>
      <c r="Y1479" s="565"/>
      <c r="Z1479" s="565"/>
    </row>
    <row r="1480" spans="1:26" s="639" customFormat="1" ht="24.75" hidden="1" thickBot="1">
      <c r="A1480" s="647">
        <v>4289</v>
      </c>
      <c r="B1480" s="828" t="s">
        <v>582</v>
      </c>
      <c r="C1480" s="603"/>
      <c r="D1480" s="581">
        <f>G1480+J1480+P1480+M1480</f>
        <v>0</v>
      </c>
      <c r="E1480" s="581">
        <f>SUM(H1480+K1480+N1480+Q1480)</f>
        <v>0</v>
      </c>
      <c r="F1480" s="864" t="e">
        <f>E1480/D1480*100</f>
        <v>#DIV/0!</v>
      </c>
      <c r="G1480" s="603">
        <f>157-157</f>
        <v>0</v>
      </c>
      <c r="H1480" s="581"/>
      <c r="I1480" s="582" t="e">
        <f t="shared" si="179"/>
        <v>#DIV/0!</v>
      </c>
      <c r="J1480" s="586"/>
      <c r="K1480" s="581"/>
      <c r="L1480" s="587"/>
      <c r="M1480" s="586"/>
      <c r="N1480" s="581"/>
      <c r="O1480" s="827"/>
      <c r="P1480" s="581"/>
      <c r="Q1480" s="581"/>
      <c r="R1480" s="629"/>
      <c r="S1480" s="564"/>
      <c r="T1480" s="564"/>
      <c r="U1480" s="564"/>
      <c r="V1480" s="564"/>
      <c r="W1480" s="565"/>
      <c r="X1480" s="565"/>
      <c r="Y1480" s="565"/>
      <c r="Z1480" s="565"/>
    </row>
    <row r="1481" spans="1:26" s="639" customFormat="1" ht="24.75" hidden="1" thickBot="1">
      <c r="A1481" s="647">
        <v>4308</v>
      </c>
      <c r="B1481" s="828" t="s">
        <v>583</v>
      </c>
      <c r="C1481" s="603"/>
      <c r="D1481" s="581">
        <f t="shared" si="174"/>
        <v>0</v>
      </c>
      <c r="E1481" s="581">
        <f t="shared" si="180"/>
        <v>0</v>
      </c>
      <c r="F1481" s="864" t="e">
        <f t="shared" si="181"/>
        <v>#DIV/0!</v>
      </c>
      <c r="G1481" s="603">
        <f>85645-12846+2694-75493</f>
        <v>0</v>
      </c>
      <c r="H1481" s="581"/>
      <c r="I1481" s="582" t="e">
        <f t="shared" si="179"/>
        <v>#DIV/0!</v>
      </c>
      <c r="J1481" s="586"/>
      <c r="K1481" s="581"/>
      <c r="L1481" s="587"/>
      <c r="M1481" s="586"/>
      <c r="N1481" s="581"/>
      <c r="O1481" s="827"/>
      <c r="P1481" s="581"/>
      <c r="Q1481" s="581"/>
      <c r="R1481" s="629"/>
      <c r="S1481" s="564"/>
      <c r="T1481" s="564"/>
      <c r="U1481" s="564"/>
      <c r="V1481" s="564"/>
      <c r="W1481" s="565"/>
      <c r="X1481" s="565"/>
      <c r="Y1481" s="565"/>
      <c r="Z1481" s="565"/>
    </row>
    <row r="1482" spans="1:26" s="639" customFormat="1" ht="24.75" hidden="1" thickBot="1">
      <c r="A1482" s="647">
        <v>4309</v>
      </c>
      <c r="B1482" s="828" t="s">
        <v>583</v>
      </c>
      <c r="C1482" s="603"/>
      <c r="D1482" s="581">
        <f t="shared" si="174"/>
        <v>0</v>
      </c>
      <c r="E1482" s="581">
        <f t="shared" si="180"/>
        <v>0</v>
      </c>
      <c r="F1482" s="864" t="e">
        <f t="shared" si="181"/>
        <v>#DIV/0!</v>
      </c>
      <c r="G1482" s="603">
        <f>12846+476-13322</f>
        <v>0</v>
      </c>
      <c r="H1482" s="581"/>
      <c r="I1482" s="582" t="e">
        <f t="shared" si="179"/>
        <v>#DIV/0!</v>
      </c>
      <c r="J1482" s="586"/>
      <c r="K1482" s="581"/>
      <c r="L1482" s="587"/>
      <c r="M1482" s="586"/>
      <c r="N1482" s="581"/>
      <c r="O1482" s="827"/>
      <c r="P1482" s="581"/>
      <c r="Q1482" s="581"/>
      <c r="R1482" s="629"/>
      <c r="S1482" s="564"/>
      <c r="T1482" s="564"/>
      <c r="U1482" s="564"/>
      <c r="V1482" s="564"/>
      <c r="W1482" s="565"/>
      <c r="X1482" s="565"/>
      <c r="Y1482" s="565"/>
      <c r="Z1482" s="565"/>
    </row>
    <row r="1483" spans="1:26" s="639" customFormat="1" ht="24.75" hidden="1" thickBot="1">
      <c r="A1483" s="647">
        <v>4418</v>
      </c>
      <c r="B1483" s="712" t="s">
        <v>173</v>
      </c>
      <c r="C1483" s="603"/>
      <c r="D1483" s="581">
        <f t="shared" si="174"/>
        <v>0</v>
      </c>
      <c r="E1483" s="581">
        <f t="shared" si="180"/>
        <v>0</v>
      </c>
      <c r="F1483" s="864" t="e">
        <f t="shared" si="181"/>
        <v>#DIV/0!</v>
      </c>
      <c r="G1483" s="603">
        <f>6544-981-5563</f>
        <v>0</v>
      </c>
      <c r="H1483" s="581"/>
      <c r="I1483" s="582" t="e">
        <f t="shared" si="179"/>
        <v>#DIV/0!</v>
      </c>
      <c r="J1483" s="586"/>
      <c r="K1483" s="581"/>
      <c r="L1483" s="587"/>
      <c r="M1483" s="586"/>
      <c r="N1483" s="581"/>
      <c r="O1483" s="827"/>
      <c r="P1483" s="581"/>
      <c r="Q1483" s="581"/>
      <c r="R1483" s="629"/>
      <c r="S1483" s="564"/>
      <c r="T1483" s="564"/>
      <c r="U1483" s="564"/>
      <c r="V1483" s="564"/>
      <c r="W1483" s="565"/>
      <c r="X1483" s="565"/>
      <c r="Y1483" s="565"/>
      <c r="Z1483" s="565"/>
    </row>
    <row r="1484" spans="1:26" s="639" customFormat="1" ht="24.75" hidden="1" thickBot="1">
      <c r="A1484" s="647">
        <v>4419</v>
      </c>
      <c r="B1484" s="712" t="s">
        <v>173</v>
      </c>
      <c r="C1484" s="603"/>
      <c r="D1484" s="581">
        <f>G1484+J1484+P1484+M1484</f>
        <v>0</v>
      </c>
      <c r="E1484" s="581">
        <f t="shared" si="180"/>
        <v>0</v>
      </c>
      <c r="F1484" s="864" t="e">
        <f>E1484/D1484*100</f>
        <v>#DIV/0!</v>
      </c>
      <c r="G1484" s="603">
        <f>981-981</f>
        <v>0</v>
      </c>
      <c r="H1484" s="581"/>
      <c r="I1484" s="582" t="e">
        <f t="shared" si="179"/>
        <v>#DIV/0!</v>
      </c>
      <c r="J1484" s="586"/>
      <c r="K1484" s="581"/>
      <c r="L1484" s="587"/>
      <c r="M1484" s="586"/>
      <c r="N1484" s="581"/>
      <c r="O1484" s="827"/>
      <c r="P1484" s="581"/>
      <c r="Q1484" s="581"/>
      <c r="R1484" s="629"/>
      <c r="S1484" s="564"/>
      <c r="T1484" s="564"/>
      <c r="U1484" s="564"/>
      <c r="V1484" s="564"/>
      <c r="W1484" s="565"/>
      <c r="X1484" s="565"/>
      <c r="Y1484" s="565"/>
      <c r="Z1484" s="565"/>
    </row>
    <row r="1485" spans="1:26" s="639" customFormat="1" ht="13.5" hidden="1" thickBot="1">
      <c r="A1485" s="647">
        <v>4438</v>
      </c>
      <c r="B1485" s="712" t="s">
        <v>201</v>
      </c>
      <c r="C1485" s="603"/>
      <c r="D1485" s="581">
        <f>G1485+J1485+P1485+M1485</f>
        <v>0</v>
      </c>
      <c r="E1485" s="581">
        <f>SUM(H1485+K1485+N1485+Q1485)</f>
        <v>0</v>
      </c>
      <c r="F1485" s="864" t="e">
        <f>E1485/D1485*100</f>
        <v>#DIV/0!</v>
      </c>
      <c r="G1485" s="603">
        <f>892-892</f>
        <v>0</v>
      </c>
      <c r="H1485" s="581"/>
      <c r="I1485" s="582" t="e">
        <f t="shared" si="179"/>
        <v>#DIV/0!</v>
      </c>
      <c r="J1485" s="586"/>
      <c r="K1485" s="581"/>
      <c r="L1485" s="587"/>
      <c r="M1485" s="586"/>
      <c r="N1485" s="581"/>
      <c r="O1485" s="827"/>
      <c r="P1485" s="581"/>
      <c r="Q1485" s="581"/>
      <c r="R1485" s="629"/>
      <c r="S1485" s="564"/>
      <c r="T1485" s="564"/>
      <c r="U1485" s="564"/>
      <c r="V1485" s="564"/>
      <c r="W1485" s="565"/>
      <c r="X1485" s="565"/>
      <c r="Y1485" s="565"/>
      <c r="Z1485" s="565"/>
    </row>
    <row r="1486" spans="1:26" s="639" customFormat="1" ht="13.5" hidden="1" thickBot="1">
      <c r="A1486" s="647">
        <v>4439</v>
      </c>
      <c r="B1486" s="712" t="s">
        <v>201</v>
      </c>
      <c r="C1486" s="603"/>
      <c r="D1486" s="581">
        <f>G1486+J1486+P1486+M1486</f>
        <v>0</v>
      </c>
      <c r="E1486" s="581">
        <f>SUM(H1486+K1486+N1486+Q1486)</f>
        <v>0</v>
      </c>
      <c r="F1486" s="864" t="e">
        <f>E1486/D1486*100</f>
        <v>#DIV/0!</v>
      </c>
      <c r="G1486" s="603">
        <f>158-158</f>
        <v>0</v>
      </c>
      <c r="H1486" s="581"/>
      <c r="I1486" s="582" t="e">
        <f t="shared" si="179"/>
        <v>#DIV/0!</v>
      </c>
      <c r="J1486" s="586"/>
      <c r="K1486" s="581"/>
      <c r="L1486" s="587"/>
      <c r="M1486" s="586"/>
      <c r="N1486" s="581"/>
      <c r="O1486" s="827"/>
      <c r="P1486" s="581"/>
      <c r="Q1486" s="581"/>
      <c r="R1486" s="629"/>
      <c r="S1486" s="564"/>
      <c r="T1486" s="564"/>
      <c r="U1486" s="564"/>
      <c r="V1486" s="564"/>
      <c r="W1486" s="565"/>
      <c r="X1486" s="565"/>
      <c r="Y1486" s="565"/>
      <c r="Z1486" s="565"/>
    </row>
    <row r="1487" spans="1:26" s="639" customFormat="1" ht="60.75" hidden="1" thickBot="1">
      <c r="A1487" s="647">
        <v>4748</v>
      </c>
      <c r="B1487" s="712" t="s">
        <v>215</v>
      </c>
      <c r="C1487" s="603"/>
      <c r="D1487" s="581">
        <f>G1487+J1487+P1487+M1487</f>
        <v>0</v>
      </c>
      <c r="E1487" s="581">
        <f t="shared" si="180"/>
        <v>0</v>
      </c>
      <c r="F1487" s="864" t="e">
        <f>E1487/D1487*100</f>
        <v>#DIV/0!</v>
      </c>
      <c r="G1487" s="603">
        <f>610-92-518</f>
        <v>0</v>
      </c>
      <c r="H1487" s="581"/>
      <c r="I1487" s="582" t="e">
        <f t="shared" si="179"/>
        <v>#DIV/0!</v>
      </c>
      <c r="J1487" s="586"/>
      <c r="K1487" s="581"/>
      <c r="L1487" s="587"/>
      <c r="M1487" s="586"/>
      <c r="N1487" s="581"/>
      <c r="O1487" s="827"/>
      <c r="P1487" s="581"/>
      <c r="Q1487" s="581"/>
      <c r="R1487" s="629"/>
      <c r="S1487" s="564"/>
      <c r="T1487" s="564"/>
      <c r="U1487" s="564"/>
      <c r="V1487" s="564"/>
      <c r="W1487" s="565"/>
      <c r="X1487" s="565"/>
      <c r="Y1487" s="565"/>
      <c r="Z1487" s="565"/>
    </row>
    <row r="1488" spans="1:26" s="639" customFormat="1" ht="60.75" hidden="1" thickBot="1">
      <c r="A1488" s="647">
        <v>4749</v>
      </c>
      <c r="B1488" s="712" t="s">
        <v>215</v>
      </c>
      <c r="C1488" s="603"/>
      <c r="D1488" s="581">
        <f>G1488+J1488+P1488+M1488</f>
        <v>0</v>
      </c>
      <c r="E1488" s="581">
        <f t="shared" si="180"/>
        <v>0</v>
      </c>
      <c r="F1488" s="864" t="e">
        <f>E1488/D1488*100</f>
        <v>#DIV/0!</v>
      </c>
      <c r="G1488" s="603">
        <f>92-92</f>
        <v>0</v>
      </c>
      <c r="H1488" s="581"/>
      <c r="I1488" s="582" t="e">
        <f t="shared" si="179"/>
        <v>#DIV/0!</v>
      </c>
      <c r="J1488" s="586"/>
      <c r="K1488" s="581"/>
      <c r="L1488" s="587"/>
      <c r="M1488" s="586"/>
      <c r="N1488" s="581"/>
      <c r="O1488" s="827"/>
      <c r="P1488" s="581"/>
      <c r="Q1488" s="581"/>
      <c r="R1488" s="629"/>
      <c r="S1488" s="564"/>
      <c r="T1488" s="564"/>
      <c r="U1488" s="564"/>
      <c r="V1488" s="564"/>
      <c r="W1488" s="565"/>
      <c r="X1488" s="565"/>
      <c r="Y1488" s="565"/>
      <c r="Z1488" s="565"/>
    </row>
    <row r="1489" spans="1:26" s="639" customFormat="1" ht="36.75" hidden="1" thickBot="1">
      <c r="A1489" s="647">
        <v>4758</v>
      </c>
      <c r="B1489" s="712" t="s">
        <v>291</v>
      </c>
      <c r="C1489" s="603"/>
      <c r="D1489" s="581">
        <f t="shared" si="174"/>
        <v>0</v>
      </c>
      <c r="E1489" s="581">
        <f t="shared" si="180"/>
        <v>0</v>
      </c>
      <c r="F1489" s="864" t="e">
        <f t="shared" si="181"/>
        <v>#DIV/0!</v>
      </c>
      <c r="G1489" s="603">
        <f>1565-234-1331</f>
        <v>0</v>
      </c>
      <c r="H1489" s="581"/>
      <c r="I1489" s="582" t="e">
        <f t="shared" si="179"/>
        <v>#DIV/0!</v>
      </c>
      <c r="J1489" s="586"/>
      <c r="K1489" s="581"/>
      <c r="L1489" s="587"/>
      <c r="M1489" s="586"/>
      <c r="N1489" s="581"/>
      <c r="O1489" s="827"/>
      <c r="P1489" s="581"/>
      <c r="Q1489" s="581"/>
      <c r="R1489" s="629"/>
      <c r="S1489" s="564"/>
      <c r="T1489" s="564"/>
      <c r="U1489" s="564"/>
      <c r="V1489" s="564"/>
      <c r="W1489" s="565"/>
      <c r="X1489" s="565"/>
      <c r="Y1489" s="565"/>
      <c r="Z1489" s="565"/>
    </row>
    <row r="1490" spans="1:26" s="639" customFormat="1" ht="36.75" hidden="1" thickBot="1">
      <c r="A1490" s="647">
        <v>4759</v>
      </c>
      <c r="B1490" s="712" t="s">
        <v>291</v>
      </c>
      <c r="C1490" s="603"/>
      <c r="D1490" s="581">
        <f>G1490+J1490+P1490+M1490</f>
        <v>0</v>
      </c>
      <c r="E1490" s="581">
        <f t="shared" si="180"/>
        <v>0</v>
      </c>
      <c r="F1490" s="864" t="e">
        <f>E1490/D1490*100</f>
        <v>#DIV/0!</v>
      </c>
      <c r="G1490" s="603">
        <f>234-234</f>
        <v>0</v>
      </c>
      <c r="H1490" s="581"/>
      <c r="I1490" s="582" t="e">
        <f t="shared" si="179"/>
        <v>#DIV/0!</v>
      </c>
      <c r="J1490" s="586"/>
      <c r="K1490" s="581"/>
      <c r="L1490" s="587"/>
      <c r="M1490" s="586"/>
      <c r="N1490" s="581"/>
      <c r="O1490" s="827"/>
      <c r="P1490" s="581"/>
      <c r="Q1490" s="581"/>
      <c r="R1490" s="629"/>
      <c r="S1490" s="564"/>
      <c r="T1490" s="564"/>
      <c r="U1490" s="564"/>
      <c r="V1490" s="564"/>
      <c r="W1490" s="565"/>
      <c r="X1490" s="565"/>
      <c r="Y1490" s="565"/>
      <c r="Z1490" s="565"/>
    </row>
    <row r="1491" spans="1:26" s="639" customFormat="1" ht="102.75" hidden="1" thickBot="1">
      <c r="A1491" s="822"/>
      <c r="B1491" s="910" t="s">
        <v>288</v>
      </c>
      <c r="C1491" s="603"/>
      <c r="D1491" s="660">
        <f>G1491+J1491+P1491+M1491</f>
        <v>0</v>
      </c>
      <c r="E1491" s="660">
        <f>SUM(H1491+K1491+N1491+Q1491)</f>
        <v>0</v>
      </c>
      <c r="F1491" s="868" t="e">
        <f>E1491/D1491*100</f>
        <v>#DIV/0!</v>
      </c>
      <c r="G1491" s="603"/>
      <c r="H1491" s="581"/>
      <c r="I1491" s="582"/>
      <c r="J1491" s="661">
        <f>SUM(J1492:J1496)</f>
        <v>0</v>
      </c>
      <c r="K1491" s="660">
        <f>SUM(K1492:K1496)</f>
        <v>0</v>
      </c>
      <c r="L1491" s="662" t="e">
        <f aca="true" t="shared" si="182" ref="L1491:L1496">K1491/J1491*100</f>
        <v>#DIV/0!</v>
      </c>
      <c r="M1491" s="586"/>
      <c r="N1491" s="581"/>
      <c r="O1491" s="827"/>
      <c r="P1491" s="581"/>
      <c r="Q1491" s="581"/>
      <c r="R1491" s="629"/>
      <c r="S1491" s="564"/>
      <c r="T1491" s="564"/>
      <c r="U1491" s="564"/>
      <c r="V1491" s="564"/>
      <c r="W1491" s="565"/>
      <c r="X1491" s="565"/>
      <c r="Y1491" s="565"/>
      <c r="Z1491" s="565"/>
    </row>
    <row r="1492" spans="1:26" s="639" customFormat="1" ht="36.75" hidden="1" thickBot="1">
      <c r="A1492" s="647">
        <v>4110</v>
      </c>
      <c r="B1492" s="828" t="s">
        <v>187</v>
      </c>
      <c r="C1492" s="603"/>
      <c r="D1492" s="581">
        <f>G1492+J1492+P1492+M1492</f>
        <v>0</v>
      </c>
      <c r="E1492" s="581">
        <f>SUM(H1492+K1492+N1492+Q1492)</f>
        <v>0</v>
      </c>
      <c r="F1492" s="864" t="e">
        <f>E1492/D1492*100</f>
        <v>#DIV/0!</v>
      </c>
      <c r="G1492" s="603"/>
      <c r="H1492" s="581"/>
      <c r="I1492" s="582"/>
      <c r="J1492" s="586"/>
      <c r="K1492" s="581"/>
      <c r="L1492" s="587" t="e">
        <f t="shared" si="182"/>
        <v>#DIV/0!</v>
      </c>
      <c r="M1492" s="586"/>
      <c r="N1492" s="581"/>
      <c r="O1492" s="827"/>
      <c r="P1492" s="581"/>
      <c r="Q1492" s="581"/>
      <c r="R1492" s="629"/>
      <c r="S1492" s="564"/>
      <c r="T1492" s="564"/>
      <c r="U1492" s="564"/>
      <c r="V1492" s="564"/>
      <c r="W1492" s="565"/>
      <c r="X1492" s="565"/>
      <c r="Y1492" s="565"/>
      <c r="Z1492" s="565"/>
    </row>
    <row r="1493" spans="1:26" s="639" customFormat="1" ht="13.5" hidden="1" thickBot="1">
      <c r="A1493" s="647">
        <v>4120</v>
      </c>
      <c r="B1493" s="828" t="s">
        <v>619</v>
      </c>
      <c r="C1493" s="603"/>
      <c r="D1493" s="581">
        <f aca="true" t="shared" si="183" ref="D1493:D1500">G1493+J1493+P1493+M1493</f>
        <v>0</v>
      </c>
      <c r="E1493" s="581">
        <f aca="true" t="shared" si="184" ref="E1493:E1500">SUM(H1493+K1493+N1493+Q1493)</f>
        <v>0</v>
      </c>
      <c r="F1493" s="864" t="e">
        <f aca="true" t="shared" si="185" ref="F1493:F1552">E1493/D1493*100</f>
        <v>#DIV/0!</v>
      </c>
      <c r="G1493" s="603"/>
      <c r="H1493" s="581"/>
      <c r="I1493" s="582"/>
      <c r="J1493" s="586"/>
      <c r="K1493" s="581"/>
      <c r="L1493" s="587" t="e">
        <f t="shared" si="182"/>
        <v>#DIV/0!</v>
      </c>
      <c r="M1493" s="586"/>
      <c r="N1493" s="581"/>
      <c r="O1493" s="827"/>
      <c r="P1493" s="581"/>
      <c r="Q1493" s="581"/>
      <c r="R1493" s="629"/>
      <c r="S1493" s="564"/>
      <c r="T1493" s="564"/>
      <c r="U1493" s="564"/>
      <c r="V1493" s="564"/>
      <c r="W1493" s="565"/>
      <c r="X1493" s="565"/>
      <c r="Y1493" s="565"/>
      <c r="Z1493" s="565"/>
    </row>
    <row r="1494" spans="1:26" s="639" customFormat="1" ht="24.75" hidden="1" thickBot="1">
      <c r="A1494" s="647">
        <v>4170</v>
      </c>
      <c r="B1494" s="828" t="s">
        <v>221</v>
      </c>
      <c r="C1494" s="603"/>
      <c r="D1494" s="581">
        <f t="shared" si="183"/>
        <v>0</v>
      </c>
      <c r="E1494" s="581">
        <f t="shared" si="184"/>
        <v>0</v>
      </c>
      <c r="F1494" s="864" t="e">
        <f t="shared" si="185"/>
        <v>#DIV/0!</v>
      </c>
      <c r="G1494" s="603"/>
      <c r="H1494" s="581"/>
      <c r="I1494" s="582"/>
      <c r="J1494" s="586"/>
      <c r="K1494" s="581"/>
      <c r="L1494" s="587" t="e">
        <f t="shared" si="182"/>
        <v>#DIV/0!</v>
      </c>
      <c r="M1494" s="586"/>
      <c r="N1494" s="581"/>
      <c r="O1494" s="827"/>
      <c r="P1494" s="581"/>
      <c r="Q1494" s="581"/>
      <c r="R1494" s="629"/>
      <c r="S1494" s="564"/>
      <c r="T1494" s="564"/>
      <c r="U1494" s="564"/>
      <c r="V1494" s="564"/>
      <c r="W1494" s="565"/>
      <c r="X1494" s="565"/>
      <c r="Y1494" s="565"/>
      <c r="Z1494" s="565"/>
    </row>
    <row r="1495" spans="1:26" s="639" customFormat="1" ht="24.75" hidden="1" thickBot="1">
      <c r="A1495" s="647">
        <v>4210</v>
      </c>
      <c r="B1495" s="828" t="s">
        <v>191</v>
      </c>
      <c r="C1495" s="603"/>
      <c r="D1495" s="581">
        <f t="shared" si="183"/>
        <v>0</v>
      </c>
      <c r="E1495" s="581">
        <f t="shared" si="184"/>
        <v>0</v>
      </c>
      <c r="F1495" s="864" t="e">
        <f t="shared" si="185"/>
        <v>#DIV/0!</v>
      </c>
      <c r="G1495" s="603"/>
      <c r="H1495" s="581"/>
      <c r="I1495" s="582"/>
      <c r="J1495" s="586"/>
      <c r="K1495" s="581"/>
      <c r="L1495" s="628" t="e">
        <f t="shared" si="182"/>
        <v>#DIV/0!</v>
      </c>
      <c r="M1495" s="586"/>
      <c r="N1495" s="581"/>
      <c r="O1495" s="827"/>
      <c r="P1495" s="581"/>
      <c r="Q1495" s="581"/>
      <c r="R1495" s="629"/>
      <c r="S1495" s="564"/>
      <c r="T1495" s="564"/>
      <c r="U1495" s="564"/>
      <c r="V1495" s="564"/>
      <c r="W1495" s="565"/>
      <c r="X1495" s="565"/>
      <c r="Y1495" s="565"/>
      <c r="Z1495" s="565"/>
    </row>
    <row r="1496" spans="1:26" s="639" customFormat="1" ht="24.75" hidden="1" thickBot="1">
      <c r="A1496" s="647">
        <v>4300</v>
      </c>
      <c r="B1496" s="828" t="s">
        <v>583</v>
      </c>
      <c r="C1496" s="603"/>
      <c r="D1496" s="581">
        <f t="shared" si="183"/>
        <v>0</v>
      </c>
      <c r="E1496" s="581">
        <f t="shared" si="184"/>
        <v>0</v>
      </c>
      <c r="F1496" s="864" t="e">
        <f t="shared" si="185"/>
        <v>#DIV/0!</v>
      </c>
      <c r="G1496" s="603"/>
      <c r="H1496" s="581"/>
      <c r="I1496" s="582"/>
      <c r="J1496" s="603"/>
      <c r="K1496" s="581"/>
      <c r="L1496" s="628" t="e">
        <f t="shared" si="182"/>
        <v>#DIV/0!</v>
      </c>
      <c r="M1496" s="586"/>
      <c r="N1496" s="581"/>
      <c r="O1496" s="827"/>
      <c r="P1496" s="581"/>
      <c r="Q1496" s="581"/>
      <c r="R1496" s="629"/>
      <c r="S1496" s="564"/>
      <c r="T1496" s="564"/>
      <c r="U1496" s="564"/>
      <c r="V1496" s="564"/>
      <c r="W1496" s="565"/>
      <c r="X1496" s="565"/>
      <c r="Y1496" s="565"/>
      <c r="Z1496" s="565"/>
    </row>
    <row r="1497" spans="1:26" s="639" customFormat="1" ht="77.25" hidden="1" thickBot="1">
      <c r="A1497" s="822"/>
      <c r="B1497" s="823" t="s">
        <v>485</v>
      </c>
      <c r="C1497" s="603"/>
      <c r="D1497" s="660">
        <f t="shared" si="183"/>
        <v>0</v>
      </c>
      <c r="E1497" s="660">
        <f t="shared" si="184"/>
        <v>0</v>
      </c>
      <c r="F1497" s="868" t="e">
        <f t="shared" si="185"/>
        <v>#DIV/0!</v>
      </c>
      <c r="G1497" s="603"/>
      <c r="H1497" s="581"/>
      <c r="I1497" s="582"/>
      <c r="J1497" s="661"/>
      <c r="K1497" s="660"/>
      <c r="L1497" s="662"/>
      <c r="M1497" s="586"/>
      <c r="N1497" s="581"/>
      <c r="O1497" s="827"/>
      <c r="P1497" s="660">
        <f>SUM(P1498:P1505)</f>
        <v>0</v>
      </c>
      <c r="Q1497" s="660">
        <f>SUM(Q1498:Q1505)</f>
        <v>0</v>
      </c>
      <c r="R1497" s="827" t="e">
        <f>Q1497/P1497*100</f>
        <v>#DIV/0!</v>
      </c>
      <c r="S1497" s="564"/>
      <c r="T1497" s="564"/>
      <c r="U1497" s="564"/>
      <c r="V1497" s="564"/>
      <c r="W1497" s="565"/>
      <c r="X1497" s="565"/>
      <c r="Y1497" s="565"/>
      <c r="Z1497" s="565"/>
    </row>
    <row r="1498" spans="1:26" s="639" customFormat="1" ht="36.75" hidden="1" thickBot="1">
      <c r="A1498" s="647">
        <v>4110</v>
      </c>
      <c r="B1498" s="828" t="s">
        <v>187</v>
      </c>
      <c r="C1498" s="603"/>
      <c r="D1498" s="581">
        <f t="shared" si="183"/>
        <v>0</v>
      </c>
      <c r="E1498" s="581">
        <f t="shared" si="184"/>
        <v>0</v>
      </c>
      <c r="F1498" s="864" t="e">
        <f t="shared" si="185"/>
        <v>#DIV/0!</v>
      </c>
      <c r="G1498" s="603"/>
      <c r="H1498" s="581"/>
      <c r="I1498" s="582"/>
      <c r="J1498" s="581"/>
      <c r="K1498" s="581"/>
      <c r="L1498" s="628"/>
      <c r="M1498" s="586"/>
      <c r="N1498" s="581"/>
      <c r="O1498" s="827"/>
      <c r="P1498" s="581">
        <f>4840-4840</f>
        <v>0</v>
      </c>
      <c r="Q1498" s="581"/>
      <c r="R1498" s="629" t="e">
        <f aca="true" t="shared" si="186" ref="R1498:R1505">Q1498/P1498*100</f>
        <v>#DIV/0!</v>
      </c>
      <c r="S1498" s="564"/>
      <c r="T1498" s="564"/>
      <c r="U1498" s="564"/>
      <c r="V1498" s="564"/>
      <c r="W1498" s="565"/>
      <c r="X1498" s="565"/>
      <c r="Y1498" s="565"/>
      <c r="Z1498" s="565"/>
    </row>
    <row r="1499" spans="1:26" s="639" customFormat="1" ht="13.5" hidden="1" thickBot="1">
      <c r="A1499" s="647">
        <v>4120</v>
      </c>
      <c r="B1499" s="828" t="s">
        <v>619</v>
      </c>
      <c r="C1499" s="603"/>
      <c r="D1499" s="581">
        <f t="shared" si="183"/>
        <v>0</v>
      </c>
      <c r="E1499" s="581">
        <f t="shared" si="184"/>
        <v>0</v>
      </c>
      <c r="F1499" s="864" t="e">
        <f t="shared" si="185"/>
        <v>#DIV/0!</v>
      </c>
      <c r="G1499" s="603"/>
      <c r="H1499" s="581"/>
      <c r="I1499" s="582"/>
      <c r="J1499" s="581"/>
      <c r="K1499" s="581"/>
      <c r="L1499" s="628"/>
      <c r="M1499" s="586"/>
      <c r="N1499" s="581"/>
      <c r="O1499" s="827"/>
      <c r="P1499" s="581">
        <f>741-741</f>
        <v>0</v>
      </c>
      <c r="Q1499" s="581"/>
      <c r="R1499" s="629" t="e">
        <f t="shared" si="186"/>
        <v>#DIV/0!</v>
      </c>
      <c r="S1499" s="564"/>
      <c r="T1499" s="564"/>
      <c r="U1499" s="564"/>
      <c r="V1499" s="564"/>
      <c r="W1499" s="565"/>
      <c r="X1499" s="565"/>
      <c r="Y1499" s="565"/>
      <c r="Z1499" s="565"/>
    </row>
    <row r="1500" spans="1:26" s="639" customFormat="1" ht="24.75" hidden="1" thickBot="1">
      <c r="A1500" s="647">
        <v>4170</v>
      </c>
      <c r="B1500" s="828" t="s">
        <v>221</v>
      </c>
      <c r="C1500" s="603"/>
      <c r="D1500" s="581">
        <f t="shared" si="183"/>
        <v>0</v>
      </c>
      <c r="E1500" s="581">
        <f t="shared" si="184"/>
        <v>0</v>
      </c>
      <c r="F1500" s="864" t="e">
        <f t="shared" si="185"/>
        <v>#DIV/0!</v>
      </c>
      <c r="G1500" s="603"/>
      <c r="H1500" s="581"/>
      <c r="I1500" s="582"/>
      <c r="J1500" s="581"/>
      <c r="K1500" s="581"/>
      <c r="L1500" s="628"/>
      <c r="M1500" s="586"/>
      <c r="N1500" s="581"/>
      <c r="O1500" s="827"/>
      <c r="P1500" s="581">
        <f>30219-30219</f>
        <v>0</v>
      </c>
      <c r="Q1500" s="581"/>
      <c r="R1500" s="629" t="e">
        <f t="shared" si="186"/>
        <v>#DIV/0!</v>
      </c>
      <c r="S1500" s="564"/>
      <c r="T1500" s="564"/>
      <c r="U1500" s="564"/>
      <c r="V1500" s="564"/>
      <c r="W1500" s="565"/>
      <c r="X1500" s="565"/>
      <c r="Y1500" s="565"/>
      <c r="Z1500" s="565"/>
    </row>
    <row r="1501" spans="1:26" s="639" customFormat="1" ht="24.75" hidden="1" thickBot="1">
      <c r="A1501" s="647">
        <v>4210</v>
      </c>
      <c r="B1501" s="828" t="s">
        <v>191</v>
      </c>
      <c r="C1501" s="603"/>
      <c r="D1501" s="581">
        <f>G1501+J1501+P1501+M1501</f>
        <v>0</v>
      </c>
      <c r="E1501" s="581">
        <f>SUM(H1501+K1501+N1501+Q1501)</f>
        <v>0</v>
      </c>
      <c r="F1501" s="864" t="e">
        <f t="shared" si="185"/>
        <v>#DIV/0!</v>
      </c>
      <c r="G1501" s="603"/>
      <c r="H1501" s="581"/>
      <c r="I1501" s="582"/>
      <c r="J1501" s="581"/>
      <c r="K1501" s="581"/>
      <c r="L1501" s="628"/>
      <c r="M1501" s="586"/>
      <c r="N1501" s="581"/>
      <c r="O1501" s="827"/>
      <c r="P1501" s="581">
        <f>4300-4300</f>
        <v>0</v>
      </c>
      <c r="Q1501" s="581"/>
      <c r="R1501" s="629" t="e">
        <f t="shared" si="186"/>
        <v>#DIV/0!</v>
      </c>
      <c r="S1501" s="564"/>
      <c r="T1501" s="564"/>
      <c r="U1501" s="564"/>
      <c r="V1501" s="564"/>
      <c r="W1501" s="565"/>
      <c r="X1501" s="565"/>
      <c r="Y1501" s="565"/>
      <c r="Z1501" s="565"/>
    </row>
    <row r="1502" spans="1:26" s="639" customFormat="1" ht="36.75" hidden="1" thickBot="1">
      <c r="A1502" s="647">
        <v>4240</v>
      </c>
      <c r="B1502" s="828" t="s">
        <v>696</v>
      </c>
      <c r="C1502" s="603"/>
      <c r="D1502" s="581">
        <f>G1502+J1502+P1502+M1502</f>
        <v>0</v>
      </c>
      <c r="E1502" s="581">
        <f>SUM(H1502+K1502+N1502+Q1502)</f>
        <v>0</v>
      </c>
      <c r="F1502" s="864" t="e">
        <f t="shared" si="185"/>
        <v>#DIV/0!</v>
      </c>
      <c r="G1502" s="603"/>
      <c r="H1502" s="581"/>
      <c r="I1502" s="582"/>
      <c r="J1502" s="581"/>
      <c r="K1502" s="581"/>
      <c r="L1502" s="628"/>
      <c r="M1502" s="586"/>
      <c r="N1502" s="581"/>
      <c r="O1502" s="827"/>
      <c r="P1502" s="581"/>
      <c r="Q1502" s="581"/>
      <c r="R1502" s="629" t="e">
        <f t="shared" si="186"/>
        <v>#DIV/0!</v>
      </c>
      <c r="S1502" s="564"/>
      <c r="T1502" s="564"/>
      <c r="U1502" s="564"/>
      <c r="V1502" s="564"/>
      <c r="W1502" s="565"/>
      <c r="X1502" s="565"/>
      <c r="Y1502" s="565"/>
      <c r="Z1502" s="565"/>
    </row>
    <row r="1503" spans="1:26" s="639" customFormat="1" ht="24.75" hidden="1" thickBot="1">
      <c r="A1503" s="647">
        <v>4300</v>
      </c>
      <c r="B1503" s="712" t="s">
        <v>199</v>
      </c>
      <c r="C1503" s="603"/>
      <c r="D1503" s="581">
        <f>G1503+J1503+P1503+M1503</f>
        <v>0</v>
      </c>
      <c r="E1503" s="581">
        <f>SUM(H1503+K1503+N1503+Q1503)</f>
        <v>0</v>
      </c>
      <c r="F1503" s="864" t="e">
        <f t="shared" si="185"/>
        <v>#DIV/0!</v>
      </c>
      <c r="G1503" s="603"/>
      <c r="H1503" s="581"/>
      <c r="I1503" s="582"/>
      <c r="J1503" s="603"/>
      <c r="K1503" s="581"/>
      <c r="L1503" s="628"/>
      <c r="M1503" s="586"/>
      <c r="N1503" s="581"/>
      <c r="O1503" s="827"/>
      <c r="P1503" s="581">
        <f>10100-10100</f>
        <v>0</v>
      </c>
      <c r="Q1503" s="581"/>
      <c r="R1503" s="629" t="e">
        <f t="shared" si="186"/>
        <v>#DIV/0!</v>
      </c>
      <c r="S1503" s="564"/>
      <c r="T1503" s="564"/>
      <c r="U1503" s="564"/>
      <c r="V1503" s="564"/>
      <c r="W1503" s="565"/>
      <c r="X1503" s="565"/>
      <c r="Y1503" s="565"/>
      <c r="Z1503" s="565"/>
    </row>
    <row r="1504" spans="1:26" s="639" customFormat="1" ht="60.75" hidden="1" thickBot="1">
      <c r="A1504" s="647">
        <v>4740</v>
      </c>
      <c r="B1504" s="712" t="s">
        <v>215</v>
      </c>
      <c r="C1504" s="603"/>
      <c r="D1504" s="581">
        <f>G1504+J1504+P1504+M1504</f>
        <v>0</v>
      </c>
      <c r="E1504" s="581">
        <f>SUM(H1504+K1504+N1504+Q1504)</f>
        <v>0</v>
      </c>
      <c r="F1504" s="864" t="e">
        <f t="shared" si="185"/>
        <v>#DIV/0!</v>
      </c>
      <c r="G1504" s="603"/>
      <c r="H1504" s="581"/>
      <c r="I1504" s="582"/>
      <c r="J1504" s="603"/>
      <c r="K1504" s="581"/>
      <c r="L1504" s="628"/>
      <c r="M1504" s="586"/>
      <c r="N1504" s="581"/>
      <c r="O1504" s="827"/>
      <c r="P1504" s="581">
        <f>100-100</f>
        <v>0</v>
      </c>
      <c r="Q1504" s="581"/>
      <c r="R1504" s="629" t="e">
        <f t="shared" si="186"/>
        <v>#DIV/0!</v>
      </c>
      <c r="S1504" s="564"/>
      <c r="T1504" s="564"/>
      <c r="U1504" s="564"/>
      <c r="V1504" s="564"/>
      <c r="W1504" s="565"/>
      <c r="X1504" s="565"/>
      <c r="Y1504" s="565"/>
      <c r="Z1504" s="565"/>
    </row>
    <row r="1505" spans="1:26" s="639" customFormat="1" ht="36.75" hidden="1" thickBot="1">
      <c r="A1505" s="647">
        <v>4750</v>
      </c>
      <c r="B1505" s="712" t="s">
        <v>486</v>
      </c>
      <c r="C1505" s="603"/>
      <c r="D1505" s="581">
        <f>G1505+J1505+P1505+M1505</f>
        <v>0</v>
      </c>
      <c r="E1505" s="581">
        <f>SUM(H1505+K1505+N1505+Q1505)</f>
        <v>0</v>
      </c>
      <c r="F1505" s="864" t="e">
        <f t="shared" si="185"/>
        <v>#DIV/0!</v>
      </c>
      <c r="G1505" s="603"/>
      <c r="H1505" s="581"/>
      <c r="I1505" s="582"/>
      <c r="J1505" s="586"/>
      <c r="K1505" s="581"/>
      <c r="L1505" s="587"/>
      <c r="M1505" s="586"/>
      <c r="N1505" s="581"/>
      <c r="O1505" s="827"/>
      <c r="P1505" s="581">
        <f>836-836</f>
        <v>0</v>
      </c>
      <c r="Q1505" s="581"/>
      <c r="R1505" s="629" t="e">
        <f t="shared" si="186"/>
        <v>#DIV/0!</v>
      </c>
      <c r="S1505" s="564"/>
      <c r="T1505" s="564"/>
      <c r="U1505" s="564"/>
      <c r="V1505" s="564"/>
      <c r="W1505" s="565"/>
      <c r="X1505" s="565"/>
      <c r="Y1505" s="565"/>
      <c r="Z1505" s="565"/>
    </row>
    <row r="1506" spans="1:26" s="639" customFormat="1" ht="37.5" thickBot="1" thickTop="1">
      <c r="A1506" s="632">
        <v>853</v>
      </c>
      <c r="B1506" s="927" t="s">
        <v>819</v>
      </c>
      <c r="C1506" s="634">
        <f>C1507+C1514+C1511+C1533+C1529+C1531</f>
        <v>6064131</v>
      </c>
      <c r="D1506" s="556">
        <f>D1507+D1514+D1511+D1533+D1529+D1531</f>
        <v>6572451</v>
      </c>
      <c r="E1506" s="556">
        <f>E1507+E1514+E1511+E1533+E1529+E1531</f>
        <v>1513256</v>
      </c>
      <c r="F1506" s="928">
        <f t="shared" si="185"/>
        <v>23.024226426336234</v>
      </c>
      <c r="G1506" s="634">
        <f>G1507+G1514+G1511+G1533</f>
        <v>4522269</v>
      </c>
      <c r="H1506" s="556">
        <f>H1507+H1514+H1511+H1533</f>
        <v>995251</v>
      </c>
      <c r="I1506" s="557">
        <f t="shared" si="179"/>
        <v>22.007779722966504</v>
      </c>
      <c r="J1506" s="560"/>
      <c r="K1506" s="556"/>
      <c r="L1506" s="636"/>
      <c r="M1506" s="560">
        <f>M1507+M1514+M1533+M1511+M1531</f>
        <v>1925182</v>
      </c>
      <c r="N1506" s="556">
        <f>N1507+N1514+N1533+N1511+N1531</f>
        <v>486757</v>
      </c>
      <c r="O1506" s="929">
        <f>N1506/M1506*100</f>
        <v>25.28368746435402</v>
      </c>
      <c r="P1506" s="556">
        <f>P1514+P1529</f>
        <v>125000</v>
      </c>
      <c r="Q1506" s="556">
        <f>Q1514+Q1529</f>
        <v>31248</v>
      </c>
      <c r="R1506" s="929">
        <f>Q1506/P1506*100</f>
        <v>24.9984</v>
      </c>
      <c r="S1506" s="564"/>
      <c r="T1506" s="564"/>
      <c r="U1506" s="564"/>
      <c r="V1506" s="564"/>
      <c r="W1506" s="565"/>
      <c r="X1506" s="565"/>
      <c r="Y1506" s="565"/>
      <c r="Z1506" s="565"/>
    </row>
    <row r="1507" spans="1:26" s="639" customFormat="1" ht="13.5" thickTop="1">
      <c r="A1507" s="640">
        <v>85305</v>
      </c>
      <c r="B1507" s="856" t="s">
        <v>820</v>
      </c>
      <c r="C1507" s="608">
        <f>SUM(C1508:C1510)</f>
        <v>3286400</v>
      </c>
      <c r="D1507" s="595">
        <f>G1507+J1507+P1507+M1507</f>
        <v>3579400</v>
      </c>
      <c r="E1507" s="882">
        <f aca="true" t="shared" si="187" ref="E1507:E1513">SUM(H1507+K1507+N1507+Q1507)</f>
        <v>930600</v>
      </c>
      <c r="F1507" s="907">
        <f t="shared" si="185"/>
        <v>25.99877074370006</v>
      </c>
      <c r="G1507" s="608">
        <f>SUM(G1508:G1510)</f>
        <v>3579400</v>
      </c>
      <c r="H1507" s="595">
        <f>SUM(H1508:H1510)</f>
        <v>930600</v>
      </c>
      <c r="I1507" s="596">
        <f t="shared" si="179"/>
        <v>25.99877074370006</v>
      </c>
      <c r="J1507" s="600"/>
      <c r="K1507" s="595"/>
      <c r="L1507" s="601"/>
      <c r="M1507" s="595"/>
      <c r="N1507" s="595"/>
      <c r="O1507" s="645"/>
      <c r="P1507" s="595"/>
      <c r="Q1507" s="595"/>
      <c r="R1507" s="731"/>
      <c r="S1507" s="564"/>
      <c r="T1507" s="564"/>
      <c r="U1507" s="564"/>
      <c r="V1507" s="564"/>
      <c r="W1507" s="565"/>
      <c r="X1507" s="565"/>
      <c r="Y1507" s="565"/>
      <c r="Z1507" s="565"/>
    </row>
    <row r="1508" spans="1:26" s="639" customFormat="1" ht="36">
      <c r="A1508" s="667">
        <v>2510</v>
      </c>
      <c r="B1508" s="875" t="s">
        <v>744</v>
      </c>
      <c r="C1508" s="606">
        <v>3186400</v>
      </c>
      <c r="D1508" s="615">
        <f aca="true" t="shared" si="188" ref="D1508:D1653">G1508+J1508+P1508+M1508</f>
        <v>3186400</v>
      </c>
      <c r="E1508" s="615">
        <f t="shared" si="187"/>
        <v>930600</v>
      </c>
      <c r="F1508" s="669">
        <f t="shared" si="185"/>
        <v>29.20537283454682</v>
      </c>
      <c r="G1508" s="606">
        <v>3186400</v>
      </c>
      <c r="H1508" s="615">
        <v>930600</v>
      </c>
      <c r="I1508" s="604">
        <f t="shared" si="179"/>
        <v>29.20537283454682</v>
      </c>
      <c r="J1508" s="618"/>
      <c r="K1508" s="615"/>
      <c r="L1508" s="619"/>
      <c r="M1508" s="615"/>
      <c r="N1508" s="615"/>
      <c r="O1508" s="686"/>
      <c r="P1508" s="615"/>
      <c r="Q1508" s="615"/>
      <c r="R1508" s="671"/>
      <c r="S1508" s="564"/>
      <c r="T1508" s="564"/>
      <c r="U1508" s="564"/>
      <c r="V1508" s="564"/>
      <c r="W1508" s="565"/>
      <c r="X1508" s="565"/>
      <c r="Y1508" s="565"/>
      <c r="Z1508" s="565"/>
    </row>
    <row r="1509" spans="1:26" s="639" customFormat="1" ht="24.75" customHeight="1">
      <c r="A1509" s="647">
        <v>6050</v>
      </c>
      <c r="B1509" s="828" t="s">
        <v>225</v>
      </c>
      <c r="C1509" s="603">
        <v>100000</v>
      </c>
      <c r="D1509" s="581">
        <f>G1509+J1509+P1509+M1509</f>
        <v>100000</v>
      </c>
      <c r="E1509" s="581">
        <f>SUM(H1509+K1509+N1509+Q1509)</f>
        <v>0</v>
      </c>
      <c r="F1509" s="627">
        <f>E1509/D1509*100</f>
        <v>0</v>
      </c>
      <c r="G1509" s="603">
        <v>100000</v>
      </c>
      <c r="H1509" s="581"/>
      <c r="I1509" s="627">
        <f t="shared" si="179"/>
        <v>0</v>
      </c>
      <c r="J1509" s="586"/>
      <c r="K1509" s="581"/>
      <c r="L1509" s="587"/>
      <c r="M1509" s="581"/>
      <c r="N1509" s="581"/>
      <c r="O1509" s="649"/>
      <c r="P1509" s="581"/>
      <c r="Q1509" s="581"/>
      <c r="R1509" s="653"/>
      <c r="S1509" s="564"/>
      <c r="T1509" s="564"/>
      <c r="U1509" s="564"/>
      <c r="V1509" s="564"/>
      <c r="W1509" s="565"/>
      <c r="X1509" s="565"/>
      <c r="Y1509" s="565"/>
      <c r="Z1509" s="565"/>
    </row>
    <row r="1510" spans="1:26" s="639" customFormat="1" ht="72.75" customHeight="1">
      <c r="A1510" s="672">
        <v>6210</v>
      </c>
      <c r="B1510" s="673" t="s">
        <v>604</v>
      </c>
      <c r="C1510" s="674"/>
      <c r="D1510" s="675">
        <f>G1510+J1510+P1510+M1510</f>
        <v>293000</v>
      </c>
      <c r="E1510" s="675">
        <f t="shared" si="187"/>
        <v>0</v>
      </c>
      <c r="F1510" s="905">
        <f>E1510/D1510*100</f>
        <v>0</v>
      </c>
      <c r="G1510" s="674">
        <v>293000</v>
      </c>
      <c r="H1510" s="675"/>
      <c r="I1510" s="644">
        <f t="shared" si="179"/>
        <v>0</v>
      </c>
      <c r="J1510" s="676"/>
      <c r="K1510" s="675"/>
      <c r="L1510" s="677"/>
      <c r="M1510" s="675"/>
      <c r="N1510" s="675"/>
      <c r="O1510" s="689"/>
      <c r="P1510" s="675"/>
      <c r="Q1510" s="675"/>
      <c r="R1510" s="680"/>
      <c r="S1510" s="564"/>
      <c r="T1510" s="564"/>
      <c r="U1510" s="564"/>
      <c r="V1510" s="564"/>
      <c r="W1510" s="565"/>
      <c r="X1510" s="565"/>
      <c r="Y1510" s="565"/>
      <c r="Z1510" s="565"/>
    </row>
    <row r="1511" spans="1:26" s="639" customFormat="1" ht="36">
      <c r="A1511" s="640">
        <v>85311</v>
      </c>
      <c r="B1511" s="856" t="s">
        <v>821</v>
      </c>
      <c r="C1511" s="608">
        <f>SUM(C1512:C1513)</f>
        <v>164400</v>
      </c>
      <c r="D1511" s="595">
        <f t="shared" si="188"/>
        <v>164400</v>
      </c>
      <c r="E1511" s="595">
        <f t="shared" si="187"/>
        <v>41100</v>
      </c>
      <c r="F1511" s="907">
        <f t="shared" si="185"/>
        <v>25</v>
      </c>
      <c r="G1511" s="608"/>
      <c r="H1511" s="595"/>
      <c r="I1511" s="596"/>
      <c r="J1511" s="600"/>
      <c r="K1511" s="595"/>
      <c r="L1511" s="601"/>
      <c r="M1511" s="608">
        <f>SUM(M1512:M1513)</f>
        <v>164400</v>
      </c>
      <c r="N1511" s="595">
        <f>SUM(N1512:N1513)</f>
        <v>41100</v>
      </c>
      <c r="O1511" s="596">
        <f>N1511/M1511*100</f>
        <v>25</v>
      </c>
      <c r="P1511" s="595"/>
      <c r="Q1511" s="595"/>
      <c r="R1511" s="685"/>
      <c r="S1511" s="564"/>
      <c r="T1511" s="564"/>
      <c r="U1511" s="564"/>
      <c r="V1511" s="564"/>
      <c r="W1511" s="565"/>
      <c r="X1511" s="565"/>
      <c r="Y1511" s="565"/>
      <c r="Z1511" s="565"/>
    </row>
    <row r="1512" spans="1:18" ht="51" customHeight="1">
      <c r="A1512" s="667">
        <v>2580</v>
      </c>
      <c r="B1512" s="777" t="s">
        <v>822</v>
      </c>
      <c r="C1512" s="606">
        <f>164400-57540</f>
        <v>106860</v>
      </c>
      <c r="D1512" s="581">
        <f>G1512+J1512+P1512+M1512</f>
        <v>106860</v>
      </c>
      <c r="E1512" s="581">
        <f t="shared" si="187"/>
        <v>27537</v>
      </c>
      <c r="F1512" s="876">
        <f t="shared" si="185"/>
        <v>25.769230769230766</v>
      </c>
      <c r="G1512" s="606"/>
      <c r="H1512" s="615"/>
      <c r="I1512" s="604"/>
      <c r="J1512" s="618"/>
      <c r="K1512" s="615"/>
      <c r="L1512" s="619"/>
      <c r="M1512" s="606">
        <f>164400-57540</f>
        <v>106860</v>
      </c>
      <c r="N1512" s="615">
        <v>27537</v>
      </c>
      <c r="O1512" s="582">
        <f>N1512/M1512*100</f>
        <v>25.769230769230766</v>
      </c>
      <c r="P1512" s="615"/>
      <c r="Q1512" s="615"/>
      <c r="R1512" s="671"/>
    </row>
    <row r="1513" spans="1:26" s="639" customFormat="1" ht="65.25" customHeight="1">
      <c r="A1513" s="647">
        <v>2580</v>
      </c>
      <c r="B1513" s="828" t="s">
        <v>543</v>
      </c>
      <c r="C1513" s="674">
        <v>57540</v>
      </c>
      <c r="D1513" s="581">
        <f>G1513+J1513+P1513+M1513</f>
        <v>57540</v>
      </c>
      <c r="E1513" s="581">
        <f t="shared" si="187"/>
        <v>13563</v>
      </c>
      <c r="F1513" s="644"/>
      <c r="G1513" s="674"/>
      <c r="H1513" s="675"/>
      <c r="I1513" s="643"/>
      <c r="J1513" s="676"/>
      <c r="K1513" s="675"/>
      <c r="L1513" s="677"/>
      <c r="M1513" s="674">
        <v>57540</v>
      </c>
      <c r="N1513" s="675">
        <v>13563</v>
      </c>
      <c r="O1513" s="582">
        <f>N1513/M1513*100</f>
        <v>23.57142857142857</v>
      </c>
      <c r="P1513" s="675"/>
      <c r="Q1513" s="675"/>
      <c r="R1513" s="680"/>
      <c r="S1513" s="564"/>
      <c r="T1513" s="564"/>
      <c r="U1513" s="564"/>
      <c r="V1513" s="564"/>
      <c r="W1513" s="565"/>
      <c r="X1513" s="565"/>
      <c r="Y1513" s="565"/>
      <c r="Z1513" s="565"/>
    </row>
    <row r="1514" spans="1:26" s="639" customFormat="1" ht="24">
      <c r="A1514" s="640">
        <v>85321</v>
      </c>
      <c r="B1514" s="856" t="s">
        <v>823</v>
      </c>
      <c r="C1514" s="608">
        <f>SUM(C1515:C1528)</f>
        <v>223602</v>
      </c>
      <c r="D1514" s="595">
        <f t="shared" si="188"/>
        <v>223602</v>
      </c>
      <c r="E1514" s="595">
        <f>H1514+K1514+Q1514+N1514</f>
        <v>61360</v>
      </c>
      <c r="F1514" s="907">
        <f t="shared" si="185"/>
        <v>27.44161501238808</v>
      </c>
      <c r="G1514" s="734"/>
      <c r="H1514" s="735"/>
      <c r="I1514" s="880"/>
      <c r="J1514" s="736"/>
      <c r="K1514" s="735"/>
      <c r="L1514" s="737"/>
      <c r="M1514" s="595">
        <f>SUM(M1515:M1528)</f>
        <v>98602</v>
      </c>
      <c r="N1514" s="595">
        <f>SUM(N1515:N1528)</f>
        <v>30112</v>
      </c>
      <c r="O1514" s="624">
        <f aca="true" t="shared" si="189" ref="O1514:O1532">N1514/M1514*100</f>
        <v>30.538934301535463</v>
      </c>
      <c r="P1514" s="595">
        <f>SUM(P1515:P1528)</f>
        <v>125000</v>
      </c>
      <c r="Q1514" s="595">
        <f>SUM(Q1515:Q1528)</f>
        <v>31248</v>
      </c>
      <c r="R1514" s="624">
        <f aca="true" t="shared" si="190" ref="R1514:R1521">Q1514/P1514*100</f>
        <v>24.9984</v>
      </c>
      <c r="S1514" s="564"/>
      <c r="T1514" s="564"/>
      <c r="U1514" s="564"/>
      <c r="V1514" s="564"/>
      <c r="W1514" s="565"/>
      <c r="X1514" s="565"/>
      <c r="Y1514" s="565"/>
      <c r="Z1514" s="565"/>
    </row>
    <row r="1515" spans="1:26" s="639" customFormat="1" ht="26.25" customHeight="1">
      <c r="A1515" s="667">
        <v>4010</v>
      </c>
      <c r="B1515" s="875" t="s">
        <v>181</v>
      </c>
      <c r="C1515" s="606">
        <v>123189</v>
      </c>
      <c r="D1515" s="615">
        <f t="shared" si="188"/>
        <v>123189</v>
      </c>
      <c r="E1515" s="615">
        <f aca="true" t="shared" si="191" ref="E1515:E1612">SUM(H1515+K1515+N1515+Q1515)</f>
        <v>30945</v>
      </c>
      <c r="F1515" s="904">
        <f t="shared" si="185"/>
        <v>25.119937656771302</v>
      </c>
      <c r="G1515" s="606"/>
      <c r="H1515" s="615"/>
      <c r="I1515" s="885"/>
      <c r="J1515" s="618"/>
      <c r="K1515" s="615"/>
      <c r="L1515" s="619"/>
      <c r="M1515" s="615">
        <v>44389</v>
      </c>
      <c r="N1515" s="778">
        <v>14938</v>
      </c>
      <c r="O1515" s="669">
        <f t="shared" si="189"/>
        <v>33.65248147063461</v>
      </c>
      <c r="P1515" s="618">
        <v>78800</v>
      </c>
      <c r="Q1515" s="615">
        <v>16007</v>
      </c>
      <c r="R1515" s="627">
        <f t="shared" si="190"/>
        <v>20.313451776649746</v>
      </c>
      <c r="S1515" s="564"/>
      <c r="T1515" s="564"/>
      <c r="U1515" s="564"/>
      <c r="V1515" s="564"/>
      <c r="W1515" s="565"/>
      <c r="X1515" s="565"/>
      <c r="Y1515" s="565"/>
      <c r="Z1515" s="565"/>
    </row>
    <row r="1516" spans="1:26" s="639" customFormat="1" ht="24">
      <c r="A1516" s="647">
        <v>4040</v>
      </c>
      <c r="B1516" s="828" t="s">
        <v>185</v>
      </c>
      <c r="C1516" s="603">
        <v>9016</v>
      </c>
      <c r="D1516" s="581">
        <f t="shared" si="188"/>
        <v>9016</v>
      </c>
      <c r="E1516" s="581">
        <f t="shared" si="191"/>
        <v>8588</v>
      </c>
      <c r="F1516" s="876">
        <f t="shared" si="185"/>
        <v>95.25288376220054</v>
      </c>
      <c r="G1516" s="603"/>
      <c r="H1516" s="581"/>
      <c r="I1516" s="886"/>
      <c r="J1516" s="586"/>
      <c r="K1516" s="581"/>
      <c r="L1516" s="587"/>
      <c r="M1516" s="581">
        <v>9016</v>
      </c>
      <c r="N1516" s="772">
        <v>8588</v>
      </c>
      <c r="O1516" s="627">
        <f t="shared" si="189"/>
        <v>95.25288376220054</v>
      </c>
      <c r="P1516" s="586"/>
      <c r="Q1516" s="581"/>
      <c r="R1516" s="627"/>
      <c r="S1516" s="564"/>
      <c r="T1516" s="564"/>
      <c r="U1516" s="564"/>
      <c r="V1516" s="564"/>
      <c r="W1516" s="565"/>
      <c r="X1516" s="565"/>
      <c r="Y1516" s="565"/>
      <c r="Z1516" s="565"/>
    </row>
    <row r="1517" spans="1:26" s="639" customFormat="1" ht="36">
      <c r="A1517" s="647">
        <v>4110</v>
      </c>
      <c r="B1517" s="828" t="s">
        <v>187</v>
      </c>
      <c r="C1517" s="603">
        <v>14890</v>
      </c>
      <c r="D1517" s="581">
        <f t="shared" si="188"/>
        <v>14890</v>
      </c>
      <c r="E1517" s="581">
        <f t="shared" si="191"/>
        <v>6602</v>
      </c>
      <c r="F1517" s="876">
        <f t="shared" si="185"/>
        <v>44.338482202820686</v>
      </c>
      <c r="G1517" s="603"/>
      <c r="H1517" s="581"/>
      <c r="I1517" s="886"/>
      <c r="J1517" s="586"/>
      <c r="K1517" s="581"/>
      <c r="L1517" s="587"/>
      <c r="M1517" s="581">
        <v>9290</v>
      </c>
      <c r="N1517" s="772">
        <f>1414+1</f>
        <v>1415</v>
      </c>
      <c r="O1517" s="627">
        <f t="shared" si="189"/>
        <v>15.231431646932187</v>
      </c>
      <c r="P1517" s="586">
        <v>5600</v>
      </c>
      <c r="Q1517" s="581">
        <v>5187</v>
      </c>
      <c r="R1517" s="627">
        <f t="shared" si="190"/>
        <v>92.625</v>
      </c>
      <c r="S1517" s="564"/>
      <c r="T1517" s="564"/>
      <c r="U1517" s="564"/>
      <c r="V1517" s="564"/>
      <c r="W1517" s="565"/>
      <c r="X1517" s="565"/>
      <c r="Y1517" s="565"/>
      <c r="Z1517" s="565"/>
    </row>
    <row r="1518" spans="1:26" s="639" customFormat="1" ht="18" customHeight="1">
      <c r="A1518" s="647">
        <v>4120</v>
      </c>
      <c r="B1518" s="828" t="s">
        <v>623</v>
      </c>
      <c r="C1518" s="603">
        <v>3082</v>
      </c>
      <c r="D1518" s="581">
        <f t="shared" si="188"/>
        <v>3082</v>
      </c>
      <c r="E1518" s="581">
        <f t="shared" si="191"/>
        <v>968</v>
      </c>
      <c r="F1518" s="876">
        <f t="shared" si="185"/>
        <v>31.408176508760544</v>
      </c>
      <c r="G1518" s="603"/>
      <c r="H1518" s="581"/>
      <c r="I1518" s="886"/>
      <c r="J1518" s="586"/>
      <c r="K1518" s="581"/>
      <c r="L1518" s="587"/>
      <c r="M1518" s="581">
        <v>1382</v>
      </c>
      <c r="N1518" s="772">
        <v>210</v>
      </c>
      <c r="O1518" s="627">
        <f t="shared" si="189"/>
        <v>15.195369030390736</v>
      </c>
      <c r="P1518" s="586">
        <v>1700</v>
      </c>
      <c r="Q1518" s="581">
        <v>758</v>
      </c>
      <c r="R1518" s="627">
        <f t="shared" si="190"/>
        <v>44.588235294117645</v>
      </c>
      <c r="S1518" s="564"/>
      <c r="T1518" s="564"/>
      <c r="U1518" s="564"/>
      <c r="V1518" s="564"/>
      <c r="W1518" s="565"/>
      <c r="X1518" s="565"/>
      <c r="Y1518" s="565"/>
      <c r="Z1518" s="565"/>
    </row>
    <row r="1519" spans="1:26" s="639" customFormat="1" ht="24">
      <c r="A1519" s="647">
        <v>4170</v>
      </c>
      <c r="B1519" s="828" t="s">
        <v>221</v>
      </c>
      <c r="C1519" s="603">
        <v>8300</v>
      </c>
      <c r="D1519" s="581">
        <f t="shared" si="188"/>
        <v>8300</v>
      </c>
      <c r="E1519" s="581">
        <f t="shared" si="191"/>
        <v>1540</v>
      </c>
      <c r="F1519" s="876">
        <f t="shared" si="185"/>
        <v>18.55421686746988</v>
      </c>
      <c r="G1519" s="603"/>
      <c r="H1519" s="581"/>
      <c r="I1519" s="886"/>
      <c r="J1519" s="586"/>
      <c r="K1519" s="581"/>
      <c r="L1519" s="587"/>
      <c r="M1519" s="581">
        <v>3000</v>
      </c>
      <c r="N1519" s="772"/>
      <c r="O1519" s="627">
        <f t="shared" si="189"/>
        <v>0</v>
      </c>
      <c r="P1519" s="586">
        <v>5300</v>
      </c>
      <c r="Q1519" s="581">
        <v>1540</v>
      </c>
      <c r="R1519" s="627">
        <f t="shared" si="190"/>
        <v>29.056603773584904</v>
      </c>
      <c r="S1519" s="564"/>
      <c r="T1519" s="564"/>
      <c r="U1519" s="564"/>
      <c r="V1519" s="564"/>
      <c r="W1519" s="565"/>
      <c r="X1519" s="565"/>
      <c r="Y1519" s="565"/>
      <c r="Z1519" s="565"/>
    </row>
    <row r="1520" spans="1:26" s="639" customFormat="1" ht="24">
      <c r="A1520" s="647">
        <v>4210</v>
      </c>
      <c r="B1520" s="828" t="s">
        <v>191</v>
      </c>
      <c r="C1520" s="603">
        <v>5000</v>
      </c>
      <c r="D1520" s="581">
        <f t="shared" si="188"/>
        <v>5000</v>
      </c>
      <c r="E1520" s="581">
        <f t="shared" si="191"/>
        <v>0</v>
      </c>
      <c r="F1520" s="876">
        <f t="shared" si="185"/>
        <v>0</v>
      </c>
      <c r="G1520" s="603"/>
      <c r="H1520" s="581"/>
      <c r="I1520" s="886"/>
      <c r="J1520" s="586"/>
      <c r="K1520" s="581"/>
      <c r="L1520" s="587"/>
      <c r="M1520" s="581">
        <v>5000</v>
      </c>
      <c r="N1520" s="772"/>
      <c r="O1520" s="627">
        <f t="shared" si="189"/>
        <v>0</v>
      </c>
      <c r="P1520" s="586"/>
      <c r="Q1520" s="581"/>
      <c r="R1520" s="627"/>
      <c r="S1520" s="564"/>
      <c r="T1520" s="564"/>
      <c r="U1520" s="564"/>
      <c r="V1520" s="564"/>
      <c r="W1520" s="565"/>
      <c r="X1520" s="565"/>
      <c r="Y1520" s="565"/>
      <c r="Z1520" s="565"/>
    </row>
    <row r="1521" spans="1:26" s="639" customFormat="1" ht="12" customHeight="1">
      <c r="A1521" s="647">
        <v>4300</v>
      </c>
      <c r="B1521" s="828" t="s">
        <v>199</v>
      </c>
      <c r="C1521" s="603">
        <v>50500</v>
      </c>
      <c r="D1521" s="581">
        <f t="shared" si="188"/>
        <v>50500</v>
      </c>
      <c r="E1521" s="581">
        <f t="shared" si="191"/>
        <v>8818</v>
      </c>
      <c r="F1521" s="876">
        <f t="shared" si="185"/>
        <v>17.46138613861386</v>
      </c>
      <c r="G1521" s="603"/>
      <c r="H1521" s="581"/>
      <c r="I1521" s="886"/>
      <c r="J1521" s="586"/>
      <c r="K1521" s="581"/>
      <c r="L1521" s="587"/>
      <c r="M1521" s="581">
        <v>16900</v>
      </c>
      <c r="N1521" s="772">
        <v>1062</v>
      </c>
      <c r="O1521" s="627">
        <f t="shared" si="189"/>
        <v>6.284023668639054</v>
      </c>
      <c r="P1521" s="586">
        <v>33600</v>
      </c>
      <c r="Q1521" s="581">
        <v>7756</v>
      </c>
      <c r="R1521" s="627">
        <f t="shared" si="190"/>
        <v>23.083333333333332</v>
      </c>
      <c r="S1521" s="564"/>
      <c r="T1521" s="564"/>
      <c r="U1521" s="564"/>
      <c r="V1521" s="564"/>
      <c r="W1521" s="565"/>
      <c r="X1521" s="565"/>
      <c r="Y1521" s="565"/>
      <c r="Z1521" s="565"/>
    </row>
    <row r="1522" spans="1:26" s="639" customFormat="1" ht="24">
      <c r="A1522" s="647">
        <v>4350</v>
      </c>
      <c r="B1522" s="651" t="s">
        <v>584</v>
      </c>
      <c r="C1522" s="603">
        <v>1900</v>
      </c>
      <c r="D1522" s="581">
        <f t="shared" si="188"/>
        <v>1900</v>
      </c>
      <c r="E1522" s="581">
        <f t="shared" si="191"/>
        <v>627</v>
      </c>
      <c r="F1522" s="876">
        <f t="shared" si="185"/>
        <v>33</v>
      </c>
      <c r="G1522" s="603"/>
      <c r="H1522" s="581"/>
      <c r="I1522" s="886"/>
      <c r="J1522" s="586"/>
      <c r="K1522" s="581"/>
      <c r="L1522" s="587"/>
      <c r="M1522" s="581">
        <v>1900</v>
      </c>
      <c r="N1522" s="772">
        <v>627</v>
      </c>
      <c r="O1522" s="627">
        <f t="shared" si="189"/>
        <v>33</v>
      </c>
      <c r="P1522" s="586"/>
      <c r="Q1522" s="581"/>
      <c r="R1522" s="627"/>
      <c r="S1522" s="564"/>
      <c r="T1522" s="564"/>
      <c r="U1522" s="564"/>
      <c r="V1522" s="564"/>
      <c r="W1522" s="565"/>
      <c r="X1522" s="565"/>
      <c r="Y1522" s="565"/>
      <c r="Z1522" s="565"/>
    </row>
    <row r="1523" spans="1:26" s="639" customFormat="1" ht="59.25" customHeight="1">
      <c r="A1523" s="647">
        <v>4370</v>
      </c>
      <c r="B1523" s="712" t="s">
        <v>432</v>
      </c>
      <c r="C1523" s="603">
        <v>2800</v>
      </c>
      <c r="D1523" s="581">
        <f t="shared" si="188"/>
        <v>2800</v>
      </c>
      <c r="E1523" s="581">
        <f t="shared" si="191"/>
        <v>347</v>
      </c>
      <c r="F1523" s="876">
        <f t="shared" si="185"/>
        <v>12.392857142857142</v>
      </c>
      <c r="G1523" s="603"/>
      <c r="H1523" s="581"/>
      <c r="I1523" s="886"/>
      <c r="J1523" s="586"/>
      <c r="K1523" s="581"/>
      <c r="L1523" s="587"/>
      <c r="M1523" s="581">
        <v>2800</v>
      </c>
      <c r="N1523" s="772">
        <v>347</v>
      </c>
      <c r="O1523" s="627">
        <f t="shared" si="189"/>
        <v>12.392857142857142</v>
      </c>
      <c r="P1523" s="586"/>
      <c r="Q1523" s="581"/>
      <c r="R1523" s="627"/>
      <c r="S1523" s="564"/>
      <c r="T1523" s="564"/>
      <c r="U1523" s="564"/>
      <c r="V1523" s="564"/>
      <c r="W1523" s="565"/>
      <c r="X1523" s="565"/>
      <c r="Y1523" s="565"/>
      <c r="Z1523" s="565"/>
    </row>
    <row r="1524" spans="1:26" s="639" customFormat="1" ht="14.25" customHeight="1">
      <c r="A1524" s="647">
        <v>4410</v>
      </c>
      <c r="B1524" s="828" t="s">
        <v>173</v>
      </c>
      <c r="C1524" s="603">
        <v>500</v>
      </c>
      <c r="D1524" s="581">
        <f t="shared" si="188"/>
        <v>500</v>
      </c>
      <c r="E1524" s="581">
        <f t="shared" si="191"/>
        <v>0</v>
      </c>
      <c r="F1524" s="876">
        <f t="shared" si="185"/>
        <v>0</v>
      </c>
      <c r="G1524" s="603"/>
      <c r="H1524" s="581"/>
      <c r="I1524" s="886"/>
      <c r="J1524" s="586"/>
      <c r="K1524" s="581"/>
      <c r="L1524" s="587"/>
      <c r="M1524" s="581">
        <v>500</v>
      </c>
      <c r="N1524" s="772"/>
      <c r="O1524" s="627">
        <f t="shared" si="189"/>
        <v>0</v>
      </c>
      <c r="P1524" s="586"/>
      <c r="Q1524" s="581"/>
      <c r="R1524" s="627"/>
      <c r="S1524" s="564"/>
      <c r="T1524" s="564"/>
      <c r="U1524" s="564"/>
      <c r="V1524" s="564"/>
      <c r="W1524" s="565"/>
      <c r="X1524" s="565"/>
      <c r="Y1524" s="565"/>
      <c r="Z1524" s="565"/>
    </row>
    <row r="1525" spans="1:26" s="639" customFormat="1" ht="12.75">
      <c r="A1525" s="647">
        <v>4440</v>
      </c>
      <c r="B1525" s="712" t="s">
        <v>712</v>
      </c>
      <c r="C1525" s="603">
        <v>2925</v>
      </c>
      <c r="D1525" s="581">
        <f t="shared" si="188"/>
        <v>2925</v>
      </c>
      <c r="E1525" s="581">
        <f>SUM(H1525+K1525+N1525+Q1525)</f>
        <v>2925</v>
      </c>
      <c r="F1525" s="876">
        <f t="shared" si="185"/>
        <v>100</v>
      </c>
      <c r="G1525" s="603"/>
      <c r="H1525" s="581"/>
      <c r="I1525" s="886"/>
      <c r="J1525" s="586"/>
      <c r="K1525" s="581"/>
      <c r="L1525" s="587"/>
      <c r="M1525" s="581">
        <v>2925</v>
      </c>
      <c r="N1525" s="772">
        <v>2925</v>
      </c>
      <c r="O1525" s="627">
        <f t="shared" si="189"/>
        <v>100</v>
      </c>
      <c r="P1525" s="586"/>
      <c r="Q1525" s="581"/>
      <c r="R1525" s="627"/>
      <c r="S1525" s="564"/>
      <c r="T1525" s="564"/>
      <c r="U1525" s="564"/>
      <c r="V1525" s="564"/>
      <c r="W1525" s="565"/>
      <c r="X1525" s="565"/>
      <c r="Y1525" s="565"/>
      <c r="Z1525" s="565"/>
    </row>
    <row r="1526" spans="1:26" s="639" customFormat="1" ht="51" customHeight="1">
      <c r="A1526" s="647">
        <v>4740</v>
      </c>
      <c r="B1526" s="712" t="s">
        <v>215</v>
      </c>
      <c r="C1526" s="603">
        <v>500</v>
      </c>
      <c r="D1526" s="581">
        <f t="shared" si="188"/>
        <v>500</v>
      </c>
      <c r="E1526" s="581">
        <f t="shared" si="191"/>
        <v>0</v>
      </c>
      <c r="F1526" s="876">
        <f t="shared" si="185"/>
        <v>0</v>
      </c>
      <c r="G1526" s="603"/>
      <c r="H1526" s="581"/>
      <c r="I1526" s="886"/>
      <c r="J1526" s="586"/>
      <c r="K1526" s="581"/>
      <c r="L1526" s="587"/>
      <c r="M1526" s="581">
        <v>500</v>
      </c>
      <c r="N1526" s="772"/>
      <c r="O1526" s="627">
        <f t="shared" si="189"/>
        <v>0</v>
      </c>
      <c r="P1526" s="586"/>
      <c r="Q1526" s="581"/>
      <c r="R1526" s="627"/>
      <c r="S1526" s="564"/>
      <c r="T1526" s="564"/>
      <c r="U1526" s="564"/>
      <c r="V1526" s="564"/>
      <c r="W1526" s="565"/>
      <c r="X1526" s="565"/>
      <c r="Y1526" s="565"/>
      <c r="Z1526" s="565"/>
    </row>
    <row r="1527" spans="1:26" s="639" customFormat="1" ht="36">
      <c r="A1527" s="647">
        <v>4750</v>
      </c>
      <c r="B1527" s="712" t="s">
        <v>589</v>
      </c>
      <c r="C1527" s="603">
        <v>1000</v>
      </c>
      <c r="D1527" s="581">
        <f t="shared" si="188"/>
        <v>1000</v>
      </c>
      <c r="E1527" s="581">
        <f t="shared" si="191"/>
        <v>0</v>
      </c>
      <c r="F1527" s="876">
        <f t="shared" si="185"/>
        <v>0</v>
      </c>
      <c r="G1527" s="603"/>
      <c r="H1527" s="581"/>
      <c r="I1527" s="886"/>
      <c r="J1527" s="586"/>
      <c r="K1527" s="581"/>
      <c r="L1527" s="587"/>
      <c r="M1527" s="581">
        <v>1000</v>
      </c>
      <c r="N1527" s="772"/>
      <c r="O1527" s="627">
        <f t="shared" si="189"/>
        <v>0</v>
      </c>
      <c r="P1527" s="586"/>
      <c r="Q1527" s="581"/>
      <c r="R1527" s="627"/>
      <c r="S1527" s="564"/>
      <c r="T1527" s="564"/>
      <c r="U1527" s="564"/>
      <c r="V1527" s="564"/>
      <c r="W1527" s="565"/>
      <c r="X1527" s="565"/>
      <c r="Y1527" s="565"/>
      <c r="Z1527" s="565"/>
    </row>
    <row r="1528" spans="1:26" s="639" customFormat="1" ht="48" hidden="1">
      <c r="A1528" s="672">
        <v>6060</v>
      </c>
      <c r="B1528" s="877" t="s">
        <v>628</v>
      </c>
      <c r="C1528" s="674"/>
      <c r="D1528" s="581">
        <f t="shared" si="188"/>
        <v>0</v>
      </c>
      <c r="E1528" s="581">
        <f>SUM(H1528+K1528+N1528+Q1528)</f>
        <v>0</v>
      </c>
      <c r="F1528" s="876" t="e">
        <f>E1528/D1528*100</f>
        <v>#DIV/0!</v>
      </c>
      <c r="G1528" s="674"/>
      <c r="H1528" s="675"/>
      <c r="I1528" s="887"/>
      <c r="J1528" s="676"/>
      <c r="K1528" s="675"/>
      <c r="L1528" s="677"/>
      <c r="M1528" s="675"/>
      <c r="N1528" s="796"/>
      <c r="O1528" s="627" t="e">
        <f t="shared" si="189"/>
        <v>#DIV/0!</v>
      </c>
      <c r="P1528" s="676"/>
      <c r="Q1528" s="675"/>
      <c r="R1528" s="644"/>
      <c r="S1528" s="564"/>
      <c r="T1528" s="564"/>
      <c r="U1528" s="564"/>
      <c r="V1528" s="564"/>
      <c r="W1528" s="565"/>
      <c r="X1528" s="565"/>
      <c r="Y1528" s="565"/>
      <c r="Z1528" s="565"/>
    </row>
    <row r="1529" spans="1:26" s="639" customFormat="1" ht="12.75" hidden="1">
      <c r="A1529" s="640">
        <v>85334</v>
      </c>
      <c r="B1529" s="856" t="s">
        <v>824</v>
      </c>
      <c r="C1529" s="608"/>
      <c r="D1529" s="581">
        <f t="shared" si="188"/>
        <v>0</v>
      </c>
      <c r="E1529" s="581">
        <f>SUM(H1529+K1529+N1529+Q1529)</f>
        <v>0</v>
      </c>
      <c r="F1529" s="876" t="e">
        <f>E1529/D1529*100</f>
        <v>#DIV/0!</v>
      </c>
      <c r="G1529" s="608"/>
      <c r="H1529" s="595"/>
      <c r="I1529" s="880"/>
      <c r="J1529" s="600"/>
      <c r="K1529" s="595"/>
      <c r="L1529" s="601"/>
      <c r="M1529" s="595"/>
      <c r="N1529" s="773"/>
      <c r="O1529" s="627" t="e">
        <f t="shared" si="189"/>
        <v>#DIV/0!</v>
      </c>
      <c r="P1529" s="600">
        <f>SUM(P1530)</f>
        <v>0</v>
      </c>
      <c r="Q1529" s="595">
        <f>SUM(Q1530)</f>
        <v>0</v>
      </c>
      <c r="R1529" s="609" t="e">
        <f>Q1529/P1529*100</f>
        <v>#DIV/0!</v>
      </c>
      <c r="S1529" s="564"/>
      <c r="T1529" s="564"/>
      <c r="U1529" s="564"/>
      <c r="V1529" s="564"/>
      <c r="W1529" s="565"/>
      <c r="X1529" s="565"/>
      <c r="Y1529" s="565"/>
      <c r="Z1529" s="565"/>
    </row>
    <row r="1530" spans="1:26" s="639" customFormat="1" ht="24" hidden="1">
      <c r="A1530" s="647">
        <v>3110</v>
      </c>
      <c r="B1530" s="828" t="s">
        <v>740</v>
      </c>
      <c r="C1530" s="603"/>
      <c r="D1530" s="581">
        <f t="shared" si="188"/>
        <v>0</v>
      </c>
      <c r="E1530" s="581">
        <f>SUM(H1530+K1530+N1530+Q1530)</f>
        <v>0</v>
      </c>
      <c r="F1530" s="876" t="e">
        <f>E1530/D1530*100</f>
        <v>#DIV/0!</v>
      </c>
      <c r="G1530" s="603"/>
      <c r="H1530" s="581"/>
      <c r="I1530" s="886"/>
      <c r="J1530" s="586"/>
      <c r="K1530" s="581"/>
      <c r="L1530" s="587"/>
      <c r="M1530" s="581"/>
      <c r="N1530" s="772"/>
      <c r="O1530" s="627" t="e">
        <f t="shared" si="189"/>
        <v>#DIV/0!</v>
      </c>
      <c r="P1530" s="586"/>
      <c r="Q1530" s="581"/>
      <c r="R1530" s="582" t="e">
        <f>Q1530/P1530*100</f>
        <v>#DIV/0!</v>
      </c>
      <c r="S1530" s="564"/>
      <c r="T1530" s="564"/>
      <c r="U1530" s="564"/>
      <c r="V1530" s="564"/>
      <c r="W1530" s="565"/>
      <c r="X1530" s="565"/>
      <c r="Y1530" s="565"/>
      <c r="Z1530" s="565"/>
    </row>
    <row r="1531" spans="1:26" s="639" customFormat="1" ht="18" customHeight="1">
      <c r="A1531" s="640">
        <v>85333</v>
      </c>
      <c r="B1531" s="856" t="s">
        <v>544</v>
      </c>
      <c r="C1531" s="608">
        <f>SUM(C1532)</f>
        <v>1662180</v>
      </c>
      <c r="D1531" s="595">
        <f t="shared" si="188"/>
        <v>1662180</v>
      </c>
      <c r="E1531" s="595">
        <f>SUM(H1531+K1531+N1531+Q1531)</f>
        <v>415545</v>
      </c>
      <c r="F1531" s="902">
        <f>E1531/D1531*100</f>
        <v>25</v>
      </c>
      <c r="G1531" s="608"/>
      <c r="H1531" s="595"/>
      <c r="I1531" s="930"/>
      <c r="J1531" s="600"/>
      <c r="K1531" s="595"/>
      <c r="L1531" s="601"/>
      <c r="M1531" s="595">
        <f>SUM(M1532)</f>
        <v>1662180</v>
      </c>
      <c r="N1531" s="773">
        <f>SUM(N1532)</f>
        <v>415545</v>
      </c>
      <c r="O1531" s="624">
        <f t="shared" si="189"/>
        <v>25</v>
      </c>
      <c r="P1531" s="600"/>
      <c r="Q1531" s="595"/>
      <c r="R1531" s="609"/>
      <c r="S1531" s="564"/>
      <c r="T1531" s="564"/>
      <c r="U1531" s="564"/>
      <c r="V1531" s="564"/>
      <c r="W1531" s="565"/>
      <c r="X1531" s="565"/>
      <c r="Y1531" s="565"/>
      <c r="Z1531" s="565"/>
    </row>
    <row r="1532" spans="1:26" s="639" customFormat="1" ht="60" customHeight="1">
      <c r="A1532" s="667">
        <v>2320</v>
      </c>
      <c r="B1532" s="668" t="s">
        <v>633</v>
      </c>
      <c r="C1532" s="674">
        <v>1662180</v>
      </c>
      <c r="D1532" s="735">
        <f t="shared" si="188"/>
        <v>1662180</v>
      </c>
      <c r="E1532" s="735">
        <f>SUM(H1532+K1532+N1532+Q1532)</f>
        <v>415545</v>
      </c>
      <c r="F1532" s="907">
        <f>E1532/D1532*100</f>
        <v>25</v>
      </c>
      <c r="G1532" s="674"/>
      <c r="H1532" s="675"/>
      <c r="I1532" s="887"/>
      <c r="J1532" s="676"/>
      <c r="K1532" s="675"/>
      <c r="L1532" s="677"/>
      <c r="M1532" s="675">
        <v>1662180</v>
      </c>
      <c r="N1532" s="796">
        <v>415545</v>
      </c>
      <c r="O1532" s="627">
        <f t="shared" si="189"/>
        <v>25</v>
      </c>
      <c r="P1532" s="676"/>
      <c r="Q1532" s="675"/>
      <c r="R1532" s="643"/>
      <c r="S1532" s="564"/>
      <c r="T1532" s="564"/>
      <c r="U1532" s="564"/>
      <c r="V1532" s="564"/>
      <c r="W1532" s="565"/>
      <c r="X1532" s="565"/>
      <c r="Y1532" s="565"/>
      <c r="Z1532" s="565"/>
    </row>
    <row r="1533" spans="1:26" s="639" customFormat="1" ht="12.75">
      <c r="A1533" s="640">
        <v>85395</v>
      </c>
      <c r="B1533" s="856" t="s">
        <v>292</v>
      </c>
      <c r="C1533" s="608">
        <f>C1535+C1570+C1585</f>
        <v>727549</v>
      </c>
      <c r="D1533" s="595">
        <f t="shared" si="188"/>
        <v>942869</v>
      </c>
      <c r="E1533" s="595">
        <f t="shared" si="191"/>
        <v>64651</v>
      </c>
      <c r="F1533" s="819">
        <f t="shared" si="185"/>
        <v>6.856838012491662</v>
      </c>
      <c r="G1533" s="608">
        <f>SUM(G1536:G1570)</f>
        <v>942869</v>
      </c>
      <c r="H1533" s="595">
        <f>SUM(H1536:H1570)</f>
        <v>64651</v>
      </c>
      <c r="I1533" s="931">
        <f>H1533/G1533*100</f>
        <v>6.856838012491662</v>
      </c>
      <c r="J1533" s="600"/>
      <c r="K1533" s="595"/>
      <c r="L1533" s="601"/>
      <c r="M1533" s="595">
        <f>M1585+M1534</f>
        <v>0</v>
      </c>
      <c r="N1533" s="773">
        <f>N1585+N1534</f>
        <v>0</v>
      </c>
      <c r="O1533" s="819"/>
      <c r="P1533" s="600"/>
      <c r="Q1533" s="595"/>
      <c r="R1533" s="609"/>
      <c r="S1533" s="564"/>
      <c r="T1533" s="564"/>
      <c r="U1533" s="564"/>
      <c r="V1533" s="564"/>
      <c r="W1533" s="565"/>
      <c r="X1533" s="565"/>
      <c r="Y1533" s="565"/>
      <c r="Z1533" s="565"/>
    </row>
    <row r="1534" spans="1:18" ht="24" hidden="1">
      <c r="A1534" s="647">
        <v>4300</v>
      </c>
      <c r="B1534" s="777" t="s">
        <v>199</v>
      </c>
      <c r="C1534" s="603"/>
      <c r="D1534" s="697">
        <f t="shared" si="188"/>
        <v>0</v>
      </c>
      <c r="E1534" s="697">
        <f>SUM(H1534+K1534+N1534+Q1534)</f>
        <v>0</v>
      </c>
      <c r="F1534" s="627" t="e">
        <f>E1534/D1534*100</f>
        <v>#DIV/0!</v>
      </c>
      <c r="G1534" s="603"/>
      <c r="H1534" s="581"/>
      <c r="I1534" s="886"/>
      <c r="J1534" s="586"/>
      <c r="K1534" s="581"/>
      <c r="L1534" s="587"/>
      <c r="M1534" s="581"/>
      <c r="N1534" s="772"/>
      <c r="O1534" s="585"/>
      <c r="P1534" s="586"/>
      <c r="Q1534" s="581"/>
      <c r="R1534" s="582"/>
    </row>
    <row r="1535" spans="1:26" s="917" customFormat="1" ht="38.25">
      <c r="A1535" s="822"/>
      <c r="B1535" s="932" t="s">
        <v>293</v>
      </c>
      <c r="C1535" s="754">
        <f>SUM(C1536:C1569)</f>
        <v>727549</v>
      </c>
      <c r="D1535" s="755">
        <f t="shared" si="188"/>
        <v>727549</v>
      </c>
      <c r="E1535" s="755">
        <f t="shared" si="191"/>
        <v>63951</v>
      </c>
      <c r="F1535" s="867">
        <f t="shared" si="185"/>
        <v>8.78992342783785</v>
      </c>
      <c r="G1535" s="754">
        <f>SUM(G1536:G1569)</f>
        <v>727549</v>
      </c>
      <c r="H1535" s="755">
        <f>SUM(H1536:H1569)</f>
        <v>63951</v>
      </c>
      <c r="I1535" s="933">
        <f>H1535/G1535*100</f>
        <v>8.78992342783785</v>
      </c>
      <c r="J1535" s="756"/>
      <c r="K1535" s="755"/>
      <c r="L1535" s="920"/>
      <c r="M1535" s="755"/>
      <c r="N1535" s="934"/>
      <c r="O1535" s="913"/>
      <c r="P1535" s="756"/>
      <c r="Q1535" s="755"/>
      <c r="R1535" s="912"/>
      <c r="S1535" s="915"/>
      <c r="T1535" s="915"/>
      <c r="U1535" s="915"/>
      <c r="V1535" s="915"/>
      <c r="W1535" s="916"/>
      <c r="X1535" s="916"/>
      <c r="Y1535" s="916"/>
      <c r="Z1535" s="916"/>
    </row>
    <row r="1536" spans="1:26" s="639" customFormat="1" ht="16.5" customHeight="1">
      <c r="A1536" s="647">
        <v>3119</v>
      </c>
      <c r="B1536" s="828" t="s">
        <v>740</v>
      </c>
      <c r="C1536" s="603">
        <v>72755</v>
      </c>
      <c r="D1536" s="581">
        <f t="shared" si="188"/>
        <v>72755</v>
      </c>
      <c r="E1536" s="581">
        <f t="shared" si="191"/>
        <v>10582</v>
      </c>
      <c r="F1536" s="627">
        <f t="shared" si="185"/>
        <v>14.544704831283074</v>
      </c>
      <c r="G1536" s="603">
        <v>72755</v>
      </c>
      <c r="H1536" s="581">
        <v>10582</v>
      </c>
      <c r="I1536" s="886">
        <f>H1536/G1536*100</f>
        <v>14.544704831283074</v>
      </c>
      <c r="J1536" s="661"/>
      <c r="K1536" s="660"/>
      <c r="L1536" s="662"/>
      <c r="M1536" s="581"/>
      <c r="N1536" s="772"/>
      <c r="O1536" s="585"/>
      <c r="P1536" s="661"/>
      <c r="Q1536" s="660"/>
      <c r="R1536" s="630"/>
      <c r="S1536" s="564"/>
      <c r="T1536" s="564"/>
      <c r="U1536" s="564"/>
      <c r="V1536" s="564"/>
      <c r="W1536" s="565"/>
      <c r="X1536" s="565"/>
      <c r="Y1536" s="565"/>
      <c r="Z1536" s="565"/>
    </row>
    <row r="1537" spans="1:26" s="639" customFormat="1" ht="26.25" customHeight="1">
      <c r="A1537" s="647">
        <v>4018</v>
      </c>
      <c r="B1537" s="712" t="s">
        <v>181</v>
      </c>
      <c r="C1537" s="603">
        <v>169992</v>
      </c>
      <c r="D1537" s="581">
        <f t="shared" si="188"/>
        <v>169992</v>
      </c>
      <c r="E1537" s="581">
        <f t="shared" si="191"/>
        <v>34400</v>
      </c>
      <c r="F1537" s="627">
        <f t="shared" si="185"/>
        <v>20.23624641159584</v>
      </c>
      <c r="G1537" s="603">
        <v>169992</v>
      </c>
      <c r="H1537" s="581">
        <v>34400</v>
      </c>
      <c r="I1537" s="886">
        <f aca="true" t="shared" si="192" ref="I1537:I1584">H1537/G1537*100</f>
        <v>20.23624641159584</v>
      </c>
      <c r="J1537" s="661"/>
      <c r="K1537" s="660"/>
      <c r="L1537" s="662"/>
      <c r="M1537" s="581"/>
      <c r="N1537" s="772"/>
      <c r="O1537" s="585"/>
      <c r="P1537" s="661"/>
      <c r="Q1537" s="660"/>
      <c r="R1537" s="630"/>
      <c r="S1537" s="564"/>
      <c r="T1537" s="564"/>
      <c r="U1537" s="564"/>
      <c r="V1537" s="564"/>
      <c r="W1537" s="565"/>
      <c r="X1537" s="565"/>
      <c r="Y1537" s="565"/>
      <c r="Z1537" s="565"/>
    </row>
    <row r="1538" spans="1:26" s="639" customFormat="1" ht="27.75" customHeight="1">
      <c r="A1538" s="647">
        <v>4019</v>
      </c>
      <c r="B1538" s="828" t="s">
        <v>181</v>
      </c>
      <c r="C1538" s="603">
        <v>10008</v>
      </c>
      <c r="D1538" s="581">
        <f t="shared" si="188"/>
        <v>10008</v>
      </c>
      <c r="E1538" s="581">
        <f t="shared" si="191"/>
        <v>2025</v>
      </c>
      <c r="F1538" s="627">
        <f t="shared" si="185"/>
        <v>20.23381294964029</v>
      </c>
      <c r="G1538" s="603">
        <v>10008</v>
      </c>
      <c r="H1538" s="581">
        <v>2025</v>
      </c>
      <c r="I1538" s="886">
        <f t="shared" si="192"/>
        <v>20.23381294964029</v>
      </c>
      <c r="J1538" s="661"/>
      <c r="K1538" s="660"/>
      <c r="L1538" s="662"/>
      <c r="M1538" s="581"/>
      <c r="N1538" s="772"/>
      <c r="O1538" s="585"/>
      <c r="P1538" s="661"/>
      <c r="Q1538" s="660"/>
      <c r="R1538" s="630"/>
      <c r="S1538" s="564"/>
      <c r="T1538" s="564"/>
      <c r="U1538" s="564"/>
      <c r="V1538" s="564"/>
      <c r="W1538" s="565"/>
      <c r="X1538" s="565"/>
      <c r="Y1538" s="565"/>
      <c r="Z1538" s="565"/>
    </row>
    <row r="1539" spans="1:26" s="639" customFormat="1" ht="24">
      <c r="A1539" s="647">
        <v>4048</v>
      </c>
      <c r="B1539" s="828" t="s">
        <v>185</v>
      </c>
      <c r="C1539" s="603">
        <v>8044</v>
      </c>
      <c r="D1539" s="581">
        <f>G1539+J1539+P1539+M1539</f>
        <v>8044</v>
      </c>
      <c r="E1539" s="581">
        <f>SUM(H1539+K1539+N1539+Q1539)</f>
        <v>7925</v>
      </c>
      <c r="F1539" s="627">
        <f>E1539/D1539*100</f>
        <v>98.5206364992541</v>
      </c>
      <c r="G1539" s="603">
        <v>8044</v>
      </c>
      <c r="H1539" s="581">
        <v>7925</v>
      </c>
      <c r="I1539" s="886">
        <f t="shared" si="192"/>
        <v>98.5206364992541</v>
      </c>
      <c r="J1539" s="661"/>
      <c r="K1539" s="660"/>
      <c r="L1539" s="662"/>
      <c r="M1539" s="581"/>
      <c r="N1539" s="772"/>
      <c r="O1539" s="585"/>
      <c r="P1539" s="661"/>
      <c r="Q1539" s="660"/>
      <c r="R1539" s="630"/>
      <c r="S1539" s="564"/>
      <c r="T1539" s="564"/>
      <c r="U1539" s="564"/>
      <c r="V1539" s="564"/>
      <c r="W1539" s="565"/>
      <c r="X1539" s="565"/>
      <c r="Y1539" s="565"/>
      <c r="Z1539" s="565"/>
    </row>
    <row r="1540" spans="1:26" s="639" customFormat="1" ht="24">
      <c r="A1540" s="647">
        <v>4049</v>
      </c>
      <c r="B1540" s="828" t="s">
        <v>185</v>
      </c>
      <c r="C1540" s="603">
        <v>474</v>
      </c>
      <c r="D1540" s="581">
        <f>G1540+J1540+P1540+M1540</f>
        <v>474</v>
      </c>
      <c r="E1540" s="581">
        <f>SUM(H1540+K1540+N1540+Q1540)</f>
        <v>467</v>
      </c>
      <c r="F1540" s="627">
        <f>E1540/D1540*100</f>
        <v>98.52320675105484</v>
      </c>
      <c r="G1540" s="603">
        <v>474</v>
      </c>
      <c r="H1540" s="581">
        <f>467-1+1</f>
        <v>467</v>
      </c>
      <c r="I1540" s="886">
        <f t="shared" si="192"/>
        <v>98.52320675105484</v>
      </c>
      <c r="J1540" s="661"/>
      <c r="K1540" s="660"/>
      <c r="L1540" s="662"/>
      <c r="M1540" s="581"/>
      <c r="N1540" s="772"/>
      <c r="O1540" s="585"/>
      <c r="P1540" s="661"/>
      <c r="Q1540" s="660"/>
      <c r="R1540" s="630"/>
      <c r="S1540" s="564"/>
      <c r="T1540" s="564"/>
      <c r="U1540" s="564"/>
      <c r="V1540" s="564"/>
      <c r="W1540" s="565"/>
      <c r="X1540" s="565"/>
      <c r="Y1540" s="565"/>
      <c r="Z1540" s="565"/>
    </row>
    <row r="1541" spans="1:26" s="639" customFormat="1" ht="25.5" customHeight="1">
      <c r="A1541" s="647">
        <v>4118</v>
      </c>
      <c r="B1541" s="828" t="s">
        <v>187</v>
      </c>
      <c r="C1541" s="603">
        <v>34231</v>
      </c>
      <c r="D1541" s="581">
        <f t="shared" si="188"/>
        <v>34231</v>
      </c>
      <c r="E1541" s="581">
        <f t="shared" si="191"/>
        <v>5371</v>
      </c>
      <c r="F1541" s="627">
        <f t="shared" si="185"/>
        <v>15.690456019397622</v>
      </c>
      <c r="G1541" s="603">
        <v>34231</v>
      </c>
      <c r="H1541" s="581">
        <v>5371</v>
      </c>
      <c r="I1541" s="886">
        <f t="shared" si="192"/>
        <v>15.690456019397622</v>
      </c>
      <c r="J1541" s="661"/>
      <c r="K1541" s="660"/>
      <c r="L1541" s="662"/>
      <c r="M1541" s="581"/>
      <c r="N1541" s="772"/>
      <c r="O1541" s="585"/>
      <c r="P1541" s="661"/>
      <c r="Q1541" s="660"/>
      <c r="R1541" s="630"/>
      <c r="S1541" s="564"/>
      <c r="T1541" s="564"/>
      <c r="U1541" s="564"/>
      <c r="V1541" s="564"/>
      <c r="W1541" s="565"/>
      <c r="X1541" s="565"/>
      <c r="Y1541" s="565"/>
      <c r="Z1541" s="565"/>
    </row>
    <row r="1542" spans="1:26" s="639" customFormat="1" ht="27" customHeight="1">
      <c r="A1542" s="647">
        <v>4119</v>
      </c>
      <c r="B1542" s="828" t="s">
        <v>187</v>
      </c>
      <c r="C1542" s="603">
        <v>1956</v>
      </c>
      <c r="D1542" s="581">
        <f t="shared" si="188"/>
        <v>1956</v>
      </c>
      <c r="E1542" s="581">
        <f t="shared" si="191"/>
        <v>316</v>
      </c>
      <c r="F1542" s="627">
        <f t="shared" si="185"/>
        <v>16.155419222903884</v>
      </c>
      <c r="G1542" s="603">
        <v>1956</v>
      </c>
      <c r="H1542" s="581">
        <v>316</v>
      </c>
      <c r="I1542" s="886">
        <f t="shared" si="192"/>
        <v>16.155419222903884</v>
      </c>
      <c r="J1542" s="661"/>
      <c r="K1542" s="660"/>
      <c r="L1542" s="662"/>
      <c r="M1542" s="581"/>
      <c r="N1542" s="772"/>
      <c r="O1542" s="585"/>
      <c r="P1542" s="661"/>
      <c r="Q1542" s="660"/>
      <c r="R1542" s="630"/>
      <c r="S1542" s="564"/>
      <c r="T1542" s="564"/>
      <c r="U1542" s="564"/>
      <c r="V1542" s="564"/>
      <c r="W1542" s="565"/>
      <c r="X1542" s="565"/>
      <c r="Y1542" s="565"/>
      <c r="Z1542" s="565"/>
    </row>
    <row r="1543" spans="1:26" s="639" customFormat="1" ht="16.5" customHeight="1">
      <c r="A1543" s="647">
        <v>4128</v>
      </c>
      <c r="B1543" s="828" t="s">
        <v>623</v>
      </c>
      <c r="C1543" s="603">
        <v>4287</v>
      </c>
      <c r="D1543" s="581">
        <f t="shared" si="188"/>
        <v>4287</v>
      </c>
      <c r="E1543" s="581">
        <f t="shared" si="191"/>
        <v>825</v>
      </c>
      <c r="F1543" s="627">
        <f t="shared" si="185"/>
        <v>19.244226731980408</v>
      </c>
      <c r="G1543" s="603">
        <v>4287</v>
      </c>
      <c r="H1543" s="581">
        <v>825</v>
      </c>
      <c r="I1543" s="886">
        <f t="shared" si="192"/>
        <v>19.244226731980408</v>
      </c>
      <c r="J1543" s="661"/>
      <c r="K1543" s="660"/>
      <c r="L1543" s="662"/>
      <c r="M1543" s="581"/>
      <c r="N1543" s="772"/>
      <c r="O1543" s="585"/>
      <c r="P1543" s="661"/>
      <c r="Q1543" s="660"/>
      <c r="R1543" s="630"/>
      <c r="S1543" s="564"/>
      <c r="T1543" s="564"/>
      <c r="U1543" s="564"/>
      <c r="V1543" s="564"/>
      <c r="W1543" s="565"/>
      <c r="X1543" s="565"/>
      <c r="Y1543" s="565"/>
      <c r="Z1543" s="565"/>
    </row>
    <row r="1544" spans="1:26" s="639" customFormat="1" ht="17.25" customHeight="1">
      <c r="A1544" s="647">
        <v>4129</v>
      </c>
      <c r="B1544" s="828" t="s">
        <v>623</v>
      </c>
      <c r="C1544" s="603">
        <v>251</v>
      </c>
      <c r="D1544" s="581">
        <f t="shared" si="188"/>
        <v>251</v>
      </c>
      <c r="E1544" s="581">
        <f t="shared" si="191"/>
        <v>49</v>
      </c>
      <c r="F1544" s="627">
        <f t="shared" si="185"/>
        <v>19.52191235059761</v>
      </c>
      <c r="G1544" s="603">
        <v>251</v>
      </c>
      <c r="H1544" s="581">
        <v>49</v>
      </c>
      <c r="I1544" s="886">
        <f t="shared" si="192"/>
        <v>19.52191235059761</v>
      </c>
      <c r="J1544" s="661"/>
      <c r="K1544" s="660"/>
      <c r="L1544" s="662"/>
      <c r="M1544" s="581"/>
      <c r="N1544" s="772"/>
      <c r="O1544" s="585"/>
      <c r="P1544" s="661"/>
      <c r="Q1544" s="660"/>
      <c r="R1544" s="630"/>
      <c r="S1544" s="564"/>
      <c r="T1544" s="564"/>
      <c r="U1544" s="564"/>
      <c r="V1544" s="564"/>
      <c r="W1544" s="565"/>
      <c r="X1544" s="565"/>
      <c r="Y1544" s="565"/>
      <c r="Z1544" s="565"/>
    </row>
    <row r="1545" spans="1:26" s="639" customFormat="1" ht="24">
      <c r="A1545" s="647">
        <v>4178</v>
      </c>
      <c r="B1545" s="828" t="s">
        <v>221</v>
      </c>
      <c r="C1545" s="603">
        <v>27900</v>
      </c>
      <c r="D1545" s="581">
        <f t="shared" si="188"/>
        <v>27900</v>
      </c>
      <c r="E1545" s="581">
        <f t="shared" si="191"/>
        <v>0</v>
      </c>
      <c r="F1545" s="627">
        <f t="shared" si="185"/>
        <v>0</v>
      </c>
      <c r="G1545" s="603">
        <v>27900</v>
      </c>
      <c r="H1545" s="581"/>
      <c r="I1545" s="886">
        <f t="shared" si="192"/>
        <v>0</v>
      </c>
      <c r="J1545" s="661"/>
      <c r="K1545" s="660"/>
      <c r="L1545" s="662"/>
      <c r="M1545" s="581"/>
      <c r="N1545" s="772"/>
      <c r="O1545" s="585"/>
      <c r="P1545" s="661"/>
      <c r="Q1545" s="660"/>
      <c r="R1545" s="630"/>
      <c r="S1545" s="564"/>
      <c r="T1545" s="564"/>
      <c r="U1545" s="564"/>
      <c r="V1545" s="564"/>
      <c r="W1545" s="565"/>
      <c r="X1545" s="565"/>
      <c r="Y1545" s="565"/>
      <c r="Z1545" s="565"/>
    </row>
    <row r="1546" spans="1:26" s="639" customFormat="1" ht="24">
      <c r="A1546" s="647">
        <v>4179</v>
      </c>
      <c r="B1546" s="828" t="s">
        <v>221</v>
      </c>
      <c r="C1546" s="603">
        <v>1643</v>
      </c>
      <c r="D1546" s="581">
        <f t="shared" si="188"/>
        <v>1643</v>
      </c>
      <c r="E1546" s="581">
        <f t="shared" si="191"/>
        <v>0</v>
      </c>
      <c r="F1546" s="627">
        <f t="shared" si="185"/>
        <v>0</v>
      </c>
      <c r="G1546" s="603">
        <v>1643</v>
      </c>
      <c r="H1546" s="581"/>
      <c r="I1546" s="886">
        <f t="shared" si="192"/>
        <v>0</v>
      </c>
      <c r="J1546" s="661"/>
      <c r="K1546" s="660"/>
      <c r="L1546" s="662"/>
      <c r="M1546" s="581"/>
      <c r="N1546" s="772"/>
      <c r="O1546" s="585"/>
      <c r="P1546" s="661"/>
      <c r="Q1546" s="660"/>
      <c r="R1546" s="630"/>
      <c r="S1546" s="564"/>
      <c r="T1546" s="564"/>
      <c r="U1546" s="564"/>
      <c r="V1546" s="564"/>
      <c r="W1546" s="565"/>
      <c r="X1546" s="565"/>
      <c r="Y1546" s="565"/>
      <c r="Z1546" s="565"/>
    </row>
    <row r="1547" spans="1:26" s="639" customFormat="1" ht="24">
      <c r="A1547" s="647">
        <v>4218</v>
      </c>
      <c r="B1547" s="828" t="s">
        <v>191</v>
      </c>
      <c r="C1547" s="603">
        <v>28332</v>
      </c>
      <c r="D1547" s="581">
        <f t="shared" si="188"/>
        <v>28332</v>
      </c>
      <c r="E1547" s="581">
        <f t="shared" si="191"/>
        <v>841</v>
      </c>
      <c r="F1547" s="627">
        <f t="shared" si="185"/>
        <v>2.9683749823521106</v>
      </c>
      <c r="G1547" s="603">
        <v>28332</v>
      </c>
      <c r="H1547" s="581">
        <v>841</v>
      </c>
      <c r="I1547" s="886">
        <f t="shared" si="192"/>
        <v>2.9683749823521106</v>
      </c>
      <c r="J1547" s="661"/>
      <c r="K1547" s="660"/>
      <c r="L1547" s="662"/>
      <c r="M1547" s="581"/>
      <c r="N1547" s="772"/>
      <c r="O1547" s="585"/>
      <c r="P1547" s="661"/>
      <c r="Q1547" s="660"/>
      <c r="R1547" s="630"/>
      <c r="S1547" s="564"/>
      <c r="T1547" s="564"/>
      <c r="U1547" s="564"/>
      <c r="V1547" s="564"/>
      <c r="W1547" s="565"/>
      <c r="X1547" s="565"/>
      <c r="Y1547" s="565"/>
      <c r="Z1547" s="565"/>
    </row>
    <row r="1548" spans="1:26" s="639" customFormat="1" ht="23.25" customHeight="1">
      <c r="A1548" s="647">
        <v>4219</v>
      </c>
      <c r="B1548" s="828" t="s">
        <v>191</v>
      </c>
      <c r="C1548" s="603">
        <v>1668</v>
      </c>
      <c r="D1548" s="581">
        <f t="shared" si="188"/>
        <v>1668</v>
      </c>
      <c r="E1548" s="581">
        <f t="shared" si="191"/>
        <v>49</v>
      </c>
      <c r="F1548" s="627">
        <f t="shared" si="185"/>
        <v>2.937649880095923</v>
      </c>
      <c r="G1548" s="603">
        <v>1668</v>
      </c>
      <c r="H1548" s="581">
        <v>49</v>
      </c>
      <c r="I1548" s="886">
        <f t="shared" si="192"/>
        <v>2.937649880095923</v>
      </c>
      <c r="J1548" s="661"/>
      <c r="K1548" s="660"/>
      <c r="L1548" s="662"/>
      <c r="M1548" s="581"/>
      <c r="N1548" s="772"/>
      <c r="O1548" s="585"/>
      <c r="P1548" s="661"/>
      <c r="Q1548" s="660"/>
      <c r="R1548" s="630"/>
      <c r="S1548" s="564"/>
      <c r="T1548" s="564"/>
      <c r="U1548" s="564"/>
      <c r="V1548" s="564"/>
      <c r="W1548" s="565"/>
      <c r="X1548" s="565"/>
      <c r="Y1548" s="565"/>
      <c r="Z1548" s="565"/>
    </row>
    <row r="1549" spans="1:26" s="639" customFormat="1" ht="15" customHeight="1">
      <c r="A1549" s="647">
        <v>4288</v>
      </c>
      <c r="B1549" s="828" t="s">
        <v>582</v>
      </c>
      <c r="C1549" s="603">
        <v>7555</v>
      </c>
      <c r="D1549" s="581">
        <f>G1549+J1549+P1549+M1549</f>
        <v>7555</v>
      </c>
      <c r="E1549" s="581">
        <f>SUM(H1549+K1549+N1549+Q1549)</f>
        <v>0</v>
      </c>
      <c r="F1549" s="627">
        <f>E1549/D1549*100</f>
        <v>0</v>
      </c>
      <c r="G1549" s="603">
        <v>7555</v>
      </c>
      <c r="H1549" s="581"/>
      <c r="I1549" s="886">
        <f t="shared" si="192"/>
        <v>0</v>
      </c>
      <c r="J1549" s="661"/>
      <c r="K1549" s="660"/>
      <c r="L1549" s="662"/>
      <c r="M1549" s="581"/>
      <c r="N1549" s="772"/>
      <c r="O1549" s="585"/>
      <c r="P1549" s="661"/>
      <c r="Q1549" s="660"/>
      <c r="R1549" s="630"/>
      <c r="S1549" s="564"/>
      <c r="T1549" s="564"/>
      <c r="U1549" s="564"/>
      <c r="V1549" s="564"/>
      <c r="W1549" s="565"/>
      <c r="X1549" s="565"/>
      <c r="Y1549" s="565"/>
      <c r="Z1549" s="565"/>
    </row>
    <row r="1550" spans="1:26" s="639" customFormat="1" ht="14.25" customHeight="1">
      <c r="A1550" s="647">
        <v>4289</v>
      </c>
      <c r="B1550" s="828" t="s">
        <v>582</v>
      </c>
      <c r="C1550" s="603">
        <v>445</v>
      </c>
      <c r="D1550" s="581">
        <f>G1550+J1550+P1550+M1550</f>
        <v>445</v>
      </c>
      <c r="E1550" s="581">
        <f>SUM(H1550+K1550+N1550+Q1550)</f>
        <v>0</v>
      </c>
      <c r="F1550" s="627">
        <f>E1550/D1550*100</f>
        <v>0</v>
      </c>
      <c r="G1550" s="603">
        <v>445</v>
      </c>
      <c r="H1550" s="581"/>
      <c r="I1550" s="886">
        <f t="shared" si="192"/>
        <v>0</v>
      </c>
      <c r="J1550" s="661"/>
      <c r="K1550" s="660"/>
      <c r="L1550" s="662"/>
      <c r="M1550" s="581"/>
      <c r="N1550" s="772"/>
      <c r="O1550" s="585"/>
      <c r="P1550" s="661"/>
      <c r="Q1550" s="660"/>
      <c r="R1550" s="630"/>
      <c r="S1550" s="564"/>
      <c r="T1550" s="564"/>
      <c r="U1550" s="564"/>
      <c r="V1550" s="564"/>
      <c r="W1550" s="565"/>
      <c r="X1550" s="565"/>
      <c r="Y1550" s="565"/>
      <c r="Z1550" s="565"/>
    </row>
    <row r="1551" spans="1:26" s="639" customFormat="1" ht="18" customHeight="1">
      <c r="A1551" s="647">
        <v>4308</v>
      </c>
      <c r="B1551" s="828" t="s">
        <v>216</v>
      </c>
      <c r="C1551" s="603">
        <v>319025</v>
      </c>
      <c r="D1551" s="581">
        <f t="shared" si="188"/>
        <v>319025</v>
      </c>
      <c r="E1551" s="581">
        <f t="shared" si="191"/>
        <v>38</v>
      </c>
      <c r="F1551" s="627">
        <f t="shared" si="185"/>
        <v>0.011911292218478175</v>
      </c>
      <c r="G1551" s="603">
        <v>319025</v>
      </c>
      <c r="H1551" s="581">
        <v>38</v>
      </c>
      <c r="I1551" s="886">
        <f t="shared" si="192"/>
        <v>0.011911292218478175</v>
      </c>
      <c r="J1551" s="661"/>
      <c r="K1551" s="660"/>
      <c r="L1551" s="662"/>
      <c r="M1551" s="581"/>
      <c r="N1551" s="772"/>
      <c r="O1551" s="585"/>
      <c r="P1551" s="661"/>
      <c r="Q1551" s="660"/>
      <c r="R1551" s="630"/>
      <c r="S1551" s="564"/>
      <c r="T1551" s="564"/>
      <c r="U1551" s="564"/>
      <c r="V1551" s="564"/>
      <c r="W1551" s="565"/>
      <c r="X1551" s="565"/>
      <c r="Y1551" s="565"/>
      <c r="Z1551" s="565"/>
    </row>
    <row r="1552" spans="1:26" s="639" customFormat="1" ht="16.5" customHeight="1">
      <c r="A1552" s="647">
        <v>4309</v>
      </c>
      <c r="B1552" s="828" t="s">
        <v>216</v>
      </c>
      <c r="C1552" s="603">
        <v>18782</v>
      </c>
      <c r="D1552" s="581">
        <f t="shared" si="188"/>
        <v>18782</v>
      </c>
      <c r="E1552" s="581">
        <f t="shared" si="191"/>
        <v>2</v>
      </c>
      <c r="F1552" s="627">
        <f t="shared" si="185"/>
        <v>0.010648493238206793</v>
      </c>
      <c r="G1552" s="603">
        <v>18782</v>
      </c>
      <c r="H1552" s="581">
        <v>2</v>
      </c>
      <c r="I1552" s="886">
        <f t="shared" si="192"/>
        <v>0.010648493238206793</v>
      </c>
      <c r="J1552" s="661"/>
      <c r="K1552" s="660"/>
      <c r="L1552" s="662"/>
      <c r="M1552" s="581"/>
      <c r="N1552" s="772"/>
      <c r="O1552" s="585"/>
      <c r="P1552" s="661"/>
      <c r="Q1552" s="660"/>
      <c r="R1552" s="630"/>
      <c r="S1552" s="564"/>
      <c r="T1552" s="564"/>
      <c r="U1552" s="564"/>
      <c r="V1552" s="564"/>
      <c r="W1552" s="565"/>
      <c r="X1552" s="565"/>
      <c r="Y1552" s="565"/>
      <c r="Z1552" s="565"/>
    </row>
    <row r="1553" spans="1:26" s="639" customFormat="1" ht="24" hidden="1">
      <c r="A1553" s="647">
        <v>4358</v>
      </c>
      <c r="B1553" s="828" t="s">
        <v>584</v>
      </c>
      <c r="C1553" s="603"/>
      <c r="D1553" s="581">
        <f t="shared" si="188"/>
        <v>0</v>
      </c>
      <c r="E1553" s="581">
        <f>SUM(H1553+K1553+N1553+Q1553)</f>
        <v>0</v>
      </c>
      <c r="F1553" s="627"/>
      <c r="G1553" s="603"/>
      <c r="H1553" s="581"/>
      <c r="I1553" s="886"/>
      <c r="J1553" s="661"/>
      <c r="K1553" s="660"/>
      <c r="L1553" s="662"/>
      <c r="M1553" s="581"/>
      <c r="N1553" s="772"/>
      <c r="O1553" s="585"/>
      <c r="P1553" s="661"/>
      <c r="Q1553" s="660"/>
      <c r="R1553" s="630"/>
      <c r="S1553" s="564"/>
      <c r="T1553" s="564"/>
      <c r="U1553" s="564"/>
      <c r="V1553" s="564"/>
      <c r="W1553" s="565"/>
      <c r="X1553" s="565"/>
      <c r="Y1553" s="565"/>
      <c r="Z1553" s="565"/>
    </row>
    <row r="1554" spans="1:26" s="639" customFormat="1" ht="24" hidden="1">
      <c r="A1554" s="647">
        <v>4359</v>
      </c>
      <c r="B1554" s="828" t="s">
        <v>584</v>
      </c>
      <c r="C1554" s="603"/>
      <c r="D1554" s="581">
        <f t="shared" si="188"/>
        <v>0</v>
      </c>
      <c r="E1554" s="581">
        <f>SUM(H1554+K1554+N1554+Q1554)</f>
        <v>0</v>
      </c>
      <c r="F1554" s="627"/>
      <c r="G1554" s="603"/>
      <c r="H1554" s="581"/>
      <c r="I1554" s="886"/>
      <c r="J1554" s="661"/>
      <c r="K1554" s="660"/>
      <c r="L1554" s="662"/>
      <c r="M1554" s="581"/>
      <c r="N1554" s="772"/>
      <c r="O1554" s="585"/>
      <c r="P1554" s="661"/>
      <c r="Q1554" s="660"/>
      <c r="R1554" s="630"/>
      <c r="S1554" s="564"/>
      <c r="T1554" s="564"/>
      <c r="U1554" s="564"/>
      <c r="V1554" s="564"/>
      <c r="W1554" s="565"/>
      <c r="X1554" s="565"/>
      <c r="Y1554" s="565"/>
      <c r="Z1554" s="565"/>
    </row>
    <row r="1555" spans="1:26" s="639" customFormat="1" ht="60" customHeight="1">
      <c r="A1555" s="647">
        <v>4368</v>
      </c>
      <c r="B1555" s="712" t="s">
        <v>431</v>
      </c>
      <c r="C1555" s="603">
        <v>189</v>
      </c>
      <c r="D1555" s="581">
        <f t="shared" si="188"/>
        <v>189</v>
      </c>
      <c r="E1555" s="581">
        <f t="shared" si="191"/>
        <v>0</v>
      </c>
      <c r="F1555" s="627"/>
      <c r="G1555" s="603">
        <v>189</v>
      </c>
      <c r="H1555" s="581"/>
      <c r="I1555" s="886"/>
      <c r="J1555" s="661"/>
      <c r="K1555" s="660"/>
      <c r="L1555" s="662"/>
      <c r="M1555" s="581"/>
      <c r="N1555" s="772"/>
      <c r="O1555" s="585"/>
      <c r="P1555" s="661"/>
      <c r="Q1555" s="660"/>
      <c r="R1555" s="630"/>
      <c r="S1555" s="564"/>
      <c r="T1555" s="564"/>
      <c r="U1555" s="564"/>
      <c r="V1555" s="564"/>
      <c r="W1555" s="565"/>
      <c r="X1555" s="565"/>
      <c r="Y1555" s="565"/>
      <c r="Z1555" s="565"/>
    </row>
    <row r="1556" spans="1:26" s="639" customFormat="1" ht="58.5" customHeight="1">
      <c r="A1556" s="647">
        <v>4369</v>
      </c>
      <c r="B1556" s="712" t="s">
        <v>431</v>
      </c>
      <c r="C1556" s="603">
        <v>11</v>
      </c>
      <c r="D1556" s="581">
        <f t="shared" si="188"/>
        <v>11</v>
      </c>
      <c r="E1556" s="581">
        <f t="shared" si="191"/>
        <v>0</v>
      </c>
      <c r="F1556" s="627"/>
      <c r="G1556" s="603">
        <v>11</v>
      </c>
      <c r="H1556" s="581"/>
      <c r="I1556" s="886"/>
      <c r="J1556" s="661"/>
      <c r="K1556" s="660"/>
      <c r="L1556" s="662"/>
      <c r="M1556" s="581"/>
      <c r="N1556" s="772"/>
      <c r="O1556" s="585"/>
      <c r="P1556" s="661"/>
      <c r="Q1556" s="660"/>
      <c r="R1556" s="630"/>
      <c r="S1556" s="564"/>
      <c r="T1556" s="564"/>
      <c r="U1556" s="564"/>
      <c r="V1556" s="564"/>
      <c r="W1556" s="565"/>
      <c r="X1556" s="565"/>
      <c r="Y1556" s="565"/>
      <c r="Z1556" s="565"/>
    </row>
    <row r="1557" spans="1:26" s="639" customFormat="1" ht="48" hidden="1">
      <c r="A1557" s="647">
        <v>4378</v>
      </c>
      <c r="B1557" s="712" t="s">
        <v>666</v>
      </c>
      <c r="C1557" s="603">
        <f>1889-1889</f>
        <v>0</v>
      </c>
      <c r="D1557" s="581">
        <f t="shared" si="188"/>
        <v>0</v>
      </c>
      <c r="E1557" s="581">
        <f t="shared" si="191"/>
        <v>0</v>
      </c>
      <c r="F1557" s="627"/>
      <c r="G1557" s="603">
        <f>1889-1889</f>
        <v>0</v>
      </c>
      <c r="H1557" s="581"/>
      <c r="I1557" s="886"/>
      <c r="J1557" s="661"/>
      <c r="K1557" s="660"/>
      <c r="L1557" s="662"/>
      <c r="M1557" s="581"/>
      <c r="N1557" s="772"/>
      <c r="O1557" s="585"/>
      <c r="P1557" s="661"/>
      <c r="Q1557" s="660"/>
      <c r="R1557" s="630"/>
      <c r="S1557" s="564"/>
      <c r="T1557" s="564"/>
      <c r="U1557" s="564"/>
      <c r="V1557" s="564"/>
      <c r="W1557" s="565"/>
      <c r="X1557" s="565"/>
      <c r="Y1557" s="565"/>
      <c r="Z1557" s="565"/>
    </row>
    <row r="1558" spans="1:26" s="639" customFormat="1" ht="48" hidden="1">
      <c r="A1558" s="647">
        <v>4379</v>
      </c>
      <c r="B1558" s="712" t="s">
        <v>666</v>
      </c>
      <c r="C1558" s="603">
        <f>111-111</f>
        <v>0</v>
      </c>
      <c r="D1558" s="581">
        <f t="shared" si="188"/>
        <v>0</v>
      </c>
      <c r="E1558" s="581">
        <f t="shared" si="191"/>
        <v>0</v>
      </c>
      <c r="F1558" s="627"/>
      <c r="G1558" s="603">
        <f>111-111</f>
        <v>0</v>
      </c>
      <c r="H1558" s="581"/>
      <c r="I1558" s="886"/>
      <c r="J1558" s="661"/>
      <c r="K1558" s="660"/>
      <c r="L1558" s="662"/>
      <c r="M1558" s="581"/>
      <c r="N1558" s="772"/>
      <c r="O1558" s="585"/>
      <c r="P1558" s="661"/>
      <c r="Q1558" s="660"/>
      <c r="R1558" s="630"/>
      <c r="S1558" s="564"/>
      <c r="T1558" s="564"/>
      <c r="U1558" s="564"/>
      <c r="V1558" s="564"/>
      <c r="W1558" s="565"/>
      <c r="X1558" s="565"/>
      <c r="Y1558" s="565"/>
      <c r="Z1558" s="565"/>
    </row>
    <row r="1559" spans="1:26" s="639" customFormat="1" ht="24" hidden="1">
      <c r="A1559" s="647">
        <v>4418</v>
      </c>
      <c r="B1559" s="712" t="s">
        <v>173</v>
      </c>
      <c r="C1559" s="603">
        <f>8500-8500</f>
        <v>0</v>
      </c>
      <c r="D1559" s="581">
        <f t="shared" si="188"/>
        <v>0</v>
      </c>
      <c r="E1559" s="581">
        <f t="shared" si="191"/>
        <v>0</v>
      </c>
      <c r="F1559" s="627"/>
      <c r="G1559" s="603">
        <f>8500-8500</f>
        <v>0</v>
      </c>
      <c r="H1559" s="581"/>
      <c r="I1559" s="886"/>
      <c r="J1559" s="661"/>
      <c r="K1559" s="660"/>
      <c r="L1559" s="662"/>
      <c r="M1559" s="581"/>
      <c r="N1559" s="772"/>
      <c r="O1559" s="585"/>
      <c r="P1559" s="661"/>
      <c r="Q1559" s="660"/>
      <c r="R1559" s="630"/>
      <c r="S1559" s="564"/>
      <c r="T1559" s="564"/>
      <c r="U1559" s="564"/>
      <c r="V1559" s="564"/>
      <c r="W1559" s="565"/>
      <c r="X1559" s="565"/>
      <c r="Y1559" s="565"/>
      <c r="Z1559" s="565"/>
    </row>
    <row r="1560" spans="1:26" s="639" customFormat="1" ht="24" hidden="1">
      <c r="A1560" s="647">
        <v>4419</v>
      </c>
      <c r="B1560" s="712" t="s">
        <v>173</v>
      </c>
      <c r="C1560" s="603">
        <f>500-500</f>
        <v>0</v>
      </c>
      <c r="D1560" s="581">
        <f t="shared" si="188"/>
        <v>0</v>
      </c>
      <c r="E1560" s="581">
        <f t="shared" si="191"/>
        <v>0</v>
      </c>
      <c r="F1560" s="627"/>
      <c r="G1560" s="603">
        <f>500-500</f>
        <v>0</v>
      </c>
      <c r="H1560" s="581"/>
      <c r="I1560" s="886"/>
      <c r="J1560" s="661"/>
      <c r="K1560" s="660"/>
      <c r="L1560" s="662"/>
      <c r="M1560" s="581"/>
      <c r="N1560" s="772"/>
      <c r="O1560" s="585"/>
      <c r="P1560" s="661"/>
      <c r="Q1560" s="660"/>
      <c r="R1560" s="630"/>
      <c r="S1560" s="564"/>
      <c r="T1560" s="564"/>
      <c r="U1560" s="564"/>
      <c r="V1560" s="564"/>
      <c r="W1560" s="565"/>
      <c r="X1560" s="565"/>
      <c r="Y1560" s="565"/>
      <c r="Z1560" s="565"/>
    </row>
    <row r="1561" spans="1:26" s="639" customFormat="1" ht="12.75">
      <c r="A1561" s="647">
        <v>4438</v>
      </c>
      <c r="B1561" s="712" t="s">
        <v>201</v>
      </c>
      <c r="C1561" s="603">
        <v>1417</v>
      </c>
      <c r="D1561" s="581">
        <f t="shared" si="188"/>
        <v>1417</v>
      </c>
      <c r="E1561" s="581">
        <f t="shared" si="191"/>
        <v>0</v>
      </c>
      <c r="F1561" s="627">
        <f aca="true" t="shared" si="193" ref="F1561:F1567">E1561/D1561*100</f>
        <v>0</v>
      </c>
      <c r="G1561" s="603">
        <v>1417</v>
      </c>
      <c r="H1561" s="581"/>
      <c r="I1561" s="886">
        <f t="shared" si="192"/>
        <v>0</v>
      </c>
      <c r="J1561" s="661"/>
      <c r="K1561" s="660"/>
      <c r="L1561" s="662"/>
      <c r="M1561" s="581"/>
      <c r="N1561" s="772"/>
      <c r="O1561" s="585"/>
      <c r="P1561" s="661"/>
      <c r="Q1561" s="660"/>
      <c r="R1561" s="630"/>
      <c r="S1561" s="564"/>
      <c r="T1561" s="564"/>
      <c r="U1561" s="564"/>
      <c r="V1561" s="564"/>
      <c r="W1561" s="565"/>
      <c r="X1561" s="565"/>
      <c r="Y1561" s="565"/>
      <c r="Z1561" s="565"/>
    </row>
    <row r="1562" spans="1:26" s="639" customFormat="1" ht="12.75">
      <c r="A1562" s="647">
        <v>4439</v>
      </c>
      <c r="B1562" s="712" t="s">
        <v>201</v>
      </c>
      <c r="C1562" s="603">
        <v>83</v>
      </c>
      <c r="D1562" s="581">
        <f t="shared" si="188"/>
        <v>83</v>
      </c>
      <c r="E1562" s="581">
        <f t="shared" si="191"/>
        <v>0</v>
      </c>
      <c r="F1562" s="627">
        <f t="shared" si="193"/>
        <v>0</v>
      </c>
      <c r="G1562" s="603">
        <v>83</v>
      </c>
      <c r="H1562" s="581"/>
      <c r="I1562" s="886">
        <f t="shared" si="192"/>
        <v>0</v>
      </c>
      <c r="J1562" s="661"/>
      <c r="K1562" s="660"/>
      <c r="L1562" s="662"/>
      <c r="M1562" s="581"/>
      <c r="N1562" s="772"/>
      <c r="O1562" s="585"/>
      <c r="P1562" s="661"/>
      <c r="Q1562" s="660"/>
      <c r="R1562" s="630"/>
      <c r="S1562" s="564"/>
      <c r="T1562" s="564"/>
      <c r="U1562" s="564"/>
      <c r="V1562" s="564"/>
      <c r="W1562" s="565"/>
      <c r="X1562" s="565"/>
      <c r="Y1562" s="565"/>
      <c r="Z1562" s="565"/>
    </row>
    <row r="1563" spans="1:26" s="639" customFormat="1" ht="12.75">
      <c r="A1563" s="647">
        <v>4448</v>
      </c>
      <c r="B1563" s="712" t="s">
        <v>203</v>
      </c>
      <c r="C1563" s="603">
        <v>6612</v>
      </c>
      <c r="D1563" s="581">
        <f>G1563+J1563+P1563+M1563</f>
        <v>6612</v>
      </c>
      <c r="E1563" s="581">
        <f>SUM(H1563+K1563+N1563+Q1563)</f>
        <v>0</v>
      </c>
      <c r="F1563" s="627">
        <f t="shared" si="193"/>
        <v>0</v>
      </c>
      <c r="G1563" s="603">
        <v>6612</v>
      </c>
      <c r="H1563" s="581"/>
      <c r="I1563" s="886">
        <f t="shared" si="192"/>
        <v>0</v>
      </c>
      <c r="J1563" s="661"/>
      <c r="K1563" s="660"/>
      <c r="L1563" s="662"/>
      <c r="M1563" s="581"/>
      <c r="N1563" s="772"/>
      <c r="O1563" s="585"/>
      <c r="P1563" s="661"/>
      <c r="Q1563" s="660"/>
      <c r="R1563" s="630"/>
      <c r="S1563" s="564"/>
      <c r="T1563" s="564"/>
      <c r="U1563" s="564"/>
      <c r="V1563" s="564"/>
      <c r="W1563" s="565"/>
      <c r="X1563" s="565"/>
      <c r="Y1563" s="565"/>
      <c r="Z1563" s="565"/>
    </row>
    <row r="1564" spans="1:26" s="639" customFormat="1" ht="12.75">
      <c r="A1564" s="647">
        <v>4449</v>
      </c>
      <c r="B1564" s="712" t="s">
        <v>203</v>
      </c>
      <c r="C1564" s="603">
        <v>389</v>
      </c>
      <c r="D1564" s="581">
        <f>G1564+J1564+P1564+M1564</f>
        <v>389</v>
      </c>
      <c r="E1564" s="581">
        <f>SUM(H1564+K1564+N1564+Q1564)</f>
        <v>0</v>
      </c>
      <c r="F1564" s="627">
        <f t="shared" si="193"/>
        <v>0</v>
      </c>
      <c r="G1564" s="603">
        <v>389</v>
      </c>
      <c r="H1564" s="581"/>
      <c r="I1564" s="886">
        <f t="shared" si="192"/>
        <v>0</v>
      </c>
      <c r="J1564" s="661"/>
      <c r="K1564" s="660"/>
      <c r="L1564" s="662"/>
      <c r="M1564" s="581"/>
      <c r="N1564" s="772"/>
      <c r="O1564" s="585"/>
      <c r="P1564" s="661"/>
      <c r="Q1564" s="660"/>
      <c r="R1564" s="630"/>
      <c r="S1564" s="564"/>
      <c r="T1564" s="564"/>
      <c r="U1564" s="564"/>
      <c r="V1564" s="564"/>
      <c r="W1564" s="565"/>
      <c r="X1564" s="565"/>
      <c r="Y1564" s="565"/>
      <c r="Z1564" s="565"/>
    </row>
    <row r="1565" spans="1:26" s="639" customFormat="1" ht="51" customHeight="1">
      <c r="A1565" s="647">
        <v>4748</v>
      </c>
      <c r="B1565" s="712" t="s">
        <v>215</v>
      </c>
      <c r="C1565" s="603">
        <v>1417</v>
      </c>
      <c r="D1565" s="581">
        <f t="shared" si="188"/>
        <v>1417</v>
      </c>
      <c r="E1565" s="581">
        <f t="shared" si="191"/>
        <v>162</v>
      </c>
      <c r="F1565" s="627">
        <f t="shared" si="193"/>
        <v>11.432604093154552</v>
      </c>
      <c r="G1565" s="603">
        <v>1417</v>
      </c>
      <c r="H1565" s="581">
        <v>162</v>
      </c>
      <c r="I1565" s="886">
        <f t="shared" si="192"/>
        <v>11.432604093154552</v>
      </c>
      <c r="J1565" s="661"/>
      <c r="K1565" s="660"/>
      <c r="L1565" s="662"/>
      <c r="M1565" s="581"/>
      <c r="N1565" s="772"/>
      <c r="O1565" s="585"/>
      <c r="P1565" s="661"/>
      <c r="Q1565" s="660"/>
      <c r="R1565" s="630"/>
      <c r="S1565" s="564"/>
      <c r="T1565" s="564"/>
      <c r="U1565" s="564"/>
      <c r="V1565" s="564"/>
      <c r="W1565" s="565"/>
      <c r="X1565" s="565"/>
      <c r="Y1565" s="565"/>
      <c r="Z1565" s="565"/>
    </row>
    <row r="1566" spans="1:26" s="639" customFormat="1" ht="51" customHeight="1">
      <c r="A1566" s="647">
        <v>4749</v>
      </c>
      <c r="B1566" s="712" t="s">
        <v>215</v>
      </c>
      <c r="C1566" s="603">
        <v>83</v>
      </c>
      <c r="D1566" s="581">
        <f t="shared" si="188"/>
        <v>83</v>
      </c>
      <c r="E1566" s="581">
        <f t="shared" si="191"/>
        <v>10</v>
      </c>
      <c r="F1566" s="627">
        <f t="shared" si="193"/>
        <v>12.048192771084338</v>
      </c>
      <c r="G1566" s="603">
        <v>83</v>
      </c>
      <c r="H1566" s="581">
        <v>10</v>
      </c>
      <c r="I1566" s="886">
        <f t="shared" si="192"/>
        <v>12.048192771084338</v>
      </c>
      <c r="J1566" s="661"/>
      <c r="K1566" s="660"/>
      <c r="L1566" s="662"/>
      <c r="M1566" s="581"/>
      <c r="N1566" s="772"/>
      <c r="O1566" s="585"/>
      <c r="P1566" s="661"/>
      <c r="Q1566" s="660"/>
      <c r="R1566" s="630"/>
      <c r="S1566" s="564"/>
      <c r="T1566" s="564"/>
      <c r="U1566" s="564"/>
      <c r="V1566" s="564"/>
      <c r="W1566" s="565"/>
      <c r="X1566" s="565"/>
      <c r="Y1566" s="565"/>
      <c r="Z1566" s="565"/>
    </row>
    <row r="1567" spans="1:26" s="639" customFormat="1" ht="36">
      <c r="A1567" s="647">
        <v>4758</v>
      </c>
      <c r="B1567" s="712" t="s">
        <v>589</v>
      </c>
      <c r="C1567" s="603">
        <v>9444</v>
      </c>
      <c r="D1567" s="581">
        <f t="shared" si="188"/>
        <v>9444</v>
      </c>
      <c r="E1567" s="581">
        <f t="shared" si="191"/>
        <v>840</v>
      </c>
      <c r="F1567" s="627">
        <f t="shared" si="193"/>
        <v>8.89453621346887</v>
      </c>
      <c r="G1567" s="603">
        <v>9444</v>
      </c>
      <c r="H1567" s="581">
        <v>840</v>
      </c>
      <c r="I1567" s="886">
        <f t="shared" si="192"/>
        <v>8.89453621346887</v>
      </c>
      <c r="J1567" s="661"/>
      <c r="K1567" s="660"/>
      <c r="L1567" s="662"/>
      <c r="M1567" s="581"/>
      <c r="N1567" s="772"/>
      <c r="O1567" s="585"/>
      <c r="P1567" s="661"/>
      <c r="Q1567" s="660"/>
      <c r="R1567" s="630"/>
      <c r="S1567" s="564"/>
      <c r="T1567" s="564"/>
      <c r="U1567" s="564"/>
      <c r="V1567" s="564"/>
      <c r="W1567" s="565"/>
      <c r="X1567" s="565"/>
      <c r="Y1567" s="565"/>
      <c r="Z1567" s="565"/>
    </row>
    <row r="1568" spans="1:26" s="639" customFormat="1" ht="24" hidden="1">
      <c r="A1568" s="647">
        <v>4990</v>
      </c>
      <c r="B1568" s="712" t="s">
        <v>812</v>
      </c>
      <c r="C1568" s="603"/>
      <c r="D1568" s="581"/>
      <c r="E1568" s="581">
        <f>SUM(H1568+K1568+N1568+Q1568)</f>
        <v>0</v>
      </c>
      <c r="F1568" s="627"/>
      <c r="G1568" s="603"/>
      <c r="H1568" s="581"/>
      <c r="I1568" s="886"/>
      <c r="J1568" s="661"/>
      <c r="K1568" s="660"/>
      <c r="L1568" s="662"/>
      <c r="M1568" s="581"/>
      <c r="N1568" s="772"/>
      <c r="O1568" s="585"/>
      <c r="P1568" s="661"/>
      <c r="Q1568" s="660"/>
      <c r="R1568" s="630"/>
      <c r="S1568" s="564"/>
      <c r="T1568" s="564"/>
      <c r="U1568" s="564"/>
      <c r="V1568" s="564"/>
      <c r="W1568" s="565"/>
      <c r="X1568" s="565"/>
      <c r="Y1568" s="565"/>
      <c r="Z1568" s="565"/>
    </row>
    <row r="1569" spans="1:26" s="639" customFormat="1" ht="36">
      <c r="A1569" s="647">
        <v>4759</v>
      </c>
      <c r="B1569" s="712" t="s">
        <v>589</v>
      </c>
      <c r="C1569" s="603">
        <v>556</v>
      </c>
      <c r="D1569" s="581">
        <f t="shared" si="188"/>
        <v>556</v>
      </c>
      <c r="E1569" s="581">
        <f t="shared" si="191"/>
        <v>49</v>
      </c>
      <c r="F1569" s="627">
        <f aca="true" t="shared" si="194" ref="F1569:F1611">E1569/D1569*100</f>
        <v>8.81294964028777</v>
      </c>
      <c r="G1569" s="603">
        <v>556</v>
      </c>
      <c r="H1569" s="581">
        <v>49</v>
      </c>
      <c r="I1569" s="886">
        <f t="shared" si="192"/>
        <v>8.81294964028777</v>
      </c>
      <c r="J1569" s="586"/>
      <c r="K1569" s="581"/>
      <c r="L1569" s="587"/>
      <c r="M1569" s="581"/>
      <c r="N1569" s="772"/>
      <c r="O1569" s="585"/>
      <c r="P1569" s="586"/>
      <c r="Q1569" s="581"/>
      <c r="R1569" s="582"/>
      <c r="S1569" s="564"/>
      <c r="T1569" s="564"/>
      <c r="U1569" s="564"/>
      <c r="V1569" s="564"/>
      <c r="W1569" s="565"/>
      <c r="X1569" s="565"/>
      <c r="Y1569" s="565"/>
      <c r="Z1569" s="565"/>
    </row>
    <row r="1570" spans="1:26" s="639" customFormat="1" ht="60">
      <c r="A1570" s="657"/>
      <c r="B1570" s="923" t="s">
        <v>545</v>
      </c>
      <c r="C1570" s="659"/>
      <c r="D1570" s="660">
        <f t="shared" si="188"/>
        <v>215320</v>
      </c>
      <c r="E1570" s="660">
        <f t="shared" si="191"/>
        <v>700</v>
      </c>
      <c r="F1570" s="864">
        <f t="shared" si="194"/>
        <v>0.3250975292587776</v>
      </c>
      <c r="G1570" s="659">
        <f>SUM(G1571:G1584)</f>
        <v>215320</v>
      </c>
      <c r="H1570" s="660">
        <f>SUM(H1571:H1584)</f>
        <v>700</v>
      </c>
      <c r="I1570" s="582">
        <f t="shared" si="192"/>
        <v>0.3250975292587776</v>
      </c>
      <c r="J1570" s="661"/>
      <c r="K1570" s="660"/>
      <c r="L1570" s="662"/>
      <c r="M1570" s="661"/>
      <c r="N1570" s="660"/>
      <c r="O1570" s="827"/>
      <c r="P1570" s="660"/>
      <c r="Q1570" s="660"/>
      <c r="R1570" s="827"/>
      <c r="S1570" s="564"/>
      <c r="T1570" s="564"/>
      <c r="U1570" s="564"/>
      <c r="V1570" s="564"/>
      <c r="W1570" s="565"/>
      <c r="X1570" s="565"/>
      <c r="Y1570" s="565"/>
      <c r="Z1570" s="565"/>
    </row>
    <row r="1571" spans="1:26" s="639" customFormat="1" ht="27" customHeight="1">
      <c r="A1571" s="647">
        <v>4018</v>
      </c>
      <c r="B1571" s="828" t="s">
        <v>181</v>
      </c>
      <c r="C1571" s="603"/>
      <c r="D1571" s="581">
        <f t="shared" si="188"/>
        <v>14372</v>
      </c>
      <c r="E1571" s="581">
        <f t="shared" si="191"/>
        <v>0</v>
      </c>
      <c r="F1571" s="864">
        <f t="shared" si="194"/>
        <v>0</v>
      </c>
      <c r="G1571" s="603">
        <v>14372</v>
      </c>
      <c r="H1571" s="581"/>
      <c r="I1571" s="582">
        <f t="shared" si="192"/>
        <v>0</v>
      </c>
      <c r="J1571" s="586"/>
      <c r="K1571" s="581"/>
      <c r="L1571" s="587"/>
      <c r="M1571" s="586"/>
      <c r="N1571" s="581"/>
      <c r="O1571" s="827"/>
      <c r="P1571" s="581"/>
      <c r="Q1571" s="581"/>
      <c r="R1571" s="629"/>
      <c r="S1571" s="564"/>
      <c r="T1571" s="564"/>
      <c r="U1571" s="564"/>
      <c r="V1571" s="564"/>
      <c r="W1571" s="565"/>
      <c r="X1571" s="565"/>
      <c r="Y1571" s="565"/>
      <c r="Z1571" s="565"/>
    </row>
    <row r="1572" spans="1:26" s="639" customFormat="1" ht="27" customHeight="1">
      <c r="A1572" s="647">
        <v>4019</v>
      </c>
      <c r="B1572" s="828" t="s">
        <v>181</v>
      </c>
      <c r="C1572" s="603"/>
      <c r="D1572" s="581">
        <f t="shared" si="188"/>
        <v>2536</v>
      </c>
      <c r="E1572" s="581">
        <f t="shared" si="191"/>
        <v>0</v>
      </c>
      <c r="F1572" s="864">
        <f t="shared" si="194"/>
        <v>0</v>
      </c>
      <c r="G1572" s="603">
        <v>2536</v>
      </c>
      <c r="H1572" s="581"/>
      <c r="I1572" s="582">
        <f t="shared" si="192"/>
        <v>0</v>
      </c>
      <c r="J1572" s="586"/>
      <c r="K1572" s="581"/>
      <c r="L1572" s="587"/>
      <c r="M1572" s="586"/>
      <c r="N1572" s="581"/>
      <c r="O1572" s="827"/>
      <c r="P1572" s="581"/>
      <c r="Q1572" s="581"/>
      <c r="R1572" s="629"/>
      <c r="S1572" s="564"/>
      <c r="T1572" s="564"/>
      <c r="U1572" s="564"/>
      <c r="V1572" s="564"/>
      <c r="W1572" s="565"/>
      <c r="X1572" s="565"/>
      <c r="Y1572" s="565"/>
      <c r="Z1572" s="565"/>
    </row>
    <row r="1573" spans="1:26" s="639" customFormat="1" ht="24.75" customHeight="1">
      <c r="A1573" s="647">
        <v>4118</v>
      </c>
      <c r="B1573" s="828" t="s">
        <v>187</v>
      </c>
      <c r="C1573" s="603"/>
      <c r="D1573" s="581">
        <f t="shared" si="188"/>
        <v>2175</v>
      </c>
      <c r="E1573" s="581">
        <f t="shared" si="191"/>
        <v>0</v>
      </c>
      <c r="F1573" s="864">
        <f t="shared" si="194"/>
        <v>0</v>
      </c>
      <c r="G1573" s="603">
        <v>2175</v>
      </c>
      <c r="H1573" s="581"/>
      <c r="I1573" s="582">
        <f t="shared" si="192"/>
        <v>0</v>
      </c>
      <c r="J1573" s="586"/>
      <c r="K1573" s="581"/>
      <c r="L1573" s="587"/>
      <c r="M1573" s="586"/>
      <c r="N1573" s="581"/>
      <c r="O1573" s="827"/>
      <c r="P1573" s="581"/>
      <c r="Q1573" s="581"/>
      <c r="R1573" s="629"/>
      <c r="S1573" s="564"/>
      <c r="T1573" s="564"/>
      <c r="U1573" s="564"/>
      <c r="V1573" s="564"/>
      <c r="W1573" s="565"/>
      <c r="X1573" s="565"/>
      <c r="Y1573" s="565"/>
      <c r="Z1573" s="565"/>
    </row>
    <row r="1574" spans="1:26" s="639" customFormat="1" ht="25.5" customHeight="1">
      <c r="A1574" s="647">
        <v>4119</v>
      </c>
      <c r="B1574" s="828" t="s">
        <v>187</v>
      </c>
      <c r="C1574" s="603"/>
      <c r="D1574" s="581">
        <f t="shared" si="188"/>
        <v>384</v>
      </c>
      <c r="E1574" s="581">
        <f t="shared" si="191"/>
        <v>0</v>
      </c>
      <c r="F1574" s="864">
        <f t="shared" si="194"/>
        <v>0</v>
      </c>
      <c r="G1574" s="603">
        <v>384</v>
      </c>
      <c r="H1574" s="581"/>
      <c r="I1574" s="582">
        <f t="shared" si="192"/>
        <v>0</v>
      </c>
      <c r="J1574" s="586"/>
      <c r="K1574" s="581"/>
      <c r="L1574" s="587"/>
      <c r="M1574" s="586"/>
      <c r="N1574" s="581"/>
      <c r="O1574" s="827"/>
      <c r="P1574" s="581"/>
      <c r="Q1574" s="581"/>
      <c r="R1574" s="629"/>
      <c r="S1574" s="564"/>
      <c r="T1574" s="564"/>
      <c r="U1574" s="564"/>
      <c r="V1574" s="564"/>
      <c r="W1574" s="565"/>
      <c r="X1574" s="565"/>
      <c r="Y1574" s="565"/>
      <c r="Z1574" s="565"/>
    </row>
    <row r="1575" spans="1:26" s="639" customFormat="1" ht="12.75">
      <c r="A1575" s="647">
        <v>4128</v>
      </c>
      <c r="B1575" s="828" t="s">
        <v>619</v>
      </c>
      <c r="C1575" s="603"/>
      <c r="D1575" s="581">
        <f t="shared" si="188"/>
        <v>351</v>
      </c>
      <c r="E1575" s="581">
        <f t="shared" si="191"/>
        <v>0</v>
      </c>
      <c r="F1575" s="864">
        <f t="shared" si="194"/>
        <v>0</v>
      </c>
      <c r="G1575" s="603">
        <v>351</v>
      </c>
      <c r="H1575" s="581"/>
      <c r="I1575" s="582">
        <f t="shared" si="192"/>
        <v>0</v>
      </c>
      <c r="J1575" s="586"/>
      <c r="K1575" s="581"/>
      <c r="L1575" s="587"/>
      <c r="M1575" s="586"/>
      <c r="N1575" s="581"/>
      <c r="O1575" s="827"/>
      <c r="P1575" s="581"/>
      <c r="Q1575" s="581"/>
      <c r="R1575" s="629"/>
      <c r="S1575" s="564"/>
      <c r="T1575" s="564"/>
      <c r="U1575" s="564"/>
      <c r="V1575" s="564"/>
      <c r="W1575" s="565"/>
      <c r="X1575" s="565"/>
      <c r="Y1575" s="565"/>
      <c r="Z1575" s="565"/>
    </row>
    <row r="1576" spans="1:26" s="639" customFormat="1" ht="12.75">
      <c r="A1576" s="647">
        <v>4129</v>
      </c>
      <c r="B1576" s="828" t="s">
        <v>619</v>
      </c>
      <c r="C1576" s="603"/>
      <c r="D1576" s="581">
        <f t="shared" si="188"/>
        <v>62</v>
      </c>
      <c r="E1576" s="581">
        <f t="shared" si="191"/>
        <v>0</v>
      </c>
      <c r="F1576" s="864">
        <f t="shared" si="194"/>
        <v>0</v>
      </c>
      <c r="G1576" s="603">
        <v>62</v>
      </c>
      <c r="H1576" s="581"/>
      <c r="I1576" s="582">
        <f t="shared" si="192"/>
        <v>0</v>
      </c>
      <c r="J1576" s="586"/>
      <c r="K1576" s="581"/>
      <c r="L1576" s="587"/>
      <c r="M1576" s="586"/>
      <c r="N1576" s="581"/>
      <c r="O1576" s="827"/>
      <c r="P1576" s="581"/>
      <c r="Q1576" s="581"/>
      <c r="R1576" s="629"/>
      <c r="S1576" s="564"/>
      <c r="T1576" s="564"/>
      <c r="U1576" s="564"/>
      <c r="V1576" s="564"/>
      <c r="W1576" s="565"/>
      <c r="X1576" s="565"/>
      <c r="Y1576" s="565"/>
      <c r="Z1576" s="565"/>
    </row>
    <row r="1577" spans="1:26" s="639" customFormat="1" ht="24">
      <c r="A1577" s="647">
        <v>4178</v>
      </c>
      <c r="B1577" s="828" t="s">
        <v>221</v>
      </c>
      <c r="C1577" s="603"/>
      <c r="D1577" s="581">
        <f t="shared" si="188"/>
        <v>91358</v>
      </c>
      <c r="E1577" s="581">
        <f t="shared" si="191"/>
        <v>0</v>
      </c>
      <c r="F1577" s="864">
        <f t="shared" si="194"/>
        <v>0</v>
      </c>
      <c r="G1577" s="603">
        <v>91358</v>
      </c>
      <c r="H1577" s="581"/>
      <c r="I1577" s="582">
        <f t="shared" si="192"/>
        <v>0</v>
      </c>
      <c r="J1577" s="586"/>
      <c r="K1577" s="581"/>
      <c r="L1577" s="587"/>
      <c r="M1577" s="586"/>
      <c r="N1577" s="581"/>
      <c r="O1577" s="827"/>
      <c r="P1577" s="581"/>
      <c r="Q1577" s="581"/>
      <c r="R1577" s="629"/>
      <c r="S1577" s="564"/>
      <c r="T1577" s="564"/>
      <c r="U1577" s="564"/>
      <c r="V1577" s="564"/>
      <c r="W1577" s="565"/>
      <c r="X1577" s="565"/>
      <c r="Y1577" s="565"/>
      <c r="Z1577" s="565"/>
    </row>
    <row r="1578" spans="1:26" s="639" customFormat="1" ht="24">
      <c r="A1578" s="647">
        <v>4179</v>
      </c>
      <c r="B1578" s="828" t="s">
        <v>221</v>
      </c>
      <c r="C1578" s="603"/>
      <c r="D1578" s="581">
        <f t="shared" si="188"/>
        <v>16122</v>
      </c>
      <c r="E1578" s="581">
        <f t="shared" si="191"/>
        <v>0</v>
      </c>
      <c r="F1578" s="864">
        <f t="shared" si="194"/>
        <v>0</v>
      </c>
      <c r="G1578" s="603">
        <v>16122</v>
      </c>
      <c r="H1578" s="581"/>
      <c r="I1578" s="582">
        <f t="shared" si="192"/>
        <v>0</v>
      </c>
      <c r="J1578" s="586"/>
      <c r="K1578" s="581"/>
      <c r="L1578" s="587"/>
      <c r="M1578" s="586"/>
      <c r="N1578" s="581"/>
      <c r="O1578" s="827"/>
      <c r="P1578" s="581"/>
      <c r="Q1578" s="581"/>
      <c r="R1578" s="629"/>
      <c r="S1578" s="564"/>
      <c r="T1578" s="564"/>
      <c r="U1578" s="564"/>
      <c r="V1578" s="564"/>
      <c r="W1578" s="565"/>
      <c r="X1578" s="565"/>
      <c r="Y1578" s="565"/>
      <c r="Z1578" s="565"/>
    </row>
    <row r="1579" spans="1:26" s="639" customFormat="1" ht="24">
      <c r="A1579" s="647">
        <v>4218</v>
      </c>
      <c r="B1579" s="828" t="s">
        <v>191</v>
      </c>
      <c r="C1579" s="603"/>
      <c r="D1579" s="581">
        <f t="shared" si="188"/>
        <v>6460</v>
      </c>
      <c r="E1579" s="581">
        <f t="shared" si="191"/>
        <v>0</v>
      </c>
      <c r="F1579" s="864">
        <f t="shared" si="194"/>
        <v>0</v>
      </c>
      <c r="G1579" s="603">
        <v>6460</v>
      </c>
      <c r="H1579" s="581"/>
      <c r="I1579" s="582">
        <f t="shared" si="192"/>
        <v>0</v>
      </c>
      <c r="J1579" s="586"/>
      <c r="K1579" s="581"/>
      <c r="L1579" s="587"/>
      <c r="M1579" s="586"/>
      <c r="N1579" s="581"/>
      <c r="O1579" s="827"/>
      <c r="P1579" s="581"/>
      <c r="Q1579" s="581"/>
      <c r="R1579" s="629"/>
      <c r="S1579" s="564"/>
      <c r="T1579" s="564"/>
      <c r="U1579" s="564"/>
      <c r="V1579" s="564"/>
      <c r="W1579" s="565"/>
      <c r="X1579" s="565"/>
      <c r="Y1579" s="565"/>
      <c r="Z1579" s="565"/>
    </row>
    <row r="1580" spans="1:26" s="639" customFormat="1" ht="24">
      <c r="A1580" s="647">
        <v>4219</v>
      </c>
      <c r="B1580" s="828" t="s">
        <v>191</v>
      </c>
      <c r="C1580" s="603"/>
      <c r="D1580" s="581">
        <f t="shared" si="188"/>
        <v>1140</v>
      </c>
      <c r="E1580" s="581">
        <f t="shared" si="191"/>
        <v>0</v>
      </c>
      <c r="F1580" s="864">
        <f t="shared" si="194"/>
        <v>0</v>
      </c>
      <c r="G1580" s="603">
        <v>1140</v>
      </c>
      <c r="H1580" s="581"/>
      <c r="I1580" s="582">
        <f t="shared" si="192"/>
        <v>0</v>
      </c>
      <c r="J1580" s="586"/>
      <c r="K1580" s="581"/>
      <c r="L1580" s="587"/>
      <c r="M1580" s="586"/>
      <c r="N1580" s="581"/>
      <c r="O1580" s="827"/>
      <c r="P1580" s="581"/>
      <c r="Q1580" s="581"/>
      <c r="R1580" s="629"/>
      <c r="S1580" s="564"/>
      <c r="T1580" s="564"/>
      <c r="U1580" s="564"/>
      <c r="V1580" s="564"/>
      <c r="W1580" s="565"/>
      <c r="X1580" s="565"/>
      <c r="Y1580" s="565"/>
      <c r="Z1580" s="565"/>
    </row>
    <row r="1581" spans="1:26" s="639" customFormat="1" ht="27.75" customHeight="1">
      <c r="A1581" s="647">
        <v>4248</v>
      </c>
      <c r="B1581" s="651" t="s">
        <v>608</v>
      </c>
      <c r="C1581" s="603"/>
      <c r="D1581" s="581">
        <f t="shared" si="188"/>
        <v>3655</v>
      </c>
      <c r="E1581" s="581">
        <f t="shared" si="191"/>
        <v>595</v>
      </c>
      <c r="F1581" s="864">
        <f t="shared" si="194"/>
        <v>16.27906976744186</v>
      </c>
      <c r="G1581" s="603">
        <v>3655</v>
      </c>
      <c r="H1581" s="581">
        <v>595</v>
      </c>
      <c r="I1581" s="582">
        <f t="shared" si="192"/>
        <v>16.27906976744186</v>
      </c>
      <c r="J1581" s="586"/>
      <c r="K1581" s="581"/>
      <c r="L1581" s="587"/>
      <c r="M1581" s="586"/>
      <c r="N1581" s="581"/>
      <c r="O1581" s="827"/>
      <c r="P1581" s="581"/>
      <c r="Q1581" s="581"/>
      <c r="R1581" s="629"/>
      <c r="S1581" s="564"/>
      <c r="T1581" s="564"/>
      <c r="U1581" s="564"/>
      <c r="V1581" s="564"/>
      <c r="W1581" s="565"/>
      <c r="X1581" s="565"/>
      <c r="Y1581" s="565"/>
      <c r="Z1581" s="565"/>
    </row>
    <row r="1582" spans="1:26" s="639" customFormat="1" ht="30.75" customHeight="1">
      <c r="A1582" s="647">
        <v>4249</v>
      </c>
      <c r="B1582" s="651" t="s">
        <v>608</v>
      </c>
      <c r="C1582" s="603"/>
      <c r="D1582" s="581">
        <f t="shared" si="188"/>
        <v>645</v>
      </c>
      <c r="E1582" s="581">
        <f t="shared" si="191"/>
        <v>105</v>
      </c>
      <c r="F1582" s="864">
        <f t="shared" si="194"/>
        <v>16.27906976744186</v>
      </c>
      <c r="G1582" s="603">
        <v>645</v>
      </c>
      <c r="H1582" s="581">
        <v>105</v>
      </c>
      <c r="I1582" s="582">
        <f t="shared" si="192"/>
        <v>16.27906976744186</v>
      </c>
      <c r="J1582" s="586"/>
      <c r="K1582" s="581"/>
      <c r="L1582" s="587"/>
      <c r="M1582" s="586"/>
      <c r="N1582" s="581"/>
      <c r="O1582" s="827"/>
      <c r="P1582" s="581"/>
      <c r="Q1582" s="581"/>
      <c r="R1582" s="629"/>
      <c r="S1582" s="564"/>
      <c r="T1582" s="564"/>
      <c r="U1582" s="564"/>
      <c r="V1582" s="564"/>
      <c r="W1582" s="565"/>
      <c r="X1582" s="565"/>
      <c r="Y1582" s="565"/>
      <c r="Z1582" s="565"/>
    </row>
    <row r="1583" spans="1:26" s="639" customFormat="1" ht="15" customHeight="1">
      <c r="A1583" s="647">
        <v>4308</v>
      </c>
      <c r="B1583" s="828" t="s">
        <v>583</v>
      </c>
      <c r="C1583" s="603"/>
      <c r="D1583" s="581">
        <f t="shared" si="188"/>
        <v>64651</v>
      </c>
      <c r="E1583" s="581">
        <f t="shared" si="191"/>
        <v>0</v>
      </c>
      <c r="F1583" s="864">
        <f t="shared" si="194"/>
        <v>0</v>
      </c>
      <c r="G1583" s="603">
        <v>64651</v>
      </c>
      <c r="H1583" s="581"/>
      <c r="I1583" s="582">
        <f t="shared" si="192"/>
        <v>0</v>
      </c>
      <c r="J1583" s="586"/>
      <c r="K1583" s="581"/>
      <c r="L1583" s="587"/>
      <c r="M1583" s="586"/>
      <c r="N1583" s="581"/>
      <c r="O1583" s="827"/>
      <c r="P1583" s="581"/>
      <c r="Q1583" s="581"/>
      <c r="R1583" s="629"/>
      <c r="S1583" s="564"/>
      <c r="T1583" s="564"/>
      <c r="U1583" s="564"/>
      <c r="V1583" s="564"/>
      <c r="W1583" s="565"/>
      <c r="X1583" s="565"/>
      <c r="Y1583" s="565"/>
      <c r="Z1583" s="565"/>
    </row>
    <row r="1584" spans="1:26" s="639" customFormat="1" ht="17.25" customHeight="1" thickBot="1">
      <c r="A1584" s="647">
        <v>4309</v>
      </c>
      <c r="B1584" s="828" t="s">
        <v>583</v>
      </c>
      <c r="C1584" s="603"/>
      <c r="D1584" s="581">
        <f t="shared" si="188"/>
        <v>11409</v>
      </c>
      <c r="E1584" s="581">
        <f t="shared" si="191"/>
        <v>0</v>
      </c>
      <c r="F1584" s="864">
        <f t="shared" si="194"/>
        <v>0</v>
      </c>
      <c r="G1584" s="603">
        <v>11409</v>
      </c>
      <c r="H1584" s="581"/>
      <c r="I1584" s="582">
        <f t="shared" si="192"/>
        <v>0</v>
      </c>
      <c r="J1584" s="586"/>
      <c r="K1584" s="581"/>
      <c r="L1584" s="587"/>
      <c r="M1584" s="586"/>
      <c r="N1584" s="581"/>
      <c r="O1584" s="827"/>
      <c r="P1584" s="581"/>
      <c r="Q1584" s="581"/>
      <c r="R1584" s="629"/>
      <c r="S1584" s="564"/>
      <c r="T1584" s="564"/>
      <c r="U1584" s="564"/>
      <c r="V1584" s="564"/>
      <c r="W1584" s="565"/>
      <c r="X1584" s="565"/>
      <c r="Y1584" s="565"/>
      <c r="Z1584" s="565"/>
    </row>
    <row r="1585" spans="1:26" s="760" customFormat="1" ht="26.25" hidden="1" thickBot="1">
      <c r="A1585" s="752"/>
      <c r="B1585" s="823" t="s">
        <v>294</v>
      </c>
      <c r="C1585" s="754">
        <f>SUM(C1607:C1614)</f>
        <v>0</v>
      </c>
      <c r="D1585" s="755">
        <f t="shared" si="188"/>
        <v>0</v>
      </c>
      <c r="E1585" s="755">
        <f t="shared" si="191"/>
        <v>0</v>
      </c>
      <c r="F1585" s="867" t="e">
        <f t="shared" si="194"/>
        <v>#DIV/0!</v>
      </c>
      <c r="G1585" s="935"/>
      <c r="H1585" s="755"/>
      <c r="I1585" s="933"/>
      <c r="J1585" s="756"/>
      <c r="K1585" s="755"/>
      <c r="L1585" s="662"/>
      <c r="M1585" s="935">
        <f>SUM(M1586:M1614)</f>
        <v>0</v>
      </c>
      <c r="N1585" s="755">
        <f>SUM(N1586:N1614)</f>
        <v>0</v>
      </c>
      <c r="O1585" s="886" t="e">
        <f aca="true" t="shared" si="195" ref="O1585:O1648">N1585/M1585*100</f>
        <v>#DIV/0!</v>
      </c>
      <c r="P1585" s="756"/>
      <c r="Q1585" s="755"/>
      <c r="R1585" s="630"/>
      <c r="S1585" s="758"/>
      <c r="T1585" s="758"/>
      <c r="U1585" s="758"/>
      <c r="V1585" s="758"/>
      <c r="W1585" s="759"/>
      <c r="X1585" s="759"/>
      <c r="Y1585" s="759"/>
      <c r="Z1585" s="759"/>
    </row>
    <row r="1586" spans="1:18" ht="115.5" hidden="1" thickBot="1">
      <c r="A1586" s="647">
        <v>2338</v>
      </c>
      <c r="B1586" s="936" t="s">
        <v>295</v>
      </c>
      <c r="C1586" s="603"/>
      <c r="D1586" s="581">
        <f t="shared" si="188"/>
        <v>0</v>
      </c>
      <c r="E1586" s="581">
        <f t="shared" si="191"/>
        <v>0</v>
      </c>
      <c r="F1586" s="863" t="e">
        <f t="shared" si="194"/>
        <v>#DIV/0!</v>
      </c>
      <c r="G1586" s="693"/>
      <c r="H1586" s="581"/>
      <c r="I1586" s="886"/>
      <c r="J1586" s="586"/>
      <c r="K1586" s="581"/>
      <c r="L1586" s="649"/>
      <c r="M1586" s="693"/>
      <c r="N1586" s="581"/>
      <c r="O1586" s="886" t="e">
        <f t="shared" si="195"/>
        <v>#DIV/0!</v>
      </c>
      <c r="P1586" s="586"/>
      <c r="Q1586" s="581"/>
      <c r="R1586" s="761"/>
    </row>
    <row r="1587" spans="1:18" ht="115.5" hidden="1" thickBot="1">
      <c r="A1587" s="647">
        <v>2339</v>
      </c>
      <c r="B1587" s="936" t="s">
        <v>295</v>
      </c>
      <c r="C1587" s="603"/>
      <c r="D1587" s="581">
        <f t="shared" si="188"/>
        <v>0</v>
      </c>
      <c r="E1587" s="581">
        <f t="shared" si="191"/>
        <v>0</v>
      </c>
      <c r="F1587" s="863" t="e">
        <f t="shared" si="194"/>
        <v>#DIV/0!</v>
      </c>
      <c r="G1587" s="693"/>
      <c r="H1587" s="581"/>
      <c r="I1587" s="886"/>
      <c r="J1587" s="586"/>
      <c r="K1587" s="581"/>
      <c r="L1587" s="649"/>
      <c r="M1587" s="693"/>
      <c r="N1587" s="581"/>
      <c r="O1587" s="886" t="e">
        <f t="shared" si="195"/>
        <v>#DIV/0!</v>
      </c>
      <c r="P1587" s="586"/>
      <c r="Q1587" s="581"/>
      <c r="R1587" s="761"/>
    </row>
    <row r="1588" spans="1:18" ht="115.5" hidden="1" thickBot="1">
      <c r="A1588" s="647">
        <v>2678</v>
      </c>
      <c r="B1588" s="936" t="s">
        <v>296</v>
      </c>
      <c r="C1588" s="603"/>
      <c r="D1588" s="581">
        <f t="shared" si="188"/>
        <v>0</v>
      </c>
      <c r="E1588" s="581">
        <f t="shared" si="191"/>
        <v>0</v>
      </c>
      <c r="F1588" s="863" t="e">
        <f t="shared" si="194"/>
        <v>#DIV/0!</v>
      </c>
      <c r="G1588" s="693"/>
      <c r="H1588" s="581"/>
      <c r="I1588" s="886"/>
      <c r="J1588" s="586"/>
      <c r="K1588" s="581"/>
      <c r="L1588" s="649"/>
      <c r="M1588" s="693"/>
      <c r="N1588" s="581"/>
      <c r="O1588" s="886" t="e">
        <f t="shared" si="195"/>
        <v>#DIV/0!</v>
      </c>
      <c r="P1588" s="586"/>
      <c r="Q1588" s="581"/>
      <c r="R1588" s="761"/>
    </row>
    <row r="1589" spans="1:18" ht="115.5" hidden="1" thickBot="1">
      <c r="A1589" s="647">
        <v>2679</v>
      </c>
      <c r="B1589" s="936" t="s">
        <v>296</v>
      </c>
      <c r="C1589" s="603"/>
      <c r="D1589" s="581">
        <f t="shared" si="188"/>
        <v>0</v>
      </c>
      <c r="E1589" s="581">
        <f t="shared" si="191"/>
        <v>0</v>
      </c>
      <c r="F1589" s="863" t="e">
        <f t="shared" si="194"/>
        <v>#DIV/0!</v>
      </c>
      <c r="G1589" s="693"/>
      <c r="H1589" s="581"/>
      <c r="I1589" s="886"/>
      <c r="J1589" s="586"/>
      <c r="K1589" s="581"/>
      <c r="L1589" s="649"/>
      <c r="M1589" s="693"/>
      <c r="N1589" s="581"/>
      <c r="O1589" s="886" t="e">
        <f t="shared" si="195"/>
        <v>#DIV/0!</v>
      </c>
      <c r="P1589" s="586"/>
      <c r="Q1589" s="581"/>
      <c r="R1589" s="761"/>
    </row>
    <row r="1590" spans="1:18" ht="29.25" customHeight="1" hidden="1">
      <c r="A1590" s="647">
        <v>4018</v>
      </c>
      <c r="B1590" s="936" t="s">
        <v>181</v>
      </c>
      <c r="C1590" s="603"/>
      <c r="D1590" s="581">
        <f t="shared" si="188"/>
        <v>0</v>
      </c>
      <c r="E1590" s="581">
        <f t="shared" si="191"/>
        <v>0</v>
      </c>
      <c r="F1590" s="863" t="e">
        <f t="shared" si="194"/>
        <v>#DIV/0!</v>
      </c>
      <c r="G1590" s="693"/>
      <c r="H1590" s="581"/>
      <c r="I1590" s="886"/>
      <c r="J1590" s="586"/>
      <c r="K1590" s="581"/>
      <c r="L1590" s="649"/>
      <c r="M1590" s="693"/>
      <c r="N1590" s="581"/>
      <c r="O1590" s="886" t="e">
        <f t="shared" si="195"/>
        <v>#DIV/0!</v>
      </c>
      <c r="P1590" s="586"/>
      <c r="Q1590" s="581"/>
      <c r="R1590" s="761"/>
    </row>
    <row r="1591" spans="1:18" ht="24.75" customHeight="1" hidden="1">
      <c r="A1591" s="647">
        <v>4019</v>
      </c>
      <c r="B1591" s="936" t="s">
        <v>181</v>
      </c>
      <c r="C1591" s="603"/>
      <c r="D1591" s="581">
        <f t="shared" si="188"/>
        <v>0</v>
      </c>
      <c r="E1591" s="581">
        <f t="shared" si="191"/>
        <v>0</v>
      </c>
      <c r="F1591" s="863" t="e">
        <f t="shared" si="194"/>
        <v>#DIV/0!</v>
      </c>
      <c r="G1591" s="693"/>
      <c r="H1591" s="581"/>
      <c r="I1591" s="886"/>
      <c r="J1591" s="586"/>
      <c r="K1591" s="581"/>
      <c r="L1591" s="649"/>
      <c r="M1591" s="693"/>
      <c r="N1591" s="581"/>
      <c r="O1591" s="886" t="e">
        <f t="shared" si="195"/>
        <v>#DIV/0!</v>
      </c>
      <c r="P1591" s="586"/>
      <c r="Q1591" s="581"/>
      <c r="R1591" s="761"/>
    </row>
    <row r="1592" spans="1:18" ht="36.75" hidden="1" thickBot="1">
      <c r="A1592" s="647">
        <v>4110</v>
      </c>
      <c r="B1592" s="651" t="s">
        <v>187</v>
      </c>
      <c r="C1592" s="603"/>
      <c r="D1592" s="581">
        <f t="shared" si="188"/>
        <v>0</v>
      </c>
      <c r="E1592" s="581">
        <f t="shared" si="191"/>
        <v>0</v>
      </c>
      <c r="F1592" s="863" t="e">
        <f t="shared" si="194"/>
        <v>#DIV/0!</v>
      </c>
      <c r="G1592" s="693"/>
      <c r="H1592" s="581"/>
      <c r="I1592" s="886"/>
      <c r="J1592" s="586"/>
      <c r="K1592" s="581"/>
      <c r="L1592" s="649"/>
      <c r="M1592" s="693"/>
      <c r="N1592" s="581"/>
      <c r="O1592" s="886" t="e">
        <f t="shared" si="195"/>
        <v>#DIV/0!</v>
      </c>
      <c r="P1592" s="586"/>
      <c r="Q1592" s="581"/>
      <c r="R1592" s="761"/>
    </row>
    <row r="1593" spans="1:18" ht="36.75" hidden="1" thickBot="1">
      <c r="A1593" s="647">
        <v>4118</v>
      </c>
      <c r="B1593" s="651" t="s">
        <v>187</v>
      </c>
      <c r="C1593" s="603"/>
      <c r="D1593" s="581">
        <f t="shared" si="188"/>
        <v>0</v>
      </c>
      <c r="E1593" s="581">
        <f t="shared" si="191"/>
        <v>0</v>
      </c>
      <c r="F1593" s="863" t="e">
        <f t="shared" si="194"/>
        <v>#DIV/0!</v>
      </c>
      <c r="G1593" s="693"/>
      <c r="H1593" s="581"/>
      <c r="I1593" s="886"/>
      <c r="J1593" s="586"/>
      <c r="K1593" s="581"/>
      <c r="L1593" s="649"/>
      <c r="M1593" s="693"/>
      <c r="N1593" s="581"/>
      <c r="O1593" s="886" t="e">
        <f t="shared" si="195"/>
        <v>#DIV/0!</v>
      </c>
      <c r="P1593" s="586"/>
      <c r="Q1593" s="581"/>
      <c r="R1593" s="761"/>
    </row>
    <row r="1594" spans="1:26" s="639" customFormat="1" ht="36.75" hidden="1" thickBot="1">
      <c r="A1594" s="647">
        <v>4119</v>
      </c>
      <c r="B1594" s="651" t="s">
        <v>187</v>
      </c>
      <c r="C1594" s="603"/>
      <c r="D1594" s="581">
        <f t="shared" si="188"/>
        <v>0</v>
      </c>
      <c r="E1594" s="581">
        <f t="shared" si="191"/>
        <v>0</v>
      </c>
      <c r="F1594" s="863" t="e">
        <f t="shared" si="194"/>
        <v>#DIV/0!</v>
      </c>
      <c r="G1594" s="693"/>
      <c r="H1594" s="581"/>
      <c r="I1594" s="886"/>
      <c r="J1594" s="586"/>
      <c r="K1594" s="581"/>
      <c r="L1594" s="587"/>
      <c r="M1594" s="693"/>
      <c r="N1594" s="581"/>
      <c r="O1594" s="886" t="e">
        <f t="shared" si="195"/>
        <v>#DIV/0!</v>
      </c>
      <c r="P1594" s="586"/>
      <c r="Q1594" s="581"/>
      <c r="R1594" s="582"/>
      <c r="S1594" s="564"/>
      <c r="T1594" s="564"/>
      <c r="U1594" s="564"/>
      <c r="V1594" s="564"/>
      <c r="W1594" s="565"/>
      <c r="X1594" s="565"/>
      <c r="Y1594" s="565"/>
      <c r="Z1594" s="565"/>
    </row>
    <row r="1595" spans="1:26" s="639" customFormat="1" ht="13.5" hidden="1" thickBot="1">
      <c r="A1595" s="647">
        <v>4120</v>
      </c>
      <c r="B1595" s="651" t="s">
        <v>619</v>
      </c>
      <c r="C1595" s="603"/>
      <c r="D1595" s="581">
        <f t="shared" si="188"/>
        <v>0</v>
      </c>
      <c r="E1595" s="581">
        <f t="shared" si="191"/>
        <v>0</v>
      </c>
      <c r="F1595" s="863" t="e">
        <f t="shared" si="194"/>
        <v>#DIV/0!</v>
      </c>
      <c r="G1595" s="693"/>
      <c r="H1595" s="581"/>
      <c r="I1595" s="886"/>
      <c r="J1595" s="586"/>
      <c r="K1595" s="581"/>
      <c r="L1595" s="587"/>
      <c r="M1595" s="693"/>
      <c r="N1595" s="581"/>
      <c r="O1595" s="886" t="e">
        <f t="shared" si="195"/>
        <v>#DIV/0!</v>
      </c>
      <c r="P1595" s="586"/>
      <c r="Q1595" s="581"/>
      <c r="R1595" s="582"/>
      <c r="S1595" s="564"/>
      <c r="T1595" s="564"/>
      <c r="U1595" s="564"/>
      <c r="V1595" s="564"/>
      <c r="W1595" s="565"/>
      <c r="X1595" s="565"/>
      <c r="Y1595" s="565"/>
      <c r="Z1595" s="565"/>
    </row>
    <row r="1596" spans="1:26" s="639" customFormat="1" ht="13.5" hidden="1" thickBot="1">
      <c r="A1596" s="647">
        <v>4128</v>
      </c>
      <c r="B1596" s="651" t="s">
        <v>619</v>
      </c>
      <c r="C1596" s="603"/>
      <c r="D1596" s="581">
        <f t="shared" si="188"/>
        <v>0</v>
      </c>
      <c r="E1596" s="581">
        <f t="shared" si="191"/>
        <v>0</v>
      </c>
      <c r="F1596" s="863" t="e">
        <f t="shared" si="194"/>
        <v>#DIV/0!</v>
      </c>
      <c r="G1596" s="693"/>
      <c r="H1596" s="581"/>
      <c r="I1596" s="886"/>
      <c r="J1596" s="586"/>
      <c r="K1596" s="581"/>
      <c r="L1596" s="587"/>
      <c r="M1596" s="693"/>
      <c r="N1596" s="581"/>
      <c r="O1596" s="886" t="e">
        <f t="shared" si="195"/>
        <v>#DIV/0!</v>
      </c>
      <c r="P1596" s="586"/>
      <c r="Q1596" s="581"/>
      <c r="R1596" s="582"/>
      <c r="S1596" s="564"/>
      <c r="T1596" s="564"/>
      <c r="U1596" s="564"/>
      <c r="V1596" s="564"/>
      <c r="W1596" s="565"/>
      <c r="X1596" s="565"/>
      <c r="Y1596" s="565"/>
      <c r="Z1596" s="565"/>
    </row>
    <row r="1597" spans="1:26" s="639" customFormat="1" ht="13.5" hidden="1" thickBot="1">
      <c r="A1597" s="647">
        <v>4129</v>
      </c>
      <c r="B1597" s="651" t="s">
        <v>619</v>
      </c>
      <c r="C1597" s="603"/>
      <c r="D1597" s="581">
        <f t="shared" si="188"/>
        <v>0</v>
      </c>
      <c r="E1597" s="581">
        <f t="shared" si="191"/>
        <v>0</v>
      </c>
      <c r="F1597" s="863" t="e">
        <f t="shared" si="194"/>
        <v>#DIV/0!</v>
      </c>
      <c r="G1597" s="693"/>
      <c r="H1597" s="581"/>
      <c r="I1597" s="886"/>
      <c r="J1597" s="586"/>
      <c r="K1597" s="581"/>
      <c r="L1597" s="587"/>
      <c r="M1597" s="693"/>
      <c r="N1597" s="581"/>
      <c r="O1597" s="886" t="e">
        <f t="shared" si="195"/>
        <v>#DIV/0!</v>
      </c>
      <c r="P1597" s="586"/>
      <c r="Q1597" s="581"/>
      <c r="R1597" s="582"/>
      <c r="S1597" s="564"/>
      <c r="T1597" s="564"/>
      <c r="U1597" s="564"/>
      <c r="V1597" s="564"/>
      <c r="W1597" s="565"/>
      <c r="X1597" s="565"/>
      <c r="Y1597" s="565"/>
      <c r="Z1597" s="565"/>
    </row>
    <row r="1598" spans="1:26" s="639" customFormat="1" ht="24.75" hidden="1" thickBot="1">
      <c r="A1598" s="647">
        <v>4170</v>
      </c>
      <c r="B1598" s="651" t="s">
        <v>221</v>
      </c>
      <c r="C1598" s="603"/>
      <c r="D1598" s="581">
        <f t="shared" si="188"/>
        <v>0</v>
      </c>
      <c r="E1598" s="581">
        <f t="shared" si="191"/>
        <v>0</v>
      </c>
      <c r="F1598" s="863" t="e">
        <f t="shared" si="194"/>
        <v>#DIV/0!</v>
      </c>
      <c r="G1598" s="693"/>
      <c r="H1598" s="581"/>
      <c r="I1598" s="886"/>
      <c r="J1598" s="586"/>
      <c r="K1598" s="581"/>
      <c r="L1598" s="587"/>
      <c r="M1598" s="693"/>
      <c r="N1598" s="581"/>
      <c r="O1598" s="886" t="e">
        <f t="shared" si="195"/>
        <v>#DIV/0!</v>
      </c>
      <c r="P1598" s="586"/>
      <c r="Q1598" s="581"/>
      <c r="R1598" s="582"/>
      <c r="S1598" s="564"/>
      <c r="T1598" s="564"/>
      <c r="U1598" s="564"/>
      <c r="V1598" s="564"/>
      <c r="W1598" s="565"/>
      <c r="X1598" s="565"/>
      <c r="Y1598" s="565"/>
      <c r="Z1598" s="565"/>
    </row>
    <row r="1599" spans="1:26" s="639" customFormat="1" ht="23.25" customHeight="1" hidden="1">
      <c r="A1599" s="647">
        <v>4178</v>
      </c>
      <c r="B1599" s="651" t="s">
        <v>221</v>
      </c>
      <c r="C1599" s="603"/>
      <c r="D1599" s="581">
        <f t="shared" si="188"/>
        <v>0</v>
      </c>
      <c r="E1599" s="581">
        <f t="shared" si="191"/>
        <v>0</v>
      </c>
      <c r="F1599" s="867" t="e">
        <f t="shared" si="194"/>
        <v>#DIV/0!</v>
      </c>
      <c r="G1599" s="693"/>
      <c r="H1599" s="581"/>
      <c r="I1599" s="886"/>
      <c r="J1599" s="586"/>
      <c r="K1599" s="581"/>
      <c r="L1599" s="587"/>
      <c r="M1599" s="693"/>
      <c r="N1599" s="581"/>
      <c r="O1599" s="886" t="e">
        <f t="shared" si="195"/>
        <v>#DIV/0!</v>
      </c>
      <c r="P1599" s="586"/>
      <c r="Q1599" s="581"/>
      <c r="R1599" s="582"/>
      <c r="S1599" s="564"/>
      <c r="T1599" s="564"/>
      <c r="U1599" s="564"/>
      <c r="V1599" s="564"/>
      <c r="W1599" s="565"/>
      <c r="X1599" s="565"/>
      <c r="Y1599" s="565"/>
      <c r="Z1599" s="565"/>
    </row>
    <row r="1600" spans="1:26" s="639" customFormat="1" ht="24.75" hidden="1" thickBot="1">
      <c r="A1600" s="647">
        <v>4179</v>
      </c>
      <c r="B1600" s="651" t="s">
        <v>221</v>
      </c>
      <c r="C1600" s="603"/>
      <c r="D1600" s="581">
        <f t="shared" si="188"/>
        <v>0</v>
      </c>
      <c r="E1600" s="581">
        <f t="shared" si="191"/>
        <v>0</v>
      </c>
      <c r="F1600" s="867" t="e">
        <f t="shared" si="194"/>
        <v>#DIV/0!</v>
      </c>
      <c r="G1600" s="693"/>
      <c r="H1600" s="581"/>
      <c r="I1600" s="886"/>
      <c r="J1600" s="586"/>
      <c r="K1600" s="581"/>
      <c r="L1600" s="587"/>
      <c r="M1600" s="693"/>
      <c r="N1600" s="581"/>
      <c r="O1600" s="886" t="e">
        <f t="shared" si="195"/>
        <v>#DIV/0!</v>
      </c>
      <c r="P1600" s="586"/>
      <c r="Q1600" s="581"/>
      <c r="R1600" s="582"/>
      <c r="S1600" s="564"/>
      <c r="T1600" s="564"/>
      <c r="U1600" s="564"/>
      <c r="V1600" s="564"/>
      <c r="W1600" s="565"/>
      <c r="X1600" s="565"/>
      <c r="Y1600" s="565"/>
      <c r="Z1600" s="565"/>
    </row>
    <row r="1601" spans="1:26" s="639" customFormat="1" ht="24.75" hidden="1" thickBot="1">
      <c r="A1601" s="647">
        <v>4210</v>
      </c>
      <c r="B1601" s="651" t="s">
        <v>297</v>
      </c>
      <c r="C1601" s="603"/>
      <c r="D1601" s="581">
        <f t="shared" si="188"/>
        <v>0</v>
      </c>
      <c r="E1601" s="581">
        <f t="shared" si="191"/>
        <v>0</v>
      </c>
      <c r="F1601" s="867" t="e">
        <f t="shared" si="194"/>
        <v>#DIV/0!</v>
      </c>
      <c r="G1601" s="693"/>
      <c r="H1601" s="581"/>
      <c r="I1601" s="886"/>
      <c r="J1601" s="586"/>
      <c r="K1601" s="581"/>
      <c r="L1601" s="587"/>
      <c r="M1601" s="693"/>
      <c r="N1601" s="581"/>
      <c r="O1601" s="886" t="e">
        <f t="shared" si="195"/>
        <v>#DIV/0!</v>
      </c>
      <c r="P1601" s="586"/>
      <c r="Q1601" s="581"/>
      <c r="R1601" s="582"/>
      <c r="S1601" s="564"/>
      <c r="T1601" s="564"/>
      <c r="U1601" s="564"/>
      <c r="V1601" s="564"/>
      <c r="W1601" s="565"/>
      <c r="X1601" s="565"/>
      <c r="Y1601" s="565"/>
      <c r="Z1601" s="565"/>
    </row>
    <row r="1602" spans="1:26" s="639" customFormat="1" ht="24.75" hidden="1" thickBot="1">
      <c r="A1602" s="647">
        <v>4218</v>
      </c>
      <c r="B1602" s="651" t="s">
        <v>297</v>
      </c>
      <c r="C1602" s="603"/>
      <c r="D1602" s="581">
        <f t="shared" si="188"/>
        <v>0</v>
      </c>
      <c r="E1602" s="581">
        <f t="shared" si="191"/>
        <v>0</v>
      </c>
      <c r="F1602" s="867" t="e">
        <f t="shared" si="194"/>
        <v>#DIV/0!</v>
      </c>
      <c r="G1602" s="693"/>
      <c r="H1602" s="581"/>
      <c r="I1602" s="886"/>
      <c r="J1602" s="586"/>
      <c r="K1602" s="581"/>
      <c r="L1602" s="587"/>
      <c r="M1602" s="693"/>
      <c r="N1602" s="581"/>
      <c r="O1602" s="886" t="e">
        <f t="shared" si="195"/>
        <v>#DIV/0!</v>
      </c>
      <c r="P1602" s="586"/>
      <c r="Q1602" s="581"/>
      <c r="R1602" s="582"/>
      <c r="S1602" s="564"/>
      <c r="T1602" s="564"/>
      <c r="U1602" s="564"/>
      <c r="V1602" s="564"/>
      <c r="W1602" s="565"/>
      <c r="X1602" s="565"/>
      <c r="Y1602" s="565"/>
      <c r="Z1602" s="565"/>
    </row>
    <row r="1603" spans="1:26" s="639" customFormat="1" ht="24.75" hidden="1" thickBot="1">
      <c r="A1603" s="647">
        <v>4219</v>
      </c>
      <c r="B1603" s="651" t="s">
        <v>297</v>
      </c>
      <c r="C1603" s="603"/>
      <c r="D1603" s="581">
        <f t="shared" si="188"/>
        <v>0</v>
      </c>
      <c r="E1603" s="581">
        <f t="shared" si="191"/>
        <v>0</v>
      </c>
      <c r="F1603" s="867" t="e">
        <f t="shared" si="194"/>
        <v>#DIV/0!</v>
      </c>
      <c r="G1603" s="693"/>
      <c r="H1603" s="581"/>
      <c r="I1603" s="886"/>
      <c r="J1603" s="586"/>
      <c r="K1603" s="581"/>
      <c r="L1603" s="587"/>
      <c r="M1603" s="693"/>
      <c r="N1603" s="581"/>
      <c r="O1603" s="886" t="e">
        <f t="shared" si="195"/>
        <v>#DIV/0!</v>
      </c>
      <c r="P1603" s="586"/>
      <c r="Q1603" s="581"/>
      <c r="R1603" s="582"/>
      <c r="S1603" s="564"/>
      <c r="T1603" s="564"/>
      <c r="U1603" s="564"/>
      <c r="V1603" s="564"/>
      <c r="W1603" s="565"/>
      <c r="X1603" s="565"/>
      <c r="Y1603" s="565"/>
      <c r="Z1603" s="565"/>
    </row>
    <row r="1604" spans="1:26" s="639" customFormat="1" ht="48.75" hidden="1" thickBot="1">
      <c r="A1604" s="647">
        <v>4248</v>
      </c>
      <c r="B1604" s="651" t="s">
        <v>608</v>
      </c>
      <c r="C1604" s="603"/>
      <c r="D1604" s="581">
        <f t="shared" si="188"/>
        <v>0</v>
      </c>
      <c r="E1604" s="581">
        <f t="shared" si="191"/>
        <v>0</v>
      </c>
      <c r="F1604" s="867" t="e">
        <f t="shared" si="194"/>
        <v>#DIV/0!</v>
      </c>
      <c r="G1604" s="693"/>
      <c r="H1604" s="581"/>
      <c r="I1604" s="886"/>
      <c r="J1604" s="586"/>
      <c r="K1604" s="581"/>
      <c r="L1604" s="587"/>
      <c r="M1604" s="693"/>
      <c r="N1604" s="581"/>
      <c r="O1604" s="886" t="e">
        <f t="shared" si="195"/>
        <v>#DIV/0!</v>
      </c>
      <c r="P1604" s="586"/>
      <c r="Q1604" s="581"/>
      <c r="R1604" s="582"/>
      <c r="S1604" s="564"/>
      <c r="T1604" s="564"/>
      <c r="U1604" s="564"/>
      <c r="V1604" s="564"/>
      <c r="W1604" s="565"/>
      <c r="X1604" s="565"/>
      <c r="Y1604" s="565"/>
      <c r="Z1604" s="565"/>
    </row>
    <row r="1605" spans="1:26" s="639" customFormat="1" ht="48.75" hidden="1" thickBot="1">
      <c r="A1605" s="647">
        <v>4249</v>
      </c>
      <c r="B1605" s="651" t="s">
        <v>608</v>
      </c>
      <c r="C1605" s="603"/>
      <c r="D1605" s="581">
        <f t="shared" si="188"/>
        <v>0</v>
      </c>
      <c r="E1605" s="581">
        <f t="shared" si="191"/>
        <v>0</v>
      </c>
      <c r="F1605" s="867" t="e">
        <f t="shared" si="194"/>
        <v>#DIV/0!</v>
      </c>
      <c r="G1605" s="693"/>
      <c r="H1605" s="581"/>
      <c r="I1605" s="886"/>
      <c r="J1605" s="586"/>
      <c r="K1605" s="581"/>
      <c r="L1605" s="587"/>
      <c r="M1605" s="693"/>
      <c r="N1605" s="581"/>
      <c r="O1605" s="886" t="e">
        <f t="shared" si="195"/>
        <v>#DIV/0!</v>
      </c>
      <c r="P1605" s="586"/>
      <c r="Q1605" s="581"/>
      <c r="R1605" s="582"/>
      <c r="S1605" s="564"/>
      <c r="T1605" s="564"/>
      <c r="U1605" s="564"/>
      <c r="V1605" s="564"/>
      <c r="W1605" s="565"/>
      <c r="X1605" s="565"/>
      <c r="Y1605" s="565"/>
      <c r="Z1605" s="565"/>
    </row>
    <row r="1606" spans="1:26" s="639" customFormat="1" ht="24.75" hidden="1" thickBot="1">
      <c r="A1606" s="647">
        <v>4300</v>
      </c>
      <c r="B1606" s="828" t="s">
        <v>583</v>
      </c>
      <c r="C1606" s="603"/>
      <c r="D1606" s="581">
        <f t="shared" si="188"/>
        <v>0</v>
      </c>
      <c r="E1606" s="581">
        <f t="shared" si="191"/>
        <v>0</v>
      </c>
      <c r="F1606" s="867" t="e">
        <f t="shared" si="194"/>
        <v>#DIV/0!</v>
      </c>
      <c r="G1606" s="693"/>
      <c r="H1606" s="581"/>
      <c r="I1606" s="886"/>
      <c r="J1606" s="586"/>
      <c r="K1606" s="581"/>
      <c r="L1606" s="587"/>
      <c r="M1606" s="693"/>
      <c r="N1606" s="581"/>
      <c r="O1606" s="886" t="e">
        <f t="shared" si="195"/>
        <v>#DIV/0!</v>
      </c>
      <c r="P1606" s="586"/>
      <c r="Q1606" s="581"/>
      <c r="R1606" s="582"/>
      <c r="S1606" s="564"/>
      <c r="T1606" s="564"/>
      <c r="U1606" s="564"/>
      <c r="V1606" s="564"/>
      <c r="W1606" s="565"/>
      <c r="X1606" s="565"/>
      <c r="Y1606" s="565"/>
      <c r="Z1606" s="565"/>
    </row>
    <row r="1607" spans="1:26" s="639" customFormat="1" ht="24.75" hidden="1" thickBot="1">
      <c r="A1607" s="647">
        <v>4308</v>
      </c>
      <c r="B1607" s="828" t="s">
        <v>583</v>
      </c>
      <c r="C1607" s="693"/>
      <c r="D1607" s="581">
        <f t="shared" si="188"/>
        <v>0</v>
      </c>
      <c r="E1607" s="581">
        <f t="shared" si="191"/>
        <v>0</v>
      </c>
      <c r="F1607" s="867" t="e">
        <f t="shared" si="194"/>
        <v>#DIV/0!</v>
      </c>
      <c r="G1607" s="693"/>
      <c r="H1607" s="581"/>
      <c r="I1607" s="886"/>
      <c r="J1607" s="586"/>
      <c r="K1607" s="581"/>
      <c r="L1607" s="587"/>
      <c r="M1607" s="693"/>
      <c r="N1607" s="581"/>
      <c r="O1607" s="886" t="e">
        <f t="shared" si="195"/>
        <v>#DIV/0!</v>
      </c>
      <c r="P1607" s="586"/>
      <c r="Q1607" s="581"/>
      <c r="R1607" s="582"/>
      <c r="S1607" s="564"/>
      <c r="T1607" s="564"/>
      <c r="U1607" s="564"/>
      <c r="V1607" s="564"/>
      <c r="W1607" s="565"/>
      <c r="X1607" s="565"/>
      <c r="Y1607" s="565"/>
      <c r="Z1607" s="565"/>
    </row>
    <row r="1608" spans="1:26" s="639" customFormat="1" ht="24.75" hidden="1" thickBot="1">
      <c r="A1608" s="647">
        <v>4309</v>
      </c>
      <c r="B1608" s="828" t="s">
        <v>583</v>
      </c>
      <c r="C1608" s="693"/>
      <c r="D1608" s="581">
        <f t="shared" si="188"/>
        <v>0</v>
      </c>
      <c r="E1608" s="581">
        <f t="shared" si="191"/>
        <v>0</v>
      </c>
      <c r="F1608" s="867" t="e">
        <f t="shared" si="194"/>
        <v>#DIV/0!</v>
      </c>
      <c r="G1608" s="693"/>
      <c r="H1608" s="581"/>
      <c r="I1608" s="886"/>
      <c r="J1608" s="586"/>
      <c r="K1608" s="581"/>
      <c r="L1608" s="587"/>
      <c r="M1608" s="693"/>
      <c r="N1608" s="581"/>
      <c r="O1608" s="886" t="e">
        <f t="shared" si="195"/>
        <v>#DIV/0!</v>
      </c>
      <c r="P1608" s="586"/>
      <c r="Q1608" s="581"/>
      <c r="R1608" s="582"/>
      <c r="S1608" s="564"/>
      <c r="T1608" s="564"/>
      <c r="U1608" s="564"/>
      <c r="V1608" s="564"/>
      <c r="W1608" s="565"/>
      <c r="X1608" s="565"/>
      <c r="Y1608" s="565"/>
      <c r="Z1608" s="565"/>
    </row>
    <row r="1609" spans="1:26" s="639" customFormat="1" ht="13.5" hidden="1" thickBot="1">
      <c r="A1609" s="647">
        <v>4430</v>
      </c>
      <c r="B1609" s="651" t="s">
        <v>201</v>
      </c>
      <c r="C1609" s="603"/>
      <c r="D1609" s="581">
        <f t="shared" si="188"/>
        <v>0</v>
      </c>
      <c r="E1609" s="581">
        <f>SUM(H1609+K1609+N1609+Q1609)</f>
        <v>0</v>
      </c>
      <c r="F1609" s="867" t="e">
        <f>E1609/D1609*100</f>
        <v>#DIV/0!</v>
      </c>
      <c r="G1609" s="693"/>
      <c r="H1609" s="581"/>
      <c r="I1609" s="886"/>
      <c r="J1609" s="586"/>
      <c r="K1609" s="581"/>
      <c r="L1609" s="587"/>
      <c r="M1609" s="693"/>
      <c r="N1609" s="581"/>
      <c r="O1609" s="886" t="e">
        <f t="shared" si="195"/>
        <v>#DIV/0!</v>
      </c>
      <c r="P1609" s="586"/>
      <c r="Q1609" s="581"/>
      <c r="R1609" s="582"/>
      <c r="S1609" s="564"/>
      <c r="T1609" s="564"/>
      <c r="U1609" s="564"/>
      <c r="V1609" s="564"/>
      <c r="W1609" s="565"/>
      <c r="X1609" s="565"/>
      <c r="Y1609" s="565"/>
      <c r="Z1609" s="565"/>
    </row>
    <row r="1610" spans="1:26" s="639" customFormat="1" ht="60.75" hidden="1" thickBot="1">
      <c r="A1610" s="647">
        <v>4748</v>
      </c>
      <c r="B1610" s="712" t="s">
        <v>215</v>
      </c>
      <c r="C1610" s="603"/>
      <c r="D1610" s="581">
        <f t="shared" si="188"/>
        <v>0</v>
      </c>
      <c r="E1610" s="581">
        <f t="shared" si="191"/>
        <v>0</v>
      </c>
      <c r="F1610" s="867" t="e">
        <f t="shared" si="194"/>
        <v>#DIV/0!</v>
      </c>
      <c r="G1610" s="693"/>
      <c r="H1610" s="581"/>
      <c r="I1610" s="886"/>
      <c r="J1610" s="586"/>
      <c r="K1610" s="581"/>
      <c r="L1610" s="587"/>
      <c r="M1610" s="693"/>
      <c r="N1610" s="581"/>
      <c r="O1610" s="886" t="e">
        <f t="shared" si="195"/>
        <v>#DIV/0!</v>
      </c>
      <c r="P1610" s="586"/>
      <c r="Q1610" s="581"/>
      <c r="R1610" s="582"/>
      <c r="S1610" s="564"/>
      <c r="T1610" s="564"/>
      <c r="U1610" s="564"/>
      <c r="V1610" s="564"/>
      <c r="W1610" s="565"/>
      <c r="X1610" s="565"/>
      <c r="Y1610" s="565"/>
      <c r="Z1610" s="565"/>
    </row>
    <row r="1611" spans="1:26" s="639" customFormat="1" ht="60.75" hidden="1" thickBot="1">
      <c r="A1611" s="647">
        <v>4749</v>
      </c>
      <c r="B1611" s="712" t="s">
        <v>215</v>
      </c>
      <c r="C1611" s="603"/>
      <c r="D1611" s="581">
        <f t="shared" si="188"/>
        <v>0</v>
      </c>
      <c r="E1611" s="581">
        <f t="shared" si="191"/>
        <v>0</v>
      </c>
      <c r="F1611" s="867" t="e">
        <f t="shared" si="194"/>
        <v>#DIV/0!</v>
      </c>
      <c r="G1611" s="693"/>
      <c r="H1611" s="581"/>
      <c r="I1611" s="886"/>
      <c r="J1611" s="586"/>
      <c r="K1611" s="581"/>
      <c r="L1611" s="587"/>
      <c r="M1611" s="693"/>
      <c r="N1611" s="581"/>
      <c r="O1611" s="886" t="e">
        <f t="shared" si="195"/>
        <v>#DIV/0!</v>
      </c>
      <c r="P1611" s="586"/>
      <c r="Q1611" s="581"/>
      <c r="R1611" s="582"/>
      <c r="S1611" s="564"/>
      <c r="T1611" s="564"/>
      <c r="U1611" s="564"/>
      <c r="V1611" s="564"/>
      <c r="W1611" s="565"/>
      <c r="X1611" s="565"/>
      <c r="Y1611" s="565"/>
      <c r="Z1611" s="565"/>
    </row>
    <row r="1612" spans="1:26" s="639" customFormat="1" ht="36.75" hidden="1" thickBot="1">
      <c r="A1612" s="647">
        <v>4750</v>
      </c>
      <c r="B1612" s="712" t="s">
        <v>589</v>
      </c>
      <c r="C1612" s="603"/>
      <c r="D1612" s="581">
        <f t="shared" si="188"/>
        <v>0</v>
      </c>
      <c r="E1612" s="581">
        <f t="shared" si="191"/>
        <v>0</v>
      </c>
      <c r="F1612" s="867" t="e">
        <f>E1612/D1612*100</f>
        <v>#DIV/0!</v>
      </c>
      <c r="G1612" s="693"/>
      <c r="H1612" s="581"/>
      <c r="I1612" s="886"/>
      <c r="J1612" s="586"/>
      <c r="K1612" s="581"/>
      <c r="L1612" s="587"/>
      <c r="M1612" s="693"/>
      <c r="N1612" s="581"/>
      <c r="O1612" s="886" t="e">
        <f t="shared" si="195"/>
        <v>#DIV/0!</v>
      </c>
      <c r="P1612" s="586"/>
      <c r="Q1612" s="581"/>
      <c r="R1612" s="582"/>
      <c r="S1612" s="564"/>
      <c r="T1612" s="564"/>
      <c r="U1612" s="564"/>
      <c r="V1612" s="564"/>
      <c r="W1612" s="565"/>
      <c r="X1612" s="565"/>
      <c r="Y1612" s="565"/>
      <c r="Z1612" s="565"/>
    </row>
    <row r="1613" spans="1:26" s="639" customFormat="1" ht="36.75" hidden="1" thickBot="1">
      <c r="A1613" s="647">
        <v>4758</v>
      </c>
      <c r="B1613" s="712" t="s">
        <v>291</v>
      </c>
      <c r="C1613" s="603"/>
      <c r="D1613" s="581">
        <f t="shared" si="188"/>
        <v>0</v>
      </c>
      <c r="E1613" s="581"/>
      <c r="F1613" s="867"/>
      <c r="G1613" s="693"/>
      <c r="H1613" s="581"/>
      <c r="I1613" s="886"/>
      <c r="J1613" s="586"/>
      <c r="K1613" s="581"/>
      <c r="L1613" s="587"/>
      <c r="M1613" s="772"/>
      <c r="N1613" s="581"/>
      <c r="O1613" s="886" t="e">
        <f t="shared" si="195"/>
        <v>#DIV/0!</v>
      </c>
      <c r="P1613" s="586"/>
      <c r="Q1613" s="581"/>
      <c r="R1613" s="582"/>
      <c r="S1613" s="564"/>
      <c r="T1613" s="564"/>
      <c r="U1613" s="564"/>
      <c r="V1613" s="564"/>
      <c r="W1613" s="565"/>
      <c r="X1613" s="565"/>
      <c r="Y1613" s="565"/>
      <c r="Z1613" s="565"/>
    </row>
    <row r="1614" spans="1:26" s="639" customFormat="1" ht="36.75" hidden="1" thickBot="1">
      <c r="A1614" s="647">
        <v>4759</v>
      </c>
      <c r="B1614" s="712" t="s">
        <v>291</v>
      </c>
      <c r="C1614" s="603"/>
      <c r="D1614" s="581">
        <f>G1614+J1614+P1614+M1614</f>
        <v>0</v>
      </c>
      <c r="E1614" s="581">
        <f>SUM(H1614+K1614+N1614+Q1614)</f>
        <v>0</v>
      </c>
      <c r="F1614" s="867" t="e">
        <f aca="true" t="shared" si="196" ref="F1614:F1652">E1614/D1614*100</f>
        <v>#DIV/0!</v>
      </c>
      <c r="G1614" s="693"/>
      <c r="H1614" s="581"/>
      <c r="I1614" s="886"/>
      <c r="J1614" s="586"/>
      <c r="K1614" s="581"/>
      <c r="L1614" s="587"/>
      <c r="M1614" s="772"/>
      <c r="N1614" s="581"/>
      <c r="O1614" s="886" t="e">
        <f t="shared" si="195"/>
        <v>#DIV/0!</v>
      </c>
      <c r="P1614" s="586"/>
      <c r="Q1614" s="581"/>
      <c r="R1614" s="582"/>
      <c r="S1614" s="564"/>
      <c r="T1614" s="564"/>
      <c r="U1614" s="564"/>
      <c r="V1614" s="564"/>
      <c r="W1614" s="565"/>
      <c r="X1614" s="565"/>
      <c r="Y1614" s="565"/>
      <c r="Z1614" s="565"/>
    </row>
    <row r="1615" spans="1:26" s="760" customFormat="1" ht="25.5" customHeight="1" thickBot="1" thickTop="1">
      <c r="A1615" s="937">
        <v>854</v>
      </c>
      <c r="B1615" s="927" t="s">
        <v>825</v>
      </c>
      <c r="C1615" s="634">
        <f>C1616+C1632+C1659+C1695+C1719+C1769+C1745+C1792+C1797+C1790</f>
        <v>11406150</v>
      </c>
      <c r="D1615" s="556">
        <f t="shared" si="188"/>
        <v>11827555</v>
      </c>
      <c r="E1615" s="556">
        <f>H1615+K1615+Q1615+N1615</f>
        <v>2869123</v>
      </c>
      <c r="F1615" s="635">
        <f t="shared" si="196"/>
        <v>24.257955257870286</v>
      </c>
      <c r="G1615" s="775">
        <f>G1616+G1632+G1659+G1695+G1719+G1745+G1769+G1792+G1797+G1790</f>
        <v>2210055</v>
      </c>
      <c r="H1615" s="556">
        <f>H1616+H1632+H1659+H1695+H1719+H1745+H1769+H1792+H1797+H1790</f>
        <v>443867</v>
      </c>
      <c r="I1615" s="557">
        <f aca="true" t="shared" si="197" ref="I1615:I1624">H1615/G1615*100</f>
        <v>20.083979810457205</v>
      </c>
      <c r="J1615" s="560"/>
      <c r="K1615" s="556"/>
      <c r="L1615" s="636"/>
      <c r="M1615" s="556">
        <f>M1616+M1632+M1659+M1695+M1719+M1745+M1769+M1792+M1797+M1790</f>
        <v>9617500</v>
      </c>
      <c r="N1615" s="556">
        <f>N1616+N1632+N1659+N1695+N1719+N1745+N1769+N1792+N1797+N1790</f>
        <v>2425256</v>
      </c>
      <c r="O1615" s="635">
        <f t="shared" si="195"/>
        <v>25.217114634780348</v>
      </c>
      <c r="P1615" s="556"/>
      <c r="Q1615" s="556"/>
      <c r="R1615" s="938"/>
      <c r="S1615" s="564"/>
      <c r="T1615" s="564"/>
      <c r="U1615" s="564"/>
      <c r="V1615" s="564"/>
      <c r="W1615" s="759"/>
      <c r="X1615" s="759"/>
      <c r="Y1615" s="759"/>
      <c r="Z1615" s="759"/>
    </row>
    <row r="1616" spans="1:26" s="639" customFormat="1" ht="15.75" customHeight="1" thickTop="1">
      <c r="A1616" s="719">
        <v>85401</v>
      </c>
      <c r="B1616" s="898" t="s">
        <v>826</v>
      </c>
      <c r="C1616" s="721">
        <f>SUM(C1617:C1631)</f>
        <v>1642100</v>
      </c>
      <c r="D1616" s="642">
        <f t="shared" si="188"/>
        <v>1642100</v>
      </c>
      <c r="E1616" s="642">
        <f>H1616+K1616+Q1616+N1616</f>
        <v>439915</v>
      </c>
      <c r="F1616" s="878">
        <f t="shared" si="196"/>
        <v>26.78978137750441</v>
      </c>
      <c r="G1616" s="721">
        <f>SUM(G1617:G1631)</f>
        <v>1374700</v>
      </c>
      <c r="H1616" s="642">
        <f>SUM(H1617:H1631)</f>
        <v>358642</v>
      </c>
      <c r="I1616" s="643">
        <f t="shared" si="197"/>
        <v>26.08874663562959</v>
      </c>
      <c r="J1616" s="723"/>
      <c r="K1616" s="642"/>
      <c r="L1616" s="763"/>
      <c r="M1616" s="642">
        <f>SUM(M1617:M1631)</f>
        <v>267400</v>
      </c>
      <c r="N1616" s="642">
        <f>SUM(N1617:N1631)</f>
        <v>81273</v>
      </c>
      <c r="O1616" s="644">
        <f t="shared" si="195"/>
        <v>30.393792071802544</v>
      </c>
      <c r="P1616" s="642"/>
      <c r="Q1616" s="642"/>
      <c r="R1616" s="846"/>
      <c r="S1616" s="564"/>
      <c r="T1616" s="564"/>
      <c r="U1616" s="564"/>
      <c r="V1616" s="564"/>
      <c r="W1616" s="565"/>
      <c r="X1616" s="565"/>
      <c r="Y1616" s="565"/>
      <c r="Z1616" s="565"/>
    </row>
    <row r="1617" spans="1:26" s="702" customFormat="1" ht="36">
      <c r="A1617" s="667">
        <v>3020</v>
      </c>
      <c r="B1617" s="875" t="s">
        <v>736</v>
      </c>
      <c r="C1617" s="606">
        <v>3700</v>
      </c>
      <c r="D1617" s="615">
        <f t="shared" si="188"/>
        <v>3700</v>
      </c>
      <c r="E1617" s="615">
        <f aca="true" t="shared" si="198" ref="E1617:E1631">SUM(H1617+K1617+N1617+Q1617)</f>
        <v>142</v>
      </c>
      <c r="F1617" s="872">
        <f t="shared" si="196"/>
        <v>3.8378378378378377</v>
      </c>
      <c r="G1617" s="606">
        <v>3400</v>
      </c>
      <c r="H1617" s="615">
        <v>142</v>
      </c>
      <c r="I1617" s="604">
        <f t="shared" si="197"/>
        <v>4.176470588235294</v>
      </c>
      <c r="J1617" s="618"/>
      <c r="K1617" s="615"/>
      <c r="L1617" s="619"/>
      <c r="M1617" s="615">
        <v>300</v>
      </c>
      <c r="N1617" s="615"/>
      <c r="O1617" s="669">
        <f t="shared" si="195"/>
        <v>0</v>
      </c>
      <c r="P1617" s="615"/>
      <c r="Q1617" s="615"/>
      <c r="R1617" s="885"/>
      <c r="S1617" s="700"/>
      <c r="T1617" s="700"/>
      <c r="U1617" s="700"/>
      <c r="V1617" s="700"/>
      <c r="W1617" s="701"/>
      <c r="X1617" s="701"/>
      <c r="Y1617" s="701"/>
      <c r="Z1617" s="701"/>
    </row>
    <row r="1618" spans="1:26" s="702" customFormat="1" ht="22.5" customHeight="1">
      <c r="A1618" s="647">
        <v>4010</v>
      </c>
      <c r="B1618" s="712" t="s">
        <v>181</v>
      </c>
      <c r="C1618" s="603">
        <v>1198700</v>
      </c>
      <c r="D1618" s="581">
        <f t="shared" si="188"/>
        <v>1198700</v>
      </c>
      <c r="E1618" s="581">
        <f t="shared" si="198"/>
        <v>298760</v>
      </c>
      <c r="F1618" s="582">
        <f t="shared" si="196"/>
        <v>24.923667306248436</v>
      </c>
      <c r="G1618" s="586">
        <v>1002100</v>
      </c>
      <c r="H1618" s="586">
        <v>243978</v>
      </c>
      <c r="I1618" s="627">
        <f t="shared" si="197"/>
        <v>24.34667198882347</v>
      </c>
      <c r="J1618" s="586"/>
      <c r="K1618" s="581"/>
      <c r="L1618" s="587"/>
      <c r="M1618" s="581">
        <v>196600</v>
      </c>
      <c r="N1618" s="581">
        <v>54782</v>
      </c>
      <c r="O1618" s="627">
        <f t="shared" si="195"/>
        <v>27.8646998982706</v>
      </c>
      <c r="P1618" s="581"/>
      <c r="Q1618" s="581"/>
      <c r="R1618" s="886"/>
      <c r="S1618" s="700"/>
      <c r="T1618" s="700"/>
      <c r="U1618" s="700"/>
      <c r="V1618" s="700"/>
      <c r="W1618" s="701"/>
      <c r="X1618" s="701"/>
      <c r="Y1618" s="701"/>
      <c r="Z1618" s="701"/>
    </row>
    <row r="1619" spans="1:26" s="702" customFormat="1" ht="24.75" customHeight="1">
      <c r="A1619" s="647">
        <v>4040</v>
      </c>
      <c r="B1619" s="828" t="s">
        <v>249</v>
      </c>
      <c r="C1619" s="603">
        <v>91000</v>
      </c>
      <c r="D1619" s="581">
        <f t="shared" si="188"/>
        <v>91000</v>
      </c>
      <c r="E1619" s="581">
        <f t="shared" si="198"/>
        <v>67384</v>
      </c>
      <c r="F1619" s="582">
        <f t="shared" si="196"/>
        <v>74.04835164835166</v>
      </c>
      <c r="G1619" s="581">
        <v>75100</v>
      </c>
      <c r="H1619" s="586">
        <v>54951</v>
      </c>
      <c r="I1619" s="627">
        <f t="shared" si="197"/>
        <v>73.17043941411453</v>
      </c>
      <c r="J1619" s="586"/>
      <c r="K1619" s="581"/>
      <c r="L1619" s="587"/>
      <c r="M1619" s="581">
        <v>15900</v>
      </c>
      <c r="N1619" s="581">
        <v>12433</v>
      </c>
      <c r="O1619" s="627">
        <f t="shared" si="195"/>
        <v>78.19496855345912</v>
      </c>
      <c r="P1619" s="581"/>
      <c r="Q1619" s="581"/>
      <c r="R1619" s="653"/>
      <c r="S1619" s="700"/>
      <c r="T1619" s="700"/>
      <c r="U1619" s="700"/>
      <c r="V1619" s="700"/>
      <c r="W1619" s="701"/>
      <c r="X1619" s="701"/>
      <c r="Y1619" s="701"/>
      <c r="Z1619" s="701"/>
    </row>
    <row r="1620" spans="1:26" s="702" customFormat="1" ht="25.5" customHeight="1">
      <c r="A1620" s="647">
        <v>4110</v>
      </c>
      <c r="B1620" s="828" t="s">
        <v>187</v>
      </c>
      <c r="C1620" s="603">
        <v>193200</v>
      </c>
      <c r="D1620" s="581">
        <f t="shared" si="188"/>
        <v>193200</v>
      </c>
      <c r="E1620" s="581">
        <f t="shared" si="198"/>
        <v>40778</v>
      </c>
      <c r="F1620" s="582">
        <f t="shared" si="196"/>
        <v>21.106625258799173</v>
      </c>
      <c r="G1620" s="581">
        <v>161900</v>
      </c>
      <c r="H1620" s="586">
        <v>33419</v>
      </c>
      <c r="I1620" s="627">
        <f t="shared" si="197"/>
        <v>20.641754169240272</v>
      </c>
      <c r="J1620" s="586"/>
      <c r="K1620" s="581"/>
      <c r="L1620" s="587"/>
      <c r="M1620" s="581">
        <v>31300</v>
      </c>
      <c r="N1620" s="581">
        <v>7359</v>
      </c>
      <c r="O1620" s="627">
        <f t="shared" si="195"/>
        <v>23.511182108626198</v>
      </c>
      <c r="P1620" s="581"/>
      <c r="Q1620" s="581"/>
      <c r="R1620" s="653"/>
      <c r="S1620" s="700"/>
      <c r="T1620" s="700"/>
      <c r="U1620" s="700"/>
      <c r="V1620" s="700"/>
      <c r="W1620" s="701"/>
      <c r="X1620" s="701"/>
      <c r="Y1620" s="701"/>
      <c r="Z1620" s="701"/>
    </row>
    <row r="1621" spans="1:26" s="702" customFormat="1" ht="12.75">
      <c r="A1621" s="647">
        <v>4120</v>
      </c>
      <c r="B1621" s="828" t="s">
        <v>619</v>
      </c>
      <c r="C1621" s="603">
        <v>31400</v>
      </c>
      <c r="D1621" s="581">
        <f t="shared" si="188"/>
        <v>31400</v>
      </c>
      <c r="E1621" s="581">
        <f t="shared" si="198"/>
        <v>6440</v>
      </c>
      <c r="F1621" s="582">
        <f t="shared" si="196"/>
        <v>20.50955414012739</v>
      </c>
      <c r="G1621" s="581">
        <v>26400</v>
      </c>
      <c r="H1621" s="586">
        <v>5232</v>
      </c>
      <c r="I1621" s="627">
        <f t="shared" si="197"/>
        <v>19.818181818181817</v>
      </c>
      <c r="J1621" s="586"/>
      <c r="K1621" s="581"/>
      <c r="L1621" s="587"/>
      <c r="M1621" s="581">
        <v>5000</v>
      </c>
      <c r="N1621" s="581">
        <v>1208</v>
      </c>
      <c r="O1621" s="627">
        <f t="shared" si="195"/>
        <v>24.16</v>
      </c>
      <c r="P1621" s="581"/>
      <c r="Q1621" s="581"/>
      <c r="R1621" s="653"/>
      <c r="S1621" s="700"/>
      <c r="T1621" s="700"/>
      <c r="U1621" s="700"/>
      <c r="V1621" s="700"/>
      <c r="W1621" s="701"/>
      <c r="X1621" s="701"/>
      <c r="Y1621" s="701"/>
      <c r="Z1621" s="701"/>
    </row>
    <row r="1622" spans="1:26" s="702" customFormat="1" ht="12.75">
      <c r="A1622" s="647">
        <v>4140</v>
      </c>
      <c r="B1622" s="828" t="s">
        <v>252</v>
      </c>
      <c r="C1622" s="603">
        <v>3100</v>
      </c>
      <c r="D1622" s="581">
        <f t="shared" si="188"/>
        <v>3100</v>
      </c>
      <c r="E1622" s="581">
        <f t="shared" si="198"/>
        <v>587</v>
      </c>
      <c r="F1622" s="582">
        <f t="shared" si="196"/>
        <v>18.935483870967744</v>
      </c>
      <c r="G1622" s="581">
        <v>3100</v>
      </c>
      <c r="H1622" s="586">
        <v>587</v>
      </c>
      <c r="I1622" s="627">
        <f t="shared" si="197"/>
        <v>18.935483870967744</v>
      </c>
      <c r="J1622" s="586"/>
      <c r="K1622" s="581"/>
      <c r="L1622" s="587"/>
      <c r="M1622" s="581"/>
      <c r="N1622" s="581"/>
      <c r="O1622" s="585"/>
      <c r="P1622" s="581"/>
      <c r="Q1622" s="581"/>
      <c r="R1622" s="653"/>
      <c r="S1622" s="700"/>
      <c r="T1622" s="700"/>
      <c r="U1622" s="700"/>
      <c r="V1622" s="700"/>
      <c r="W1622" s="701"/>
      <c r="X1622" s="701"/>
      <c r="Y1622" s="701"/>
      <c r="Z1622" s="701"/>
    </row>
    <row r="1623" spans="1:26" s="702" customFormat="1" ht="24">
      <c r="A1623" s="647">
        <v>4210</v>
      </c>
      <c r="B1623" s="828" t="s">
        <v>191</v>
      </c>
      <c r="C1623" s="603">
        <v>19100</v>
      </c>
      <c r="D1623" s="581">
        <f t="shared" si="188"/>
        <v>19100</v>
      </c>
      <c r="E1623" s="581">
        <f t="shared" si="198"/>
        <v>443</v>
      </c>
      <c r="F1623" s="582">
        <f t="shared" si="196"/>
        <v>2.319371727748691</v>
      </c>
      <c r="G1623" s="581">
        <v>17000</v>
      </c>
      <c r="H1623" s="586">
        <v>443</v>
      </c>
      <c r="I1623" s="627">
        <f t="shared" si="197"/>
        <v>2.6058823529411765</v>
      </c>
      <c r="J1623" s="586"/>
      <c r="K1623" s="581"/>
      <c r="L1623" s="587"/>
      <c r="M1623" s="581">
        <v>2100</v>
      </c>
      <c r="N1623" s="581"/>
      <c r="O1623" s="627">
        <f t="shared" si="195"/>
        <v>0</v>
      </c>
      <c r="P1623" s="581"/>
      <c r="Q1623" s="581"/>
      <c r="R1623" s="653"/>
      <c r="S1623" s="700"/>
      <c r="T1623" s="700"/>
      <c r="U1623" s="700"/>
      <c r="V1623" s="700"/>
      <c r="W1623" s="701"/>
      <c r="X1623" s="701"/>
      <c r="Y1623" s="701"/>
      <c r="Z1623" s="701"/>
    </row>
    <row r="1624" spans="1:26" s="702" customFormat="1" ht="23.25" customHeight="1">
      <c r="A1624" s="647">
        <v>4240</v>
      </c>
      <c r="B1624" s="828" t="s">
        <v>737</v>
      </c>
      <c r="C1624" s="603">
        <v>13400</v>
      </c>
      <c r="D1624" s="581">
        <f t="shared" si="188"/>
        <v>13400</v>
      </c>
      <c r="E1624" s="581">
        <f t="shared" si="198"/>
        <v>831</v>
      </c>
      <c r="F1624" s="582">
        <f t="shared" si="196"/>
        <v>6.201492537313433</v>
      </c>
      <c r="G1624" s="581">
        <v>12400</v>
      </c>
      <c r="H1624" s="586">
        <v>540</v>
      </c>
      <c r="I1624" s="627">
        <f t="shared" si="197"/>
        <v>4.354838709677419</v>
      </c>
      <c r="J1624" s="586"/>
      <c r="K1624" s="581"/>
      <c r="L1624" s="587"/>
      <c r="M1624" s="581">
        <v>1000</v>
      </c>
      <c r="N1624" s="581">
        <f>291</f>
        <v>291</v>
      </c>
      <c r="O1624" s="627">
        <f t="shared" si="195"/>
        <v>29.099999999999998</v>
      </c>
      <c r="P1624" s="581"/>
      <c r="Q1624" s="581"/>
      <c r="R1624" s="653"/>
      <c r="S1624" s="700"/>
      <c r="T1624" s="700"/>
      <c r="U1624" s="700"/>
      <c r="V1624" s="700"/>
      <c r="W1624" s="701"/>
      <c r="X1624" s="701"/>
      <c r="Y1624" s="701"/>
      <c r="Z1624" s="701"/>
    </row>
    <row r="1625" spans="1:26" s="702" customFormat="1" ht="15" customHeight="1">
      <c r="A1625" s="647">
        <v>4260</v>
      </c>
      <c r="B1625" s="828" t="s">
        <v>195</v>
      </c>
      <c r="C1625" s="603">
        <v>3100</v>
      </c>
      <c r="D1625" s="581">
        <f t="shared" si="188"/>
        <v>3100</v>
      </c>
      <c r="E1625" s="581">
        <f t="shared" si="198"/>
        <v>2000</v>
      </c>
      <c r="F1625" s="582">
        <f t="shared" si="196"/>
        <v>64.51612903225806</v>
      </c>
      <c r="G1625" s="581"/>
      <c r="H1625" s="586"/>
      <c r="I1625" s="627"/>
      <c r="J1625" s="586"/>
      <c r="K1625" s="581"/>
      <c r="L1625" s="587"/>
      <c r="M1625" s="581">
        <v>3100</v>
      </c>
      <c r="N1625" s="581">
        <v>2000</v>
      </c>
      <c r="O1625" s="627">
        <f t="shared" si="195"/>
        <v>64.51612903225806</v>
      </c>
      <c r="P1625" s="581"/>
      <c r="Q1625" s="581"/>
      <c r="R1625" s="653"/>
      <c r="S1625" s="700"/>
      <c r="T1625" s="700"/>
      <c r="U1625" s="700"/>
      <c r="V1625" s="700"/>
      <c r="W1625" s="701"/>
      <c r="X1625" s="701"/>
      <c r="Y1625" s="701"/>
      <c r="Z1625" s="701"/>
    </row>
    <row r="1626" spans="1:26" s="702" customFormat="1" ht="13.5" customHeight="1">
      <c r="A1626" s="647">
        <v>4270</v>
      </c>
      <c r="B1626" s="828" t="s">
        <v>197</v>
      </c>
      <c r="C1626" s="603">
        <v>300</v>
      </c>
      <c r="D1626" s="581">
        <f t="shared" si="188"/>
        <v>300</v>
      </c>
      <c r="E1626" s="581">
        <f t="shared" si="198"/>
        <v>0</v>
      </c>
      <c r="F1626" s="582">
        <f t="shared" si="196"/>
        <v>0</v>
      </c>
      <c r="G1626" s="581"/>
      <c r="H1626" s="586"/>
      <c r="I1626" s="627"/>
      <c r="J1626" s="586"/>
      <c r="K1626" s="581"/>
      <c r="L1626" s="587"/>
      <c r="M1626" s="581">
        <v>300</v>
      </c>
      <c r="N1626" s="581"/>
      <c r="O1626" s="627">
        <f t="shared" si="195"/>
        <v>0</v>
      </c>
      <c r="P1626" s="603"/>
      <c r="Q1626" s="581"/>
      <c r="R1626" s="653"/>
      <c r="S1626" s="700"/>
      <c r="T1626" s="700"/>
      <c r="U1626" s="700"/>
      <c r="V1626" s="700"/>
      <c r="W1626" s="701"/>
      <c r="X1626" s="701"/>
      <c r="Y1626" s="701"/>
      <c r="Z1626" s="701"/>
    </row>
    <row r="1627" spans="1:26" s="702" customFormat="1" ht="15.75" customHeight="1">
      <c r="A1627" s="647">
        <v>4280</v>
      </c>
      <c r="B1627" s="828" t="s">
        <v>582</v>
      </c>
      <c r="C1627" s="603">
        <v>100</v>
      </c>
      <c r="D1627" s="581">
        <f t="shared" si="188"/>
        <v>100</v>
      </c>
      <c r="E1627" s="581">
        <f t="shared" si="198"/>
        <v>0</v>
      </c>
      <c r="F1627" s="582">
        <f t="shared" si="196"/>
        <v>0</v>
      </c>
      <c r="G1627" s="581"/>
      <c r="H1627" s="586"/>
      <c r="I1627" s="627"/>
      <c r="J1627" s="586"/>
      <c r="K1627" s="581"/>
      <c r="L1627" s="587"/>
      <c r="M1627" s="581">
        <v>100</v>
      </c>
      <c r="N1627" s="581"/>
      <c r="O1627" s="627">
        <f t="shared" si="195"/>
        <v>0</v>
      </c>
      <c r="P1627" s="581"/>
      <c r="Q1627" s="581"/>
      <c r="R1627" s="653"/>
      <c r="S1627" s="700"/>
      <c r="T1627" s="700"/>
      <c r="U1627" s="700"/>
      <c r="V1627" s="700"/>
      <c r="W1627" s="701"/>
      <c r="X1627" s="701"/>
      <c r="Y1627" s="701"/>
      <c r="Z1627" s="701"/>
    </row>
    <row r="1628" spans="1:26" s="702" customFormat="1" ht="15.75" customHeight="1">
      <c r="A1628" s="647">
        <v>4300</v>
      </c>
      <c r="B1628" s="828" t="s">
        <v>199</v>
      </c>
      <c r="C1628" s="603">
        <v>1700</v>
      </c>
      <c r="D1628" s="581">
        <f t="shared" si="188"/>
        <v>1700</v>
      </c>
      <c r="E1628" s="581">
        <f>H1628+K1628+Q1628+N1628</f>
        <v>0</v>
      </c>
      <c r="F1628" s="582">
        <f t="shared" si="196"/>
        <v>0</v>
      </c>
      <c r="G1628" s="581"/>
      <c r="H1628" s="586"/>
      <c r="I1628" s="627"/>
      <c r="J1628" s="586"/>
      <c r="K1628" s="581"/>
      <c r="L1628" s="587"/>
      <c r="M1628" s="581">
        <v>1700</v>
      </c>
      <c r="N1628" s="581"/>
      <c r="O1628" s="627">
        <f t="shared" si="195"/>
        <v>0</v>
      </c>
      <c r="P1628" s="581"/>
      <c r="Q1628" s="581"/>
      <c r="R1628" s="653"/>
      <c r="S1628" s="700"/>
      <c r="T1628" s="700"/>
      <c r="U1628" s="700"/>
      <c r="V1628" s="700"/>
      <c r="W1628" s="701"/>
      <c r="X1628" s="701"/>
      <c r="Y1628" s="701"/>
      <c r="Z1628" s="701"/>
    </row>
    <row r="1629" spans="1:26" s="702" customFormat="1" ht="63" customHeight="1">
      <c r="A1629" s="647">
        <v>4370</v>
      </c>
      <c r="B1629" s="712" t="s">
        <v>432</v>
      </c>
      <c r="C1629" s="603">
        <v>200</v>
      </c>
      <c r="D1629" s="581">
        <f>G1629+J1629+P1629+M1629</f>
        <v>200</v>
      </c>
      <c r="E1629" s="581">
        <f>H1629+K1629+Q1629+N1629</f>
        <v>0</v>
      </c>
      <c r="F1629" s="582">
        <f>E1629/D1629*100</f>
        <v>0</v>
      </c>
      <c r="G1629" s="581"/>
      <c r="H1629" s="586"/>
      <c r="I1629" s="627"/>
      <c r="J1629" s="586"/>
      <c r="K1629" s="581"/>
      <c r="L1629" s="587"/>
      <c r="M1629" s="581">
        <v>200</v>
      </c>
      <c r="N1629" s="581"/>
      <c r="O1629" s="627">
        <f t="shared" si="195"/>
        <v>0</v>
      </c>
      <c r="P1629" s="581"/>
      <c r="Q1629" s="581"/>
      <c r="R1629" s="653"/>
      <c r="S1629" s="700"/>
      <c r="T1629" s="700"/>
      <c r="U1629" s="700"/>
      <c r="V1629" s="700"/>
      <c r="W1629" s="701"/>
      <c r="X1629" s="701"/>
      <c r="Y1629" s="701"/>
      <c r="Z1629" s="701"/>
    </row>
    <row r="1630" spans="1:26" s="702" customFormat="1" ht="15.75" customHeight="1">
      <c r="A1630" s="647">
        <v>4440</v>
      </c>
      <c r="B1630" s="712" t="s">
        <v>712</v>
      </c>
      <c r="C1630" s="603">
        <v>82900</v>
      </c>
      <c r="D1630" s="581">
        <f>G1630+J1630+P1630+M1630</f>
        <v>82900</v>
      </c>
      <c r="E1630" s="581">
        <f>H1630+K1630+Q1630+N1630</f>
        <v>22550</v>
      </c>
      <c r="F1630" s="582">
        <f>E1630/D1630*100</f>
        <v>27.20144752714113</v>
      </c>
      <c r="G1630" s="581">
        <v>73300</v>
      </c>
      <c r="H1630" s="586">
        <v>19350</v>
      </c>
      <c r="I1630" s="627">
        <f>H1630/G1630*100</f>
        <v>26.398362892223737</v>
      </c>
      <c r="J1630" s="586"/>
      <c r="K1630" s="581"/>
      <c r="L1630" s="587"/>
      <c r="M1630" s="581">
        <v>9600</v>
      </c>
      <c r="N1630" s="581">
        <v>3200</v>
      </c>
      <c r="O1630" s="627">
        <f t="shared" si="195"/>
        <v>33.33333333333333</v>
      </c>
      <c r="P1630" s="581"/>
      <c r="Q1630" s="581"/>
      <c r="R1630" s="653"/>
      <c r="S1630" s="700"/>
      <c r="T1630" s="700"/>
      <c r="U1630" s="700"/>
      <c r="V1630" s="700"/>
      <c r="W1630" s="701"/>
      <c r="X1630" s="701"/>
      <c r="Y1630" s="701"/>
      <c r="Z1630" s="701"/>
    </row>
    <row r="1631" spans="1:26" s="702" customFormat="1" ht="40.5" customHeight="1">
      <c r="A1631" s="647">
        <v>4700</v>
      </c>
      <c r="B1631" s="712" t="s">
        <v>588</v>
      </c>
      <c r="C1631" s="674">
        <v>200</v>
      </c>
      <c r="D1631" s="675">
        <f t="shared" si="188"/>
        <v>200</v>
      </c>
      <c r="E1631" s="675">
        <f t="shared" si="198"/>
        <v>0</v>
      </c>
      <c r="F1631" s="643">
        <f t="shared" si="196"/>
        <v>0</v>
      </c>
      <c r="G1631" s="675"/>
      <c r="H1631" s="676"/>
      <c r="I1631" s="679"/>
      <c r="J1631" s="676"/>
      <c r="K1631" s="675"/>
      <c r="L1631" s="677"/>
      <c r="M1631" s="675">
        <v>200</v>
      </c>
      <c r="N1631" s="675"/>
      <c r="O1631" s="627">
        <f t="shared" si="195"/>
        <v>0</v>
      </c>
      <c r="P1631" s="675"/>
      <c r="Q1631" s="675"/>
      <c r="R1631" s="680"/>
      <c r="S1631" s="700"/>
      <c r="T1631" s="700"/>
      <c r="U1631" s="700"/>
      <c r="V1631" s="700"/>
      <c r="W1631" s="701"/>
      <c r="X1631" s="701"/>
      <c r="Y1631" s="701"/>
      <c r="Z1631" s="701"/>
    </row>
    <row r="1632" spans="1:26" s="702" customFormat="1" ht="22.5" customHeight="1">
      <c r="A1632" s="640">
        <v>85403</v>
      </c>
      <c r="B1632" s="856" t="s">
        <v>827</v>
      </c>
      <c r="C1632" s="608">
        <f>SUM(C1633:C1658)</f>
        <v>1649600</v>
      </c>
      <c r="D1632" s="595">
        <f t="shared" si="188"/>
        <v>1649600</v>
      </c>
      <c r="E1632" s="595">
        <f>H1632+K1632+Q1632+N1632</f>
        <v>429372</v>
      </c>
      <c r="F1632" s="596">
        <f t="shared" si="196"/>
        <v>26.02885548011639</v>
      </c>
      <c r="G1632" s="595"/>
      <c r="H1632" s="600"/>
      <c r="I1632" s="645"/>
      <c r="J1632" s="600"/>
      <c r="K1632" s="595"/>
      <c r="L1632" s="601"/>
      <c r="M1632" s="595">
        <f>SUM(M1633:M1658)</f>
        <v>1649600</v>
      </c>
      <c r="N1632" s="595">
        <f>SUM(N1633:N1658)</f>
        <v>429372</v>
      </c>
      <c r="O1632" s="624">
        <f t="shared" si="195"/>
        <v>26.02885548011639</v>
      </c>
      <c r="P1632" s="595"/>
      <c r="Q1632" s="595"/>
      <c r="R1632" s="731"/>
      <c r="S1632" s="700"/>
      <c r="T1632" s="700"/>
      <c r="U1632" s="700"/>
      <c r="V1632" s="700"/>
      <c r="W1632" s="701"/>
      <c r="X1632" s="701"/>
      <c r="Y1632" s="701"/>
      <c r="Z1632" s="701"/>
    </row>
    <row r="1633" spans="1:26" s="702" customFormat="1" ht="36">
      <c r="A1633" s="667">
        <v>3020</v>
      </c>
      <c r="B1633" s="828" t="s">
        <v>736</v>
      </c>
      <c r="C1633" s="606">
        <v>4100</v>
      </c>
      <c r="D1633" s="615">
        <f t="shared" si="188"/>
        <v>4100</v>
      </c>
      <c r="E1633" s="615">
        <f aca="true" t="shared" si="199" ref="E1633:E1658">SUM(H1633+K1633+N1633+Q1633)</f>
        <v>0</v>
      </c>
      <c r="F1633" s="604">
        <f t="shared" si="196"/>
        <v>0</v>
      </c>
      <c r="G1633" s="615"/>
      <c r="H1633" s="618"/>
      <c r="I1633" s="686"/>
      <c r="J1633" s="618"/>
      <c r="K1633" s="615"/>
      <c r="L1633" s="619"/>
      <c r="M1633" s="606">
        <v>4100</v>
      </c>
      <c r="N1633" s="615"/>
      <c r="O1633" s="669">
        <f t="shared" si="195"/>
        <v>0</v>
      </c>
      <c r="P1633" s="615"/>
      <c r="Q1633" s="615"/>
      <c r="R1633" s="671"/>
      <c r="S1633" s="700"/>
      <c r="T1633" s="700"/>
      <c r="U1633" s="700"/>
      <c r="V1633" s="700"/>
      <c r="W1633" s="701"/>
      <c r="X1633" s="701"/>
      <c r="Y1633" s="701"/>
      <c r="Z1633" s="701"/>
    </row>
    <row r="1634" spans="1:26" s="702" customFormat="1" ht="24" hidden="1">
      <c r="A1634" s="647">
        <v>3110</v>
      </c>
      <c r="B1634" s="828" t="s">
        <v>740</v>
      </c>
      <c r="C1634" s="603"/>
      <c r="D1634" s="581">
        <f t="shared" si="188"/>
        <v>0</v>
      </c>
      <c r="E1634" s="581">
        <f t="shared" si="199"/>
        <v>0</v>
      </c>
      <c r="F1634" s="582" t="e">
        <f t="shared" si="196"/>
        <v>#DIV/0!</v>
      </c>
      <c r="G1634" s="581"/>
      <c r="H1634" s="586"/>
      <c r="I1634" s="649"/>
      <c r="J1634" s="586"/>
      <c r="K1634" s="581"/>
      <c r="L1634" s="587"/>
      <c r="M1634" s="603"/>
      <c r="N1634" s="581"/>
      <c r="O1634" s="627" t="e">
        <f t="shared" si="195"/>
        <v>#DIV/0!</v>
      </c>
      <c r="P1634" s="581"/>
      <c r="Q1634" s="581"/>
      <c r="R1634" s="653"/>
      <c r="S1634" s="700"/>
      <c r="T1634" s="700"/>
      <c r="U1634" s="700"/>
      <c r="V1634" s="700"/>
      <c r="W1634" s="701"/>
      <c r="X1634" s="701"/>
      <c r="Y1634" s="701"/>
      <c r="Z1634" s="701"/>
    </row>
    <row r="1635" spans="1:26" s="702" customFormat="1" ht="26.25" customHeight="1">
      <c r="A1635" s="647">
        <v>4010</v>
      </c>
      <c r="B1635" s="828" t="s">
        <v>181</v>
      </c>
      <c r="C1635" s="603">
        <v>1089600</v>
      </c>
      <c r="D1635" s="581">
        <f t="shared" si="188"/>
        <v>1089600</v>
      </c>
      <c r="E1635" s="581">
        <f t="shared" si="199"/>
        <v>251128</v>
      </c>
      <c r="F1635" s="582">
        <f t="shared" si="196"/>
        <v>23.047723935389133</v>
      </c>
      <c r="G1635" s="581"/>
      <c r="H1635" s="586"/>
      <c r="I1635" s="649"/>
      <c r="J1635" s="586"/>
      <c r="K1635" s="581"/>
      <c r="L1635" s="587"/>
      <c r="M1635" s="603">
        <v>1089600</v>
      </c>
      <c r="N1635" s="581">
        <v>251128</v>
      </c>
      <c r="O1635" s="627">
        <f t="shared" si="195"/>
        <v>23.047723935389133</v>
      </c>
      <c r="P1635" s="581"/>
      <c r="Q1635" s="581"/>
      <c r="R1635" s="653"/>
      <c r="S1635" s="700"/>
      <c r="T1635" s="700"/>
      <c r="U1635" s="700"/>
      <c r="V1635" s="700"/>
      <c r="W1635" s="701"/>
      <c r="X1635" s="701"/>
      <c r="Y1635" s="701"/>
      <c r="Z1635" s="701"/>
    </row>
    <row r="1636" spans="1:26" s="702" customFormat="1" ht="24">
      <c r="A1636" s="647">
        <v>4040</v>
      </c>
      <c r="B1636" s="828" t="s">
        <v>185</v>
      </c>
      <c r="C1636" s="603">
        <v>78600</v>
      </c>
      <c r="D1636" s="581">
        <f t="shared" si="188"/>
        <v>78600</v>
      </c>
      <c r="E1636" s="581">
        <f t="shared" si="199"/>
        <v>54774</v>
      </c>
      <c r="F1636" s="582">
        <f t="shared" si="196"/>
        <v>69.68702290076337</v>
      </c>
      <c r="G1636" s="581"/>
      <c r="H1636" s="586"/>
      <c r="I1636" s="649"/>
      <c r="J1636" s="586"/>
      <c r="K1636" s="581"/>
      <c r="L1636" s="587"/>
      <c r="M1636" s="603">
        <v>78600</v>
      </c>
      <c r="N1636" s="581">
        <v>54774</v>
      </c>
      <c r="O1636" s="627">
        <f t="shared" si="195"/>
        <v>69.68702290076337</v>
      </c>
      <c r="P1636" s="581"/>
      <c r="Q1636" s="581"/>
      <c r="R1636" s="653"/>
      <c r="S1636" s="700"/>
      <c r="T1636" s="700"/>
      <c r="U1636" s="700"/>
      <c r="V1636" s="700"/>
      <c r="W1636" s="701"/>
      <c r="X1636" s="701"/>
      <c r="Y1636" s="701"/>
      <c r="Z1636" s="701"/>
    </row>
    <row r="1637" spans="1:26" s="702" customFormat="1" ht="23.25" customHeight="1">
      <c r="A1637" s="647">
        <v>4110</v>
      </c>
      <c r="B1637" s="828" t="s">
        <v>187</v>
      </c>
      <c r="C1637" s="603">
        <v>175200</v>
      </c>
      <c r="D1637" s="581">
        <f t="shared" si="188"/>
        <v>175200</v>
      </c>
      <c r="E1637" s="581">
        <f t="shared" si="199"/>
        <v>48612</v>
      </c>
      <c r="F1637" s="582">
        <f t="shared" si="196"/>
        <v>27.74657534246575</v>
      </c>
      <c r="G1637" s="581"/>
      <c r="H1637" s="586"/>
      <c r="I1637" s="649"/>
      <c r="J1637" s="586"/>
      <c r="K1637" s="581"/>
      <c r="L1637" s="587"/>
      <c r="M1637" s="603">
        <v>175200</v>
      </c>
      <c r="N1637" s="581">
        <v>48612</v>
      </c>
      <c r="O1637" s="627">
        <f t="shared" si="195"/>
        <v>27.74657534246575</v>
      </c>
      <c r="P1637" s="581"/>
      <c r="Q1637" s="581"/>
      <c r="R1637" s="653"/>
      <c r="S1637" s="700"/>
      <c r="T1637" s="700"/>
      <c r="U1637" s="700"/>
      <c r="V1637" s="700"/>
      <c r="W1637" s="701"/>
      <c r="X1637" s="701"/>
      <c r="Y1637" s="701"/>
      <c r="Z1637" s="701"/>
    </row>
    <row r="1638" spans="1:26" s="702" customFormat="1" ht="12.75">
      <c r="A1638" s="647">
        <v>4120</v>
      </c>
      <c r="B1638" s="828" t="s">
        <v>619</v>
      </c>
      <c r="C1638" s="603">
        <v>28600</v>
      </c>
      <c r="D1638" s="581">
        <f t="shared" si="188"/>
        <v>28600</v>
      </c>
      <c r="E1638" s="581">
        <f t="shared" si="199"/>
        <v>8343</v>
      </c>
      <c r="F1638" s="582">
        <f t="shared" si="196"/>
        <v>29.171328671328673</v>
      </c>
      <c r="G1638" s="581"/>
      <c r="H1638" s="586"/>
      <c r="I1638" s="649"/>
      <c r="J1638" s="586"/>
      <c r="K1638" s="581"/>
      <c r="L1638" s="587"/>
      <c r="M1638" s="603">
        <v>28600</v>
      </c>
      <c r="N1638" s="581">
        <v>8343</v>
      </c>
      <c r="O1638" s="627">
        <f t="shared" si="195"/>
        <v>29.171328671328673</v>
      </c>
      <c r="P1638" s="581"/>
      <c r="Q1638" s="581"/>
      <c r="R1638" s="653"/>
      <c r="S1638" s="700"/>
      <c r="T1638" s="700"/>
      <c r="U1638" s="700"/>
      <c r="V1638" s="700"/>
      <c r="W1638" s="701"/>
      <c r="X1638" s="701"/>
      <c r="Y1638" s="701"/>
      <c r="Z1638" s="701"/>
    </row>
    <row r="1639" spans="1:26" s="702" customFormat="1" ht="36" hidden="1">
      <c r="A1639" s="647">
        <v>4130</v>
      </c>
      <c r="B1639" s="828" t="s">
        <v>741</v>
      </c>
      <c r="C1639" s="603"/>
      <c r="D1639" s="581">
        <f t="shared" si="188"/>
        <v>0</v>
      </c>
      <c r="E1639" s="581">
        <f>H1639+K1639+Q1639+N1639</f>
        <v>0</v>
      </c>
      <c r="F1639" s="582" t="e">
        <f t="shared" si="196"/>
        <v>#DIV/0!</v>
      </c>
      <c r="G1639" s="581"/>
      <c r="H1639" s="586"/>
      <c r="I1639" s="649"/>
      <c r="J1639" s="586"/>
      <c r="K1639" s="581"/>
      <c r="L1639" s="587"/>
      <c r="M1639" s="603"/>
      <c r="N1639" s="581"/>
      <c r="O1639" s="627" t="e">
        <f t="shared" si="195"/>
        <v>#DIV/0!</v>
      </c>
      <c r="P1639" s="581"/>
      <c r="Q1639" s="581"/>
      <c r="R1639" s="653"/>
      <c r="S1639" s="700"/>
      <c r="T1639" s="700"/>
      <c r="U1639" s="700"/>
      <c r="V1639" s="700"/>
      <c r="W1639" s="701"/>
      <c r="X1639" s="701"/>
      <c r="Y1639" s="701"/>
      <c r="Z1639" s="701"/>
    </row>
    <row r="1640" spans="1:26" s="702" customFormat="1" ht="24">
      <c r="A1640" s="647">
        <v>4170</v>
      </c>
      <c r="B1640" s="828" t="s">
        <v>221</v>
      </c>
      <c r="C1640" s="603">
        <v>2000</v>
      </c>
      <c r="D1640" s="581">
        <f t="shared" si="188"/>
        <v>2000</v>
      </c>
      <c r="E1640" s="581">
        <f>H1640+K1640+Q1640+N1640</f>
        <v>2000</v>
      </c>
      <c r="F1640" s="582">
        <f t="shared" si="196"/>
        <v>100</v>
      </c>
      <c r="G1640" s="581"/>
      <c r="H1640" s="586"/>
      <c r="I1640" s="649"/>
      <c r="J1640" s="586"/>
      <c r="K1640" s="581"/>
      <c r="L1640" s="587"/>
      <c r="M1640" s="603">
        <v>2000</v>
      </c>
      <c r="N1640" s="581">
        <v>2000</v>
      </c>
      <c r="O1640" s="627">
        <f t="shared" si="195"/>
        <v>100</v>
      </c>
      <c r="P1640" s="581"/>
      <c r="Q1640" s="581"/>
      <c r="R1640" s="653"/>
      <c r="S1640" s="700"/>
      <c r="T1640" s="700"/>
      <c r="U1640" s="700"/>
      <c r="V1640" s="700"/>
      <c r="W1640" s="701"/>
      <c r="X1640" s="701"/>
      <c r="Y1640" s="701"/>
      <c r="Z1640" s="701"/>
    </row>
    <row r="1641" spans="1:26" s="702" customFormat="1" ht="24">
      <c r="A1641" s="647">
        <v>4210</v>
      </c>
      <c r="B1641" s="828" t="s">
        <v>191</v>
      </c>
      <c r="C1641" s="603">
        <v>53000</v>
      </c>
      <c r="D1641" s="581">
        <f t="shared" si="188"/>
        <v>53000</v>
      </c>
      <c r="E1641" s="581">
        <f t="shared" si="199"/>
        <v>17693</v>
      </c>
      <c r="F1641" s="582">
        <f t="shared" si="196"/>
        <v>33.38301886792453</v>
      </c>
      <c r="G1641" s="581"/>
      <c r="H1641" s="586"/>
      <c r="I1641" s="649"/>
      <c r="J1641" s="586"/>
      <c r="K1641" s="581"/>
      <c r="L1641" s="587"/>
      <c r="M1641" s="603">
        <v>53000</v>
      </c>
      <c r="N1641" s="581">
        <v>17693</v>
      </c>
      <c r="O1641" s="627">
        <f t="shared" si="195"/>
        <v>33.38301886792453</v>
      </c>
      <c r="P1641" s="581"/>
      <c r="Q1641" s="581"/>
      <c r="R1641" s="653"/>
      <c r="S1641" s="700"/>
      <c r="T1641" s="700"/>
      <c r="U1641" s="700"/>
      <c r="V1641" s="700"/>
      <c r="W1641" s="701"/>
      <c r="X1641" s="701"/>
      <c r="Y1641" s="701"/>
      <c r="Z1641" s="701"/>
    </row>
    <row r="1642" spans="1:26" s="702" customFormat="1" ht="24">
      <c r="A1642" s="647">
        <v>4220</v>
      </c>
      <c r="B1642" s="828" t="s">
        <v>710</v>
      </c>
      <c r="C1642" s="603">
        <v>75000</v>
      </c>
      <c r="D1642" s="581">
        <f t="shared" si="188"/>
        <v>75000</v>
      </c>
      <c r="E1642" s="581">
        <f t="shared" si="199"/>
        <v>14707</v>
      </c>
      <c r="F1642" s="582">
        <f t="shared" si="196"/>
        <v>19.609333333333336</v>
      </c>
      <c r="G1642" s="581"/>
      <c r="H1642" s="586"/>
      <c r="I1642" s="649"/>
      <c r="J1642" s="586"/>
      <c r="K1642" s="581"/>
      <c r="L1642" s="587"/>
      <c r="M1642" s="603">
        <v>75000</v>
      </c>
      <c r="N1642" s="581">
        <v>14707</v>
      </c>
      <c r="O1642" s="627">
        <f t="shared" si="195"/>
        <v>19.609333333333336</v>
      </c>
      <c r="P1642" s="581"/>
      <c r="Q1642" s="581"/>
      <c r="R1642" s="653"/>
      <c r="S1642" s="700"/>
      <c r="T1642" s="700"/>
      <c r="U1642" s="700"/>
      <c r="V1642" s="700"/>
      <c r="W1642" s="701"/>
      <c r="X1642" s="701"/>
      <c r="Y1642" s="701"/>
      <c r="Z1642" s="701"/>
    </row>
    <row r="1643" spans="1:26" s="702" customFormat="1" ht="21.75" customHeight="1">
      <c r="A1643" s="647">
        <v>4240</v>
      </c>
      <c r="B1643" s="828" t="s">
        <v>828</v>
      </c>
      <c r="C1643" s="603">
        <v>5100</v>
      </c>
      <c r="D1643" s="581">
        <f t="shared" si="188"/>
        <v>5100</v>
      </c>
      <c r="E1643" s="581">
        <f t="shared" si="199"/>
        <v>0</v>
      </c>
      <c r="F1643" s="582">
        <f t="shared" si="196"/>
        <v>0</v>
      </c>
      <c r="G1643" s="581"/>
      <c r="H1643" s="586"/>
      <c r="I1643" s="649"/>
      <c r="J1643" s="586"/>
      <c r="K1643" s="581"/>
      <c r="L1643" s="587"/>
      <c r="M1643" s="603">
        <v>5100</v>
      </c>
      <c r="N1643" s="581"/>
      <c r="O1643" s="627">
        <f t="shared" si="195"/>
        <v>0</v>
      </c>
      <c r="P1643" s="581"/>
      <c r="Q1643" s="581"/>
      <c r="R1643" s="653"/>
      <c r="S1643" s="700"/>
      <c r="T1643" s="700"/>
      <c r="U1643" s="700"/>
      <c r="V1643" s="700"/>
      <c r="W1643" s="701"/>
      <c r="X1643" s="701"/>
      <c r="Y1643" s="701"/>
      <c r="Z1643" s="701"/>
    </row>
    <row r="1644" spans="1:26" s="702" customFormat="1" ht="12.75">
      <c r="A1644" s="647">
        <v>4260</v>
      </c>
      <c r="B1644" s="828" t="s">
        <v>195</v>
      </c>
      <c r="C1644" s="603">
        <v>42000</v>
      </c>
      <c r="D1644" s="581">
        <f t="shared" si="188"/>
        <v>42000</v>
      </c>
      <c r="E1644" s="581">
        <f t="shared" si="199"/>
        <v>0</v>
      </c>
      <c r="F1644" s="582">
        <f t="shared" si="196"/>
        <v>0</v>
      </c>
      <c r="G1644" s="581"/>
      <c r="H1644" s="586"/>
      <c r="I1644" s="649"/>
      <c r="J1644" s="586"/>
      <c r="K1644" s="581"/>
      <c r="L1644" s="587"/>
      <c r="M1644" s="603">
        <v>42000</v>
      </c>
      <c r="N1644" s="581"/>
      <c r="O1644" s="627">
        <f t="shared" si="195"/>
        <v>0</v>
      </c>
      <c r="P1644" s="581"/>
      <c r="Q1644" s="581"/>
      <c r="R1644" s="653"/>
      <c r="S1644" s="700"/>
      <c r="T1644" s="700"/>
      <c r="U1644" s="700"/>
      <c r="V1644" s="700"/>
      <c r="W1644" s="701"/>
      <c r="X1644" s="701"/>
      <c r="Y1644" s="701"/>
      <c r="Z1644" s="701"/>
    </row>
    <row r="1645" spans="1:26" s="702" customFormat="1" ht="15" customHeight="1">
      <c r="A1645" s="647">
        <v>4270</v>
      </c>
      <c r="B1645" s="828" t="s">
        <v>197</v>
      </c>
      <c r="C1645" s="603">
        <v>8000</v>
      </c>
      <c r="D1645" s="581">
        <f t="shared" si="188"/>
        <v>8000</v>
      </c>
      <c r="E1645" s="581">
        <f t="shared" si="199"/>
        <v>2137</v>
      </c>
      <c r="F1645" s="582">
        <f t="shared" si="196"/>
        <v>26.7125</v>
      </c>
      <c r="G1645" s="581"/>
      <c r="H1645" s="586"/>
      <c r="I1645" s="649"/>
      <c r="J1645" s="586"/>
      <c r="K1645" s="581"/>
      <c r="L1645" s="587"/>
      <c r="M1645" s="603">
        <v>8000</v>
      </c>
      <c r="N1645" s="581">
        <v>2137</v>
      </c>
      <c r="O1645" s="627">
        <f t="shared" si="195"/>
        <v>26.7125</v>
      </c>
      <c r="P1645" s="581"/>
      <c r="Q1645" s="581"/>
      <c r="R1645" s="653"/>
      <c r="S1645" s="700"/>
      <c r="T1645" s="700"/>
      <c r="U1645" s="700"/>
      <c r="V1645" s="700"/>
      <c r="W1645" s="701"/>
      <c r="X1645" s="701"/>
      <c r="Y1645" s="701"/>
      <c r="Z1645" s="701"/>
    </row>
    <row r="1646" spans="1:26" s="702" customFormat="1" ht="14.25" customHeight="1">
      <c r="A1646" s="647">
        <v>4280</v>
      </c>
      <c r="B1646" s="828" t="s">
        <v>582</v>
      </c>
      <c r="C1646" s="603">
        <v>700</v>
      </c>
      <c r="D1646" s="581">
        <f t="shared" si="188"/>
        <v>700</v>
      </c>
      <c r="E1646" s="581">
        <f t="shared" si="199"/>
        <v>0</v>
      </c>
      <c r="F1646" s="582">
        <f t="shared" si="196"/>
        <v>0</v>
      </c>
      <c r="G1646" s="581"/>
      <c r="H1646" s="586"/>
      <c r="I1646" s="649"/>
      <c r="J1646" s="586"/>
      <c r="K1646" s="581"/>
      <c r="L1646" s="587"/>
      <c r="M1646" s="603">
        <v>700</v>
      </c>
      <c r="N1646" s="581"/>
      <c r="O1646" s="627">
        <f t="shared" si="195"/>
        <v>0</v>
      </c>
      <c r="P1646" s="581"/>
      <c r="Q1646" s="581"/>
      <c r="R1646" s="653"/>
      <c r="S1646" s="700"/>
      <c r="T1646" s="700"/>
      <c r="U1646" s="700"/>
      <c r="V1646" s="700"/>
      <c r="W1646" s="701"/>
      <c r="X1646" s="701"/>
      <c r="Y1646" s="701"/>
      <c r="Z1646" s="701"/>
    </row>
    <row r="1647" spans="1:26" s="702" customFormat="1" ht="16.5" customHeight="1">
      <c r="A1647" s="647">
        <v>4300</v>
      </c>
      <c r="B1647" s="828" t="s">
        <v>199</v>
      </c>
      <c r="C1647" s="603">
        <v>25000</v>
      </c>
      <c r="D1647" s="581">
        <f t="shared" si="188"/>
        <v>25000</v>
      </c>
      <c r="E1647" s="581">
        <f t="shared" si="199"/>
        <v>3137</v>
      </c>
      <c r="F1647" s="582">
        <f t="shared" si="196"/>
        <v>12.548</v>
      </c>
      <c r="G1647" s="581"/>
      <c r="H1647" s="586"/>
      <c r="I1647" s="649"/>
      <c r="J1647" s="586"/>
      <c r="K1647" s="581"/>
      <c r="L1647" s="587"/>
      <c r="M1647" s="603">
        <v>25000</v>
      </c>
      <c r="N1647" s="581">
        <v>3137</v>
      </c>
      <c r="O1647" s="627">
        <f t="shared" si="195"/>
        <v>12.548</v>
      </c>
      <c r="P1647" s="581"/>
      <c r="Q1647" s="581"/>
      <c r="R1647" s="653"/>
      <c r="S1647" s="700"/>
      <c r="T1647" s="700"/>
      <c r="U1647" s="700"/>
      <c r="V1647" s="700"/>
      <c r="W1647" s="701"/>
      <c r="X1647" s="701"/>
      <c r="Y1647" s="701"/>
      <c r="Z1647" s="701"/>
    </row>
    <row r="1648" spans="1:26" s="702" customFormat="1" ht="24">
      <c r="A1648" s="647">
        <v>4350</v>
      </c>
      <c r="B1648" s="828" t="s">
        <v>584</v>
      </c>
      <c r="C1648" s="603">
        <v>700</v>
      </c>
      <c r="D1648" s="581">
        <f t="shared" si="188"/>
        <v>700</v>
      </c>
      <c r="E1648" s="581">
        <f t="shared" si="199"/>
        <v>248</v>
      </c>
      <c r="F1648" s="582">
        <f t="shared" si="196"/>
        <v>35.42857142857142</v>
      </c>
      <c r="G1648" s="581"/>
      <c r="H1648" s="586"/>
      <c r="I1648" s="649"/>
      <c r="J1648" s="586"/>
      <c r="K1648" s="581"/>
      <c r="L1648" s="587"/>
      <c r="M1648" s="603">
        <v>700</v>
      </c>
      <c r="N1648" s="581">
        <v>248</v>
      </c>
      <c r="O1648" s="627">
        <f t="shared" si="195"/>
        <v>35.42857142857142</v>
      </c>
      <c r="P1648" s="581"/>
      <c r="Q1648" s="581"/>
      <c r="R1648" s="653"/>
      <c r="S1648" s="700"/>
      <c r="T1648" s="700"/>
      <c r="U1648" s="700"/>
      <c r="V1648" s="700"/>
      <c r="W1648" s="701"/>
      <c r="X1648" s="701"/>
      <c r="Y1648" s="701"/>
      <c r="Z1648" s="701"/>
    </row>
    <row r="1649" spans="1:26" s="702" customFormat="1" ht="58.5" customHeight="1">
      <c r="A1649" s="647">
        <v>4360</v>
      </c>
      <c r="B1649" s="712" t="s">
        <v>431</v>
      </c>
      <c r="C1649" s="603">
        <v>1800</v>
      </c>
      <c r="D1649" s="581">
        <f>G1649+J1649+P1649+M1649</f>
        <v>1800</v>
      </c>
      <c r="E1649" s="581">
        <f>SUM(H1649+K1649+N1649+Q1649)</f>
        <v>121</v>
      </c>
      <c r="F1649" s="582">
        <f>E1649/D1649*100</f>
        <v>6.722222222222222</v>
      </c>
      <c r="G1649" s="581"/>
      <c r="H1649" s="586"/>
      <c r="I1649" s="649"/>
      <c r="J1649" s="586"/>
      <c r="K1649" s="581"/>
      <c r="L1649" s="587"/>
      <c r="M1649" s="603">
        <v>1800</v>
      </c>
      <c r="N1649" s="581">
        <v>121</v>
      </c>
      <c r="O1649" s="627">
        <f aca="true" t="shared" si="200" ref="O1649:O1712">N1649/M1649*100</f>
        <v>6.722222222222222</v>
      </c>
      <c r="P1649" s="581"/>
      <c r="Q1649" s="581"/>
      <c r="R1649" s="653"/>
      <c r="S1649" s="700"/>
      <c r="T1649" s="700"/>
      <c r="U1649" s="700"/>
      <c r="V1649" s="700"/>
      <c r="W1649" s="701"/>
      <c r="X1649" s="701"/>
      <c r="Y1649" s="701"/>
      <c r="Z1649" s="701"/>
    </row>
    <row r="1650" spans="1:26" s="702" customFormat="1" ht="63" customHeight="1">
      <c r="A1650" s="647">
        <v>4370</v>
      </c>
      <c r="B1650" s="712" t="s">
        <v>432</v>
      </c>
      <c r="C1650" s="603">
        <v>1100</v>
      </c>
      <c r="D1650" s="581">
        <f>G1650+J1650+P1650+M1650</f>
        <v>1100</v>
      </c>
      <c r="E1650" s="581">
        <f>SUM(H1650+K1650+N1650+Q1650)</f>
        <v>515</v>
      </c>
      <c r="F1650" s="582">
        <f>E1650/D1650*100</f>
        <v>46.81818181818182</v>
      </c>
      <c r="G1650" s="581"/>
      <c r="H1650" s="586"/>
      <c r="I1650" s="649"/>
      <c r="J1650" s="586"/>
      <c r="K1650" s="581"/>
      <c r="L1650" s="587"/>
      <c r="M1650" s="603">
        <v>1100</v>
      </c>
      <c r="N1650" s="581">
        <v>515</v>
      </c>
      <c r="O1650" s="627">
        <f t="shared" si="200"/>
        <v>46.81818181818182</v>
      </c>
      <c r="P1650" s="581"/>
      <c r="Q1650" s="581"/>
      <c r="R1650" s="653"/>
      <c r="S1650" s="700"/>
      <c r="T1650" s="700"/>
      <c r="U1650" s="700"/>
      <c r="V1650" s="700"/>
      <c r="W1650" s="701"/>
      <c r="X1650" s="701"/>
      <c r="Y1650" s="701"/>
      <c r="Z1650" s="701"/>
    </row>
    <row r="1651" spans="1:26" s="702" customFormat="1" ht="39" customHeight="1">
      <c r="A1651" s="647">
        <v>4390</v>
      </c>
      <c r="B1651" s="651" t="s">
        <v>222</v>
      </c>
      <c r="C1651" s="603">
        <v>1000</v>
      </c>
      <c r="D1651" s="581">
        <f>G1651+J1651+P1651+M1651</f>
        <v>1000</v>
      </c>
      <c r="E1651" s="581">
        <f>SUM(H1651+K1651+N1651+Q1651)</f>
        <v>98</v>
      </c>
      <c r="F1651" s="582"/>
      <c r="G1651" s="581"/>
      <c r="H1651" s="586"/>
      <c r="I1651" s="649"/>
      <c r="J1651" s="586"/>
      <c r="K1651" s="581"/>
      <c r="L1651" s="587"/>
      <c r="M1651" s="603">
        <v>1000</v>
      </c>
      <c r="N1651" s="581">
        <f>97+1</f>
        <v>98</v>
      </c>
      <c r="O1651" s="627">
        <f t="shared" si="200"/>
        <v>9.8</v>
      </c>
      <c r="P1651" s="581"/>
      <c r="Q1651" s="581"/>
      <c r="R1651" s="653"/>
      <c r="S1651" s="700"/>
      <c r="T1651" s="700"/>
      <c r="U1651" s="700"/>
      <c r="V1651" s="700"/>
      <c r="W1651" s="701"/>
      <c r="X1651" s="701"/>
      <c r="Y1651" s="701"/>
      <c r="Z1651" s="701"/>
    </row>
    <row r="1652" spans="1:26" s="702" customFormat="1" ht="13.5" customHeight="1">
      <c r="A1652" s="647">
        <v>4410</v>
      </c>
      <c r="B1652" s="828" t="s">
        <v>173</v>
      </c>
      <c r="C1652" s="603">
        <v>300</v>
      </c>
      <c r="D1652" s="581">
        <f t="shared" si="188"/>
        <v>300</v>
      </c>
      <c r="E1652" s="581">
        <f t="shared" si="199"/>
        <v>0</v>
      </c>
      <c r="F1652" s="582">
        <f t="shared" si="196"/>
        <v>0</v>
      </c>
      <c r="G1652" s="581"/>
      <c r="H1652" s="586"/>
      <c r="I1652" s="649"/>
      <c r="J1652" s="586"/>
      <c r="K1652" s="581"/>
      <c r="L1652" s="587"/>
      <c r="M1652" s="603">
        <v>300</v>
      </c>
      <c r="N1652" s="581"/>
      <c r="O1652" s="627">
        <f t="shared" si="200"/>
        <v>0</v>
      </c>
      <c r="P1652" s="581"/>
      <c r="Q1652" s="581"/>
      <c r="R1652" s="653"/>
      <c r="S1652" s="700"/>
      <c r="T1652" s="700"/>
      <c r="U1652" s="700"/>
      <c r="V1652" s="700"/>
      <c r="W1652" s="701"/>
      <c r="X1652" s="701"/>
      <c r="Y1652" s="701"/>
      <c r="Z1652" s="701"/>
    </row>
    <row r="1653" spans="1:26" s="702" customFormat="1" ht="12.75">
      <c r="A1653" s="647">
        <v>4440</v>
      </c>
      <c r="B1653" s="712" t="s">
        <v>203</v>
      </c>
      <c r="C1653" s="603">
        <v>53000</v>
      </c>
      <c r="D1653" s="581">
        <f t="shared" si="188"/>
        <v>53000</v>
      </c>
      <c r="E1653" s="581">
        <f t="shared" si="199"/>
        <v>24000</v>
      </c>
      <c r="F1653" s="582">
        <f>E1653/D1653*100</f>
        <v>45.28301886792453</v>
      </c>
      <c r="G1653" s="581"/>
      <c r="H1653" s="586"/>
      <c r="I1653" s="649"/>
      <c r="J1653" s="586"/>
      <c r="K1653" s="581"/>
      <c r="L1653" s="587"/>
      <c r="M1653" s="603">
        <v>53000</v>
      </c>
      <c r="N1653" s="581">
        <v>24000</v>
      </c>
      <c r="O1653" s="627">
        <f t="shared" si="200"/>
        <v>45.28301886792453</v>
      </c>
      <c r="P1653" s="581"/>
      <c r="Q1653" s="581"/>
      <c r="R1653" s="653"/>
      <c r="S1653" s="700"/>
      <c r="T1653" s="700"/>
      <c r="U1653" s="700"/>
      <c r="V1653" s="700"/>
      <c r="W1653" s="701"/>
      <c r="X1653" s="701"/>
      <c r="Y1653" s="701"/>
      <c r="Z1653" s="701"/>
    </row>
    <row r="1654" spans="1:26" s="702" customFormat="1" ht="39" customHeight="1">
      <c r="A1654" s="647">
        <v>4700</v>
      </c>
      <c r="B1654" s="712" t="s">
        <v>588</v>
      </c>
      <c r="C1654" s="603">
        <v>1300</v>
      </c>
      <c r="D1654" s="581">
        <f aca="true" t="shared" si="201" ref="D1654:D1720">G1654+J1654+P1654+M1654</f>
        <v>1300</v>
      </c>
      <c r="E1654" s="581">
        <f t="shared" si="199"/>
        <v>0</v>
      </c>
      <c r="F1654" s="582">
        <f>E1654/D1654*100</f>
        <v>0</v>
      </c>
      <c r="G1654" s="581"/>
      <c r="H1654" s="586"/>
      <c r="I1654" s="649"/>
      <c r="J1654" s="586"/>
      <c r="K1654" s="581"/>
      <c r="L1654" s="587"/>
      <c r="M1654" s="603">
        <v>1300</v>
      </c>
      <c r="N1654" s="581"/>
      <c r="O1654" s="627">
        <f t="shared" si="200"/>
        <v>0</v>
      </c>
      <c r="P1654" s="581"/>
      <c r="Q1654" s="581"/>
      <c r="R1654" s="653"/>
      <c r="S1654" s="700"/>
      <c r="T1654" s="700"/>
      <c r="U1654" s="700"/>
      <c r="V1654" s="700"/>
      <c r="W1654" s="701"/>
      <c r="X1654" s="701"/>
      <c r="Y1654" s="701"/>
      <c r="Z1654" s="701"/>
    </row>
    <row r="1655" spans="1:26" s="702" customFormat="1" ht="49.5" customHeight="1">
      <c r="A1655" s="647">
        <v>4740</v>
      </c>
      <c r="B1655" s="712" t="s">
        <v>215</v>
      </c>
      <c r="C1655" s="603">
        <v>1500</v>
      </c>
      <c r="D1655" s="581">
        <f t="shared" si="201"/>
        <v>1500</v>
      </c>
      <c r="E1655" s="581">
        <f>SUM(H1655+K1655+N1655+Q1655)</f>
        <v>0</v>
      </c>
      <c r="F1655" s="582">
        <f>E1655/D1655*100</f>
        <v>0</v>
      </c>
      <c r="G1655" s="581"/>
      <c r="H1655" s="586"/>
      <c r="I1655" s="649"/>
      <c r="J1655" s="586"/>
      <c r="K1655" s="581"/>
      <c r="L1655" s="587"/>
      <c r="M1655" s="603">
        <v>1500</v>
      </c>
      <c r="N1655" s="581"/>
      <c r="O1655" s="627">
        <f t="shared" si="200"/>
        <v>0</v>
      </c>
      <c r="P1655" s="581"/>
      <c r="Q1655" s="581"/>
      <c r="R1655" s="653"/>
      <c r="S1655" s="700"/>
      <c r="T1655" s="700"/>
      <c r="U1655" s="700"/>
      <c r="V1655" s="700"/>
      <c r="W1655" s="701"/>
      <c r="X1655" s="701"/>
      <c r="Y1655" s="701"/>
      <c r="Z1655" s="701"/>
    </row>
    <row r="1656" spans="1:26" s="702" customFormat="1" ht="36">
      <c r="A1656" s="647">
        <v>4750</v>
      </c>
      <c r="B1656" s="712" t="s">
        <v>589</v>
      </c>
      <c r="C1656" s="603">
        <v>2000</v>
      </c>
      <c r="D1656" s="581">
        <f t="shared" si="201"/>
        <v>2000</v>
      </c>
      <c r="E1656" s="581">
        <f>SUM(H1656+K1656+N1656+Q1656)</f>
        <v>1859</v>
      </c>
      <c r="F1656" s="582">
        <f>E1656/D1656*100</f>
        <v>92.95</v>
      </c>
      <c r="G1656" s="581"/>
      <c r="H1656" s="586"/>
      <c r="I1656" s="649"/>
      <c r="J1656" s="586"/>
      <c r="K1656" s="581"/>
      <c r="L1656" s="587"/>
      <c r="M1656" s="603">
        <v>2000</v>
      </c>
      <c r="N1656" s="581">
        <f>1860-1</f>
        <v>1859</v>
      </c>
      <c r="O1656" s="627">
        <f t="shared" si="200"/>
        <v>92.95</v>
      </c>
      <c r="P1656" s="581"/>
      <c r="Q1656" s="581"/>
      <c r="R1656" s="653"/>
      <c r="S1656" s="700"/>
      <c r="T1656" s="700"/>
      <c r="U1656" s="700"/>
      <c r="V1656" s="700"/>
      <c r="W1656" s="701"/>
      <c r="X1656" s="701"/>
      <c r="Y1656" s="701"/>
      <c r="Z1656" s="701"/>
    </row>
    <row r="1657" spans="1:26" s="702" customFormat="1" ht="36" hidden="1">
      <c r="A1657" s="647">
        <v>6050</v>
      </c>
      <c r="B1657" s="712" t="s">
        <v>225</v>
      </c>
      <c r="C1657" s="603"/>
      <c r="D1657" s="581">
        <f t="shared" si="201"/>
        <v>0</v>
      </c>
      <c r="E1657" s="581">
        <f>SUM(H1657+K1657+N1657+Q1657)</f>
        <v>0</v>
      </c>
      <c r="F1657" s="582" t="e">
        <f>E1657/D1657*100</f>
        <v>#DIV/0!</v>
      </c>
      <c r="G1657" s="581"/>
      <c r="H1657" s="586"/>
      <c r="I1657" s="649"/>
      <c r="J1657" s="586"/>
      <c r="K1657" s="581"/>
      <c r="L1657" s="587"/>
      <c r="M1657" s="603"/>
      <c r="N1657" s="581"/>
      <c r="O1657" s="627" t="e">
        <f t="shared" si="200"/>
        <v>#DIV/0!</v>
      </c>
      <c r="P1657" s="581"/>
      <c r="Q1657" s="581"/>
      <c r="R1657" s="653"/>
      <c r="S1657" s="700"/>
      <c r="T1657" s="700"/>
      <c r="U1657" s="700"/>
      <c r="V1657" s="700"/>
      <c r="W1657" s="701"/>
      <c r="X1657" s="701"/>
      <c r="Y1657" s="701"/>
      <c r="Z1657" s="701"/>
    </row>
    <row r="1658" spans="1:26" s="702" customFormat="1" ht="48" hidden="1">
      <c r="A1658" s="647">
        <v>6060</v>
      </c>
      <c r="B1658" s="712" t="s">
        <v>628</v>
      </c>
      <c r="C1658" s="674"/>
      <c r="D1658" s="675">
        <f t="shared" si="201"/>
        <v>0</v>
      </c>
      <c r="E1658" s="675">
        <f t="shared" si="199"/>
        <v>0</v>
      </c>
      <c r="F1658" s="643" t="e">
        <f aca="true" t="shared" si="202" ref="F1658:F1679">E1658/D1658*100</f>
        <v>#DIV/0!</v>
      </c>
      <c r="G1658" s="675"/>
      <c r="H1658" s="676"/>
      <c r="I1658" s="689"/>
      <c r="J1658" s="676"/>
      <c r="K1658" s="675"/>
      <c r="L1658" s="677"/>
      <c r="M1658" s="674"/>
      <c r="N1658" s="675"/>
      <c r="O1658" s="627" t="e">
        <f t="shared" si="200"/>
        <v>#DIV/0!</v>
      </c>
      <c r="P1658" s="675"/>
      <c r="Q1658" s="675"/>
      <c r="R1658" s="680"/>
      <c r="S1658" s="700"/>
      <c r="T1658" s="700"/>
      <c r="U1658" s="700"/>
      <c r="V1658" s="700"/>
      <c r="W1658" s="701"/>
      <c r="X1658" s="701"/>
      <c r="Y1658" s="701"/>
      <c r="Z1658" s="701"/>
    </row>
    <row r="1659" spans="1:26" s="639" customFormat="1" ht="36">
      <c r="A1659" s="640">
        <v>85406</v>
      </c>
      <c r="B1659" s="856" t="s">
        <v>829</v>
      </c>
      <c r="C1659" s="608">
        <f>SUM(C1660:C1682)</f>
        <v>1617200</v>
      </c>
      <c r="D1659" s="595">
        <f t="shared" si="201"/>
        <v>1617200</v>
      </c>
      <c r="E1659" s="595">
        <f>H1659+K1659+Q1659+N1659</f>
        <v>409566</v>
      </c>
      <c r="F1659" s="596">
        <f t="shared" si="202"/>
        <v>25.32562453623547</v>
      </c>
      <c r="G1659" s="735"/>
      <c r="H1659" s="736"/>
      <c r="I1659" s="645"/>
      <c r="J1659" s="736"/>
      <c r="K1659" s="735"/>
      <c r="L1659" s="737"/>
      <c r="M1659" s="595">
        <f>SUM(M1660:M1683)+M1689</f>
        <v>1617200</v>
      </c>
      <c r="N1659" s="595">
        <f>SUM(N1660:N1683)+N1689</f>
        <v>409566</v>
      </c>
      <c r="O1659" s="624">
        <f t="shared" si="200"/>
        <v>25.32562453623547</v>
      </c>
      <c r="P1659" s="595"/>
      <c r="Q1659" s="595"/>
      <c r="R1659" s="731"/>
      <c r="S1659" s="564"/>
      <c r="T1659" s="564"/>
      <c r="U1659" s="564"/>
      <c r="V1659" s="564"/>
      <c r="W1659" s="565"/>
      <c r="X1659" s="565"/>
      <c r="Y1659" s="565"/>
      <c r="Z1659" s="565"/>
    </row>
    <row r="1660" spans="1:26" s="639" customFormat="1" ht="36">
      <c r="A1660" s="647">
        <v>3020</v>
      </c>
      <c r="B1660" s="828" t="s">
        <v>736</v>
      </c>
      <c r="C1660" s="603">
        <v>4900</v>
      </c>
      <c r="D1660" s="581">
        <f t="shared" si="201"/>
        <v>4900</v>
      </c>
      <c r="E1660" s="581">
        <f aca="true" t="shared" si="203" ref="E1660:E1679">SUM(H1660+K1660+N1660+Q1660)</f>
        <v>0</v>
      </c>
      <c r="F1660" s="582">
        <f t="shared" si="202"/>
        <v>0</v>
      </c>
      <c r="G1660" s="581"/>
      <c r="H1660" s="586"/>
      <c r="I1660" s="649"/>
      <c r="J1660" s="586"/>
      <c r="K1660" s="581"/>
      <c r="L1660" s="587"/>
      <c r="M1660" s="603">
        <v>4900</v>
      </c>
      <c r="N1660" s="581"/>
      <c r="O1660" s="627">
        <f t="shared" si="200"/>
        <v>0</v>
      </c>
      <c r="P1660" s="581"/>
      <c r="Q1660" s="581"/>
      <c r="R1660" s="653"/>
      <c r="S1660" s="564"/>
      <c r="T1660" s="564"/>
      <c r="U1660" s="564"/>
      <c r="V1660" s="564"/>
      <c r="W1660" s="565"/>
      <c r="X1660" s="565"/>
      <c r="Y1660" s="565"/>
      <c r="Z1660" s="565"/>
    </row>
    <row r="1661" spans="1:26" s="639" customFormat="1" ht="24.75" customHeight="1">
      <c r="A1661" s="647">
        <v>4010</v>
      </c>
      <c r="B1661" s="828" t="s">
        <v>181</v>
      </c>
      <c r="C1661" s="603">
        <v>1106500</v>
      </c>
      <c r="D1661" s="581">
        <f t="shared" si="201"/>
        <v>1106500</v>
      </c>
      <c r="E1661" s="581">
        <f t="shared" si="203"/>
        <v>267152</v>
      </c>
      <c r="F1661" s="582">
        <f t="shared" si="202"/>
        <v>24.143877089923183</v>
      </c>
      <c r="G1661" s="581"/>
      <c r="H1661" s="586"/>
      <c r="I1661" s="649"/>
      <c r="J1661" s="586"/>
      <c r="K1661" s="581"/>
      <c r="L1661" s="587"/>
      <c r="M1661" s="603">
        <v>1106500</v>
      </c>
      <c r="N1661" s="581">
        <v>267152</v>
      </c>
      <c r="O1661" s="627">
        <f t="shared" si="200"/>
        <v>24.143877089923183</v>
      </c>
      <c r="P1661" s="581"/>
      <c r="Q1661" s="581"/>
      <c r="R1661" s="653"/>
      <c r="S1661" s="700"/>
      <c r="T1661" s="700"/>
      <c r="U1661" s="700"/>
      <c r="V1661" s="700"/>
      <c r="W1661" s="565"/>
      <c r="X1661" s="565"/>
      <c r="Y1661" s="565"/>
      <c r="Z1661" s="565"/>
    </row>
    <row r="1662" spans="1:26" s="639" customFormat="1" ht="24">
      <c r="A1662" s="647">
        <v>4040</v>
      </c>
      <c r="B1662" s="828" t="s">
        <v>185</v>
      </c>
      <c r="C1662" s="603">
        <v>86800</v>
      </c>
      <c r="D1662" s="581">
        <f t="shared" si="201"/>
        <v>86800</v>
      </c>
      <c r="E1662" s="581">
        <f t="shared" si="203"/>
        <v>60741</v>
      </c>
      <c r="F1662" s="582">
        <f t="shared" si="202"/>
        <v>69.97811059907833</v>
      </c>
      <c r="G1662" s="581"/>
      <c r="H1662" s="586"/>
      <c r="I1662" s="649"/>
      <c r="J1662" s="586"/>
      <c r="K1662" s="581"/>
      <c r="L1662" s="587"/>
      <c r="M1662" s="603">
        <v>86800</v>
      </c>
      <c r="N1662" s="581">
        <f>60742-1</f>
        <v>60741</v>
      </c>
      <c r="O1662" s="627">
        <f t="shared" si="200"/>
        <v>69.97811059907833</v>
      </c>
      <c r="P1662" s="581"/>
      <c r="Q1662" s="581"/>
      <c r="R1662" s="653"/>
      <c r="S1662" s="700"/>
      <c r="T1662" s="700"/>
      <c r="U1662" s="700"/>
      <c r="V1662" s="700"/>
      <c r="W1662" s="565"/>
      <c r="X1662" s="565"/>
      <c r="Y1662" s="565"/>
      <c r="Z1662" s="565"/>
    </row>
    <row r="1663" spans="1:26" s="639" customFormat="1" ht="26.25" customHeight="1">
      <c r="A1663" s="647">
        <v>4110</v>
      </c>
      <c r="B1663" s="828" t="s">
        <v>187</v>
      </c>
      <c r="C1663" s="603">
        <v>178800</v>
      </c>
      <c r="D1663" s="581">
        <f t="shared" si="201"/>
        <v>178800</v>
      </c>
      <c r="E1663" s="581">
        <f t="shared" si="203"/>
        <v>40794</v>
      </c>
      <c r="F1663" s="582">
        <f t="shared" si="202"/>
        <v>22.815436241610737</v>
      </c>
      <c r="G1663" s="581"/>
      <c r="H1663" s="586"/>
      <c r="I1663" s="649"/>
      <c r="J1663" s="586"/>
      <c r="K1663" s="581"/>
      <c r="L1663" s="587"/>
      <c r="M1663" s="603">
        <v>178800</v>
      </c>
      <c r="N1663" s="581">
        <v>40794</v>
      </c>
      <c r="O1663" s="627">
        <f t="shared" si="200"/>
        <v>22.815436241610737</v>
      </c>
      <c r="P1663" s="581"/>
      <c r="Q1663" s="581"/>
      <c r="R1663" s="653"/>
      <c r="S1663" s="700"/>
      <c r="T1663" s="700"/>
      <c r="U1663" s="700"/>
      <c r="V1663" s="700"/>
      <c r="W1663" s="565"/>
      <c r="X1663" s="565"/>
      <c r="Y1663" s="565"/>
      <c r="Z1663" s="565"/>
    </row>
    <row r="1664" spans="1:26" s="639" customFormat="1" ht="12.75">
      <c r="A1664" s="647">
        <v>4120</v>
      </c>
      <c r="B1664" s="828" t="s">
        <v>619</v>
      </c>
      <c r="C1664" s="603">
        <v>29200</v>
      </c>
      <c r="D1664" s="581">
        <f t="shared" si="201"/>
        <v>29200</v>
      </c>
      <c r="E1664" s="581">
        <f>SUM(H1664+K1664+N1664+Q1664)</f>
        <v>4768</v>
      </c>
      <c r="F1664" s="582">
        <f>E1664/D1664*100</f>
        <v>16.328767123287673</v>
      </c>
      <c r="G1664" s="581"/>
      <c r="H1664" s="586"/>
      <c r="I1664" s="649"/>
      <c r="J1664" s="586"/>
      <c r="K1664" s="581"/>
      <c r="L1664" s="587"/>
      <c r="M1664" s="603">
        <v>29200</v>
      </c>
      <c r="N1664" s="581">
        <v>4768</v>
      </c>
      <c r="O1664" s="627">
        <f t="shared" si="200"/>
        <v>16.328767123287673</v>
      </c>
      <c r="P1664" s="581"/>
      <c r="Q1664" s="581"/>
      <c r="R1664" s="653"/>
      <c r="S1664" s="700"/>
      <c r="T1664" s="700"/>
      <c r="U1664" s="700"/>
      <c r="V1664" s="700"/>
      <c r="W1664" s="565"/>
      <c r="X1664" s="565"/>
      <c r="Y1664" s="565"/>
      <c r="Z1664" s="565"/>
    </row>
    <row r="1665" spans="1:26" s="639" customFormat="1" ht="12.75">
      <c r="A1665" s="647">
        <v>4140</v>
      </c>
      <c r="B1665" s="828" t="s">
        <v>252</v>
      </c>
      <c r="C1665" s="603">
        <v>33600</v>
      </c>
      <c r="D1665" s="581">
        <f t="shared" si="201"/>
        <v>33600</v>
      </c>
      <c r="E1665" s="581">
        <f t="shared" si="203"/>
        <v>5428</v>
      </c>
      <c r="F1665" s="582">
        <f t="shared" si="202"/>
        <v>16.154761904761905</v>
      </c>
      <c r="G1665" s="581"/>
      <c r="H1665" s="586"/>
      <c r="I1665" s="649"/>
      <c r="J1665" s="586"/>
      <c r="K1665" s="581"/>
      <c r="L1665" s="587"/>
      <c r="M1665" s="603">
        <v>33600</v>
      </c>
      <c r="N1665" s="581">
        <v>5428</v>
      </c>
      <c r="O1665" s="627">
        <f t="shared" si="200"/>
        <v>16.154761904761905</v>
      </c>
      <c r="P1665" s="581"/>
      <c r="Q1665" s="581"/>
      <c r="R1665" s="653"/>
      <c r="S1665" s="564"/>
      <c r="T1665" s="564"/>
      <c r="U1665" s="564"/>
      <c r="V1665" s="564"/>
      <c r="W1665" s="565"/>
      <c r="X1665" s="565"/>
      <c r="Y1665" s="565"/>
      <c r="Z1665" s="565"/>
    </row>
    <row r="1666" spans="1:26" s="639" customFormat="1" ht="24">
      <c r="A1666" s="647">
        <v>4170</v>
      </c>
      <c r="B1666" s="828" t="s">
        <v>221</v>
      </c>
      <c r="C1666" s="603">
        <v>12000</v>
      </c>
      <c r="D1666" s="581">
        <f t="shared" si="201"/>
        <v>12000</v>
      </c>
      <c r="E1666" s="581">
        <f>SUM(H1666+K1666+N1666+Q1666)</f>
        <v>2137</v>
      </c>
      <c r="F1666" s="582">
        <f>E1666/D1666*100</f>
        <v>17.808333333333334</v>
      </c>
      <c r="G1666" s="581"/>
      <c r="H1666" s="586"/>
      <c r="I1666" s="649"/>
      <c r="J1666" s="586"/>
      <c r="K1666" s="581"/>
      <c r="L1666" s="587"/>
      <c r="M1666" s="603">
        <v>12000</v>
      </c>
      <c r="N1666" s="581">
        <v>2137</v>
      </c>
      <c r="O1666" s="627">
        <f t="shared" si="200"/>
        <v>17.808333333333334</v>
      </c>
      <c r="P1666" s="581"/>
      <c r="Q1666" s="581"/>
      <c r="R1666" s="653"/>
      <c r="S1666" s="700"/>
      <c r="T1666" s="700"/>
      <c r="U1666" s="700"/>
      <c r="V1666" s="700"/>
      <c r="W1666" s="565"/>
      <c r="X1666" s="565"/>
      <c r="Y1666" s="565"/>
      <c r="Z1666" s="565"/>
    </row>
    <row r="1667" spans="1:26" s="639" customFormat="1" ht="24">
      <c r="A1667" s="647">
        <v>4210</v>
      </c>
      <c r="B1667" s="828" t="s">
        <v>191</v>
      </c>
      <c r="C1667" s="603">
        <v>18000</v>
      </c>
      <c r="D1667" s="581">
        <f t="shared" si="201"/>
        <v>18000</v>
      </c>
      <c r="E1667" s="581">
        <f t="shared" si="203"/>
        <v>4480</v>
      </c>
      <c r="F1667" s="582">
        <f t="shared" si="202"/>
        <v>24.88888888888889</v>
      </c>
      <c r="G1667" s="581"/>
      <c r="H1667" s="586"/>
      <c r="I1667" s="649"/>
      <c r="J1667" s="586"/>
      <c r="K1667" s="581"/>
      <c r="L1667" s="587"/>
      <c r="M1667" s="603">
        <v>18000</v>
      </c>
      <c r="N1667" s="581">
        <v>4480</v>
      </c>
      <c r="O1667" s="627">
        <f t="shared" si="200"/>
        <v>24.88888888888889</v>
      </c>
      <c r="P1667" s="581"/>
      <c r="Q1667" s="581"/>
      <c r="R1667" s="653"/>
      <c r="S1667" s="564"/>
      <c r="T1667" s="564"/>
      <c r="U1667" s="564"/>
      <c r="V1667" s="564"/>
      <c r="W1667" s="565"/>
      <c r="X1667" s="565"/>
      <c r="Y1667" s="565"/>
      <c r="Z1667" s="565"/>
    </row>
    <row r="1668" spans="1:26" s="639" customFormat="1" ht="24" customHeight="1">
      <c r="A1668" s="647">
        <v>4240</v>
      </c>
      <c r="B1668" s="828" t="s">
        <v>830</v>
      </c>
      <c r="C1668" s="603">
        <v>4000</v>
      </c>
      <c r="D1668" s="581">
        <f t="shared" si="201"/>
        <v>4000</v>
      </c>
      <c r="E1668" s="581">
        <f t="shared" si="203"/>
        <v>104</v>
      </c>
      <c r="F1668" s="582">
        <f t="shared" si="202"/>
        <v>2.6</v>
      </c>
      <c r="G1668" s="581"/>
      <c r="H1668" s="586"/>
      <c r="I1668" s="649"/>
      <c r="J1668" s="586"/>
      <c r="K1668" s="581"/>
      <c r="L1668" s="587"/>
      <c r="M1668" s="603">
        <v>4000</v>
      </c>
      <c r="N1668" s="581">
        <v>104</v>
      </c>
      <c r="O1668" s="627">
        <f t="shared" si="200"/>
        <v>2.6</v>
      </c>
      <c r="P1668" s="581"/>
      <c r="Q1668" s="581"/>
      <c r="R1668" s="653"/>
      <c r="S1668" s="564"/>
      <c r="T1668" s="564"/>
      <c r="U1668" s="564"/>
      <c r="V1668" s="564"/>
      <c r="W1668" s="565"/>
      <c r="X1668" s="565"/>
      <c r="Y1668" s="565"/>
      <c r="Z1668" s="565"/>
    </row>
    <row r="1669" spans="1:26" s="639" customFormat="1" ht="12.75">
      <c r="A1669" s="647">
        <v>4260</v>
      </c>
      <c r="B1669" s="828" t="s">
        <v>195</v>
      </c>
      <c r="C1669" s="603">
        <v>35600</v>
      </c>
      <c r="D1669" s="581">
        <f t="shared" si="201"/>
        <v>35600</v>
      </c>
      <c r="E1669" s="581">
        <f t="shared" si="203"/>
        <v>11954</v>
      </c>
      <c r="F1669" s="582">
        <f t="shared" si="202"/>
        <v>33.578651685393254</v>
      </c>
      <c r="G1669" s="581"/>
      <c r="H1669" s="586"/>
      <c r="I1669" s="649"/>
      <c r="J1669" s="586"/>
      <c r="K1669" s="581"/>
      <c r="L1669" s="587"/>
      <c r="M1669" s="603">
        <v>35600</v>
      </c>
      <c r="N1669" s="581">
        <v>11954</v>
      </c>
      <c r="O1669" s="627">
        <f t="shared" si="200"/>
        <v>33.578651685393254</v>
      </c>
      <c r="P1669" s="581"/>
      <c r="Q1669" s="581"/>
      <c r="R1669" s="653"/>
      <c r="S1669" s="564"/>
      <c r="T1669" s="564"/>
      <c r="U1669" s="564"/>
      <c r="V1669" s="564"/>
      <c r="W1669" s="565"/>
      <c r="X1669" s="565"/>
      <c r="Y1669" s="565"/>
      <c r="Z1669" s="565"/>
    </row>
    <row r="1670" spans="1:26" s="639" customFormat="1" ht="15.75" customHeight="1">
      <c r="A1670" s="647">
        <v>4270</v>
      </c>
      <c r="B1670" s="828" t="s">
        <v>197</v>
      </c>
      <c r="C1670" s="603">
        <v>1000</v>
      </c>
      <c r="D1670" s="581">
        <f t="shared" si="201"/>
        <v>1000</v>
      </c>
      <c r="E1670" s="581">
        <f>SUM(H1670+K1670+N1670+Q1670)</f>
        <v>253</v>
      </c>
      <c r="F1670" s="582">
        <f>E1670/D1670*100</f>
        <v>25.3</v>
      </c>
      <c r="G1670" s="581"/>
      <c r="H1670" s="586"/>
      <c r="I1670" s="649"/>
      <c r="J1670" s="586"/>
      <c r="K1670" s="581"/>
      <c r="L1670" s="587"/>
      <c r="M1670" s="603">
        <v>1000</v>
      </c>
      <c r="N1670" s="581">
        <v>253</v>
      </c>
      <c r="O1670" s="627">
        <f t="shared" si="200"/>
        <v>25.3</v>
      </c>
      <c r="P1670" s="581"/>
      <c r="Q1670" s="581"/>
      <c r="R1670" s="653"/>
      <c r="S1670" s="564"/>
      <c r="T1670" s="564"/>
      <c r="U1670" s="564"/>
      <c r="V1670" s="564"/>
      <c r="W1670" s="565"/>
      <c r="X1670" s="565"/>
      <c r="Y1670" s="565"/>
      <c r="Z1670" s="565"/>
    </row>
    <row r="1671" spans="1:26" s="639" customFormat="1" ht="14.25" customHeight="1">
      <c r="A1671" s="647">
        <v>4280</v>
      </c>
      <c r="B1671" s="828" t="s">
        <v>582</v>
      </c>
      <c r="C1671" s="603">
        <v>1100</v>
      </c>
      <c r="D1671" s="581">
        <f t="shared" si="201"/>
        <v>1100</v>
      </c>
      <c r="E1671" s="581">
        <f t="shared" si="203"/>
        <v>372</v>
      </c>
      <c r="F1671" s="582">
        <f t="shared" si="202"/>
        <v>33.81818181818182</v>
      </c>
      <c r="G1671" s="581"/>
      <c r="H1671" s="586"/>
      <c r="I1671" s="649"/>
      <c r="J1671" s="586"/>
      <c r="K1671" s="581"/>
      <c r="L1671" s="587"/>
      <c r="M1671" s="603">
        <v>1100</v>
      </c>
      <c r="N1671" s="581">
        <v>372</v>
      </c>
      <c r="O1671" s="627">
        <f t="shared" si="200"/>
        <v>33.81818181818182</v>
      </c>
      <c r="P1671" s="581"/>
      <c r="Q1671" s="581"/>
      <c r="R1671" s="653"/>
      <c r="S1671" s="564"/>
      <c r="T1671" s="564"/>
      <c r="U1671" s="564"/>
      <c r="V1671" s="564"/>
      <c r="W1671" s="565"/>
      <c r="X1671" s="565"/>
      <c r="Y1671" s="565"/>
      <c r="Z1671" s="565"/>
    </row>
    <row r="1672" spans="1:26" s="639" customFormat="1" ht="15" customHeight="1">
      <c r="A1672" s="647">
        <v>4300</v>
      </c>
      <c r="B1672" s="828" t="s">
        <v>199</v>
      </c>
      <c r="C1672" s="603">
        <v>24000</v>
      </c>
      <c r="D1672" s="581">
        <f t="shared" si="201"/>
        <v>24000</v>
      </c>
      <c r="E1672" s="581">
        <f t="shared" si="203"/>
        <v>8442</v>
      </c>
      <c r="F1672" s="582">
        <f t="shared" si="202"/>
        <v>35.175</v>
      </c>
      <c r="G1672" s="581"/>
      <c r="H1672" s="586"/>
      <c r="I1672" s="649"/>
      <c r="J1672" s="586"/>
      <c r="K1672" s="581"/>
      <c r="L1672" s="587"/>
      <c r="M1672" s="603">
        <v>24000</v>
      </c>
      <c r="N1672" s="581">
        <v>8442</v>
      </c>
      <c r="O1672" s="627">
        <f t="shared" si="200"/>
        <v>35.175</v>
      </c>
      <c r="P1672" s="581"/>
      <c r="Q1672" s="581"/>
      <c r="R1672" s="653"/>
      <c r="S1672" s="564"/>
      <c r="T1672" s="564"/>
      <c r="U1672" s="564"/>
      <c r="V1672" s="564"/>
      <c r="W1672" s="565"/>
      <c r="X1672" s="565"/>
      <c r="Y1672" s="565"/>
      <c r="Z1672" s="565"/>
    </row>
    <row r="1673" spans="1:26" s="639" customFormat="1" ht="24">
      <c r="A1673" s="647">
        <v>4350</v>
      </c>
      <c r="B1673" s="828" t="s">
        <v>584</v>
      </c>
      <c r="C1673" s="603">
        <v>1700</v>
      </c>
      <c r="D1673" s="581">
        <f t="shared" si="201"/>
        <v>1700</v>
      </c>
      <c r="E1673" s="581">
        <f t="shared" si="203"/>
        <v>617</v>
      </c>
      <c r="F1673" s="582">
        <f t="shared" si="202"/>
        <v>36.29411764705882</v>
      </c>
      <c r="G1673" s="581"/>
      <c r="H1673" s="586"/>
      <c r="I1673" s="649"/>
      <c r="J1673" s="586"/>
      <c r="K1673" s="581"/>
      <c r="L1673" s="587"/>
      <c r="M1673" s="603">
        <v>1700</v>
      </c>
      <c r="N1673" s="581">
        <v>617</v>
      </c>
      <c r="O1673" s="627">
        <f t="shared" si="200"/>
        <v>36.29411764705882</v>
      </c>
      <c r="P1673" s="581"/>
      <c r="Q1673" s="581"/>
      <c r="R1673" s="653"/>
      <c r="S1673" s="564"/>
      <c r="T1673" s="564"/>
      <c r="U1673" s="564"/>
      <c r="V1673" s="564"/>
      <c r="W1673" s="565"/>
      <c r="X1673" s="565"/>
      <c r="Y1673" s="565"/>
      <c r="Z1673" s="565"/>
    </row>
    <row r="1674" spans="1:26" s="639" customFormat="1" ht="59.25" customHeight="1">
      <c r="A1674" s="647">
        <v>4360</v>
      </c>
      <c r="B1674" s="712" t="s">
        <v>431</v>
      </c>
      <c r="C1674" s="603">
        <v>4800</v>
      </c>
      <c r="D1674" s="581">
        <f t="shared" si="201"/>
        <v>4800</v>
      </c>
      <c r="E1674" s="581">
        <f>SUM(H1674+K1674+N1674+Q1674)</f>
        <v>1122</v>
      </c>
      <c r="F1674" s="582">
        <f>E1674/D1674*100</f>
        <v>23.375</v>
      </c>
      <c r="G1674" s="581"/>
      <c r="H1674" s="586"/>
      <c r="I1674" s="649"/>
      <c r="J1674" s="586"/>
      <c r="K1674" s="581"/>
      <c r="L1674" s="587"/>
      <c r="M1674" s="603">
        <v>4800</v>
      </c>
      <c r="N1674" s="581">
        <v>1122</v>
      </c>
      <c r="O1674" s="627">
        <f t="shared" si="200"/>
        <v>23.375</v>
      </c>
      <c r="P1674" s="581"/>
      <c r="Q1674" s="581"/>
      <c r="R1674" s="653"/>
      <c r="S1674" s="564"/>
      <c r="T1674" s="564"/>
      <c r="U1674" s="564"/>
      <c r="V1674" s="564"/>
      <c r="W1674" s="565"/>
      <c r="X1674" s="565"/>
      <c r="Y1674" s="565"/>
      <c r="Z1674" s="565"/>
    </row>
    <row r="1675" spans="1:26" s="639" customFormat="1" ht="62.25" customHeight="1">
      <c r="A1675" s="647">
        <v>4370</v>
      </c>
      <c r="B1675" s="712" t="s">
        <v>432</v>
      </c>
      <c r="C1675" s="603">
        <v>4000</v>
      </c>
      <c r="D1675" s="581">
        <f>G1675+J1675+P1675+M1675</f>
        <v>4000</v>
      </c>
      <c r="E1675" s="581">
        <f>SUM(H1675+K1675+N1675+Q1675)</f>
        <v>816</v>
      </c>
      <c r="F1675" s="582">
        <f>E1675/D1675*100</f>
        <v>20.4</v>
      </c>
      <c r="G1675" s="581"/>
      <c r="H1675" s="586"/>
      <c r="I1675" s="649"/>
      <c r="J1675" s="586"/>
      <c r="K1675" s="581"/>
      <c r="L1675" s="587"/>
      <c r="M1675" s="603">
        <v>4000</v>
      </c>
      <c r="N1675" s="581">
        <v>816</v>
      </c>
      <c r="O1675" s="627">
        <f t="shared" si="200"/>
        <v>20.4</v>
      </c>
      <c r="P1675" s="581"/>
      <c r="Q1675" s="581"/>
      <c r="R1675" s="653"/>
      <c r="S1675" s="564"/>
      <c r="T1675" s="564"/>
      <c r="U1675" s="564"/>
      <c r="V1675" s="564"/>
      <c r="W1675" s="565"/>
      <c r="X1675" s="565"/>
      <c r="Y1675" s="565"/>
      <c r="Z1675" s="565"/>
    </row>
    <row r="1676" spans="1:26" s="639" customFormat="1" ht="37.5" customHeight="1">
      <c r="A1676" s="647">
        <v>4390</v>
      </c>
      <c r="B1676" s="651" t="s">
        <v>222</v>
      </c>
      <c r="C1676" s="603">
        <v>2000</v>
      </c>
      <c r="D1676" s="581">
        <f>G1676+J1676+P1676+M1676</f>
        <v>2000</v>
      </c>
      <c r="E1676" s="581">
        <f>SUM(H1676+K1676+N1676+Q1676)</f>
        <v>67</v>
      </c>
      <c r="F1676" s="582">
        <f>E1676/D1676*100</f>
        <v>3.35</v>
      </c>
      <c r="G1676" s="581"/>
      <c r="H1676" s="586"/>
      <c r="I1676" s="649"/>
      <c r="J1676" s="586"/>
      <c r="K1676" s="581"/>
      <c r="L1676" s="587"/>
      <c r="M1676" s="603">
        <v>2000</v>
      </c>
      <c r="N1676" s="581">
        <v>67</v>
      </c>
      <c r="O1676" s="627">
        <f t="shared" si="200"/>
        <v>3.35</v>
      </c>
      <c r="P1676" s="581"/>
      <c r="Q1676" s="581"/>
      <c r="R1676" s="653"/>
      <c r="S1676" s="564"/>
      <c r="T1676" s="564"/>
      <c r="U1676" s="564"/>
      <c r="V1676" s="564"/>
      <c r="W1676" s="565"/>
      <c r="X1676" s="565"/>
      <c r="Y1676" s="565"/>
      <c r="Z1676" s="565"/>
    </row>
    <row r="1677" spans="1:26" s="639" customFormat="1" ht="24">
      <c r="A1677" s="647">
        <v>4410</v>
      </c>
      <c r="B1677" s="828" t="s">
        <v>173</v>
      </c>
      <c r="C1677" s="603">
        <v>500</v>
      </c>
      <c r="D1677" s="581">
        <f>G1677+J1677+P1677+M1677</f>
        <v>500</v>
      </c>
      <c r="E1677" s="581">
        <f>SUM(H1677+K1677+N1677+Q1677)</f>
        <v>0</v>
      </c>
      <c r="F1677" s="582"/>
      <c r="G1677" s="581"/>
      <c r="H1677" s="586"/>
      <c r="I1677" s="649"/>
      <c r="J1677" s="586"/>
      <c r="K1677" s="581"/>
      <c r="L1677" s="587"/>
      <c r="M1677" s="603">
        <v>500</v>
      </c>
      <c r="N1677" s="581"/>
      <c r="O1677" s="627">
        <f t="shared" si="200"/>
        <v>0</v>
      </c>
      <c r="P1677" s="581"/>
      <c r="Q1677" s="581"/>
      <c r="R1677" s="653"/>
      <c r="S1677" s="564"/>
      <c r="T1677" s="564"/>
      <c r="U1677" s="564"/>
      <c r="V1677" s="564"/>
      <c r="W1677" s="565"/>
      <c r="X1677" s="565"/>
      <c r="Y1677" s="565"/>
      <c r="Z1677" s="565"/>
    </row>
    <row r="1678" spans="1:26" s="639" customFormat="1" ht="12.75">
      <c r="A1678" s="647">
        <v>4440</v>
      </c>
      <c r="B1678" s="828" t="s">
        <v>203</v>
      </c>
      <c r="C1678" s="603">
        <v>64300</v>
      </c>
      <c r="D1678" s="581">
        <f t="shared" si="201"/>
        <v>64300</v>
      </c>
      <c r="E1678" s="581">
        <f t="shared" si="203"/>
        <v>0</v>
      </c>
      <c r="F1678" s="582">
        <f t="shared" si="202"/>
        <v>0</v>
      </c>
      <c r="G1678" s="581"/>
      <c r="H1678" s="586"/>
      <c r="I1678" s="649"/>
      <c r="J1678" s="586"/>
      <c r="K1678" s="581"/>
      <c r="L1678" s="587"/>
      <c r="M1678" s="603">
        <v>64300</v>
      </c>
      <c r="N1678" s="581"/>
      <c r="O1678" s="627">
        <f t="shared" si="200"/>
        <v>0</v>
      </c>
      <c r="P1678" s="581"/>
      <c r="Q1678" s="581"/>
      <c r="R1678" s="653"/>
      <c r="S1678" s="564"/>
      <c r="T1678" s="564"/>
      <c r="U1678" s="564"/>
      <c r="V1678" s="564"/>
      <c r="W1678" s="565"/>
      <c r="X1678" s="565"/>
      <c r="Y1678" s="565"/>
      <c r="Z1678" s="565"/>
    </row>
    <row r="1679" spans="1:26" s="639" customFormat="1" ht="40.5" customHeight="1">
      <c r="A1679" s="647">
        <v>4700</v>
      </c>
      <c r="B1679" s="712" t="s">
        <v>588</v>
      </c>
      <c r="C1679" s="603">
        <v>1000</v>
      </c>
      <c r="D1679" s="581">
        <f t="shared" si="201"/>
        <v>1000</v>
      </c>
      <c r="E1679" s="581">
        <f t="shared" si="203"/>
        <v>0</v>
      </c>
      <c r="F1679" s="582">
        <f t="shared" si="202"/>
        <v>0</v>
      </c>
      <c r="G1679" s="581"/>
      <c r="H1679" s="586"/>
      <c r="I1679" s="649"/>
      <c r="J1679" s="586"/>
      <c r="K1679" s="581"/>
      <c r="L1679" s="587"/>
      <c r="M1679" s="603">
        <v>1000</v>
      </c>
      <c r="N1679" s="581"/>
      <c r="O1679" s="627">
        <f t="shared" si="200"/>
        <v>0</v>
      </c>
      <c r="P1679" s="581"/>
      <c r="Q1679" s="581"/>
      <c r="R1679" s="653"/>
      <c r="S1679" s="564"/>
      <c r="T1679" s="564"/>
      <c r="U1679" s="564"/>
      <c r="V1679" s="564"/>
      <c r="W1679" s="565"/>
      <c r="X1679" s="565"/>
      <c r="Y1679" s="565"/>
      <c r="Z1679" s="565"/>
    </row>
    <row r="1680" spans="1:26" s="639" customFormat="1" ht="48.75" customHeight="1">
      <c r="A1680" s="647">
        <v>4740</v>
      </c>
      <c r="B1680" s="712" t="s">
        <v>215</v>
      </c>
      <c r="C1680" s="603">
        <v>1200</v>
      </c>
      <c r="D1680" s="581">
        <f>G1680+J1680+P1680+M1680</f>
        <v>1200</v>
      </c>
      <c r="E1680" s="581">
        <f>SUM(H1680+K1680+N1680+Q1680)</f>
        <v>0</v>
      </c>
      <c r="F1680" s="582">
        <f>E1680/D1680*100</f>
        <v>0</v>
      </c>
      <c r="G1680" s="581"/>
      <c r="H1680" s="586"/>
      <c r="I1680" s="649"/>
      <c r="J1680" s="586"/>
      <c r="K1680" s="581"/>
      <c r="L1680" s="587"/>
      <c r="M1680" s="603">
        <v>1200</v>
      </c>
      <c r="N1680" s="581"/>
      <c r="O1680" s="627">
        <f t="shared" si="200"/>
        <v>0</v>
      </c>
      <c r="P1680" s="581"/>
      <c r="Q1680" s="581"/>
      <c r="R1680" s="653"/>
      <c r="S1680" s="564"/>
      <c r="T1680" s="564"/>
      <c r="U1680" s="564"/>
      <c r="V1680" s="564"/>
      <c r="W1680" s="565"/>
      <c r="X1680" s="565"/>
      <c r="Y1680" s="565"/>
      <c r="Z1680" s="565"/>
    </row>
    <row r="1681" spans="1:26" s="639" customFormat="1" ht="36" hidden="1">
      <c r="A1681" s="647">
        <v>6050</v>
      </c>
      <c r="B1681" s="712" t="s">
        <v>225</v>
      </c>
      <c r="C1681" s="603"/>
      <c r="D1681" s="581">
        <f>G1681+J1681+P1681+M1681</f>
        <v>0</v>
      </c>
      <c r="E1681" s="581">
        <f>SUM(H1681+K1681+N1681+Q1681)</f>
        <v>0</v>
      </c>
      <c r="F1681" s="582" t="e">
        <f>E1681/D1681*100</f>
        <v>#DIV/0!</v>
      </c>
      <c r="G1681" s="581"/>
      <c r="H1681" s="586"/>
      <c r="I1681" s="649"/>
      <c r="J1681" s="586"/>
      <c r="K1681" s="581"/>
      <c r="L1681" s="587"/>
      <c r="M1681" s="603"/>
      <c r="N1681" s="581"/>
      <c r="O1681" s="627" t="e">
        <f t="shared" si="200"/>
        <v>#DIV/0!</v>
      </c>
      <c r="P1681" s="581"/>
      <c r="Q1681" s="581"/>
      <c r="R1681" s="653"/>
      <c r="S1681" s="564"/>
      <c r="T1681" s="564"/>
      <c r="U1681" s="564"/>
      <c r="V1681" s="564"/>
      <c r="W1681" s="565"/>
      <c r="X1681" s="565"/>
      <c r="Y1681" s="565"/>
      <c r="Z1681" s="565"/>
    </row>
    <row r="1682" spans="1:26" s="639" customFormat="1" ht="36">
      <c r="A1682" s="647">
        <v>4750</v>
      </c>
      <c r="B1682" s="712" t="s">
        <v>589</v>
      </c>
      <c r="C1682" s="603">
        <v>2200</v>
      </c>
      <c r="D1682" s="581">
        <f t="shared" si="201"/>
        <v>2200</v>
      </c>
      <c r="E1682" s="581">
        <f>SUM(H1682+K1682+N1682+Q1682)</f>
        <v>319</v>
      </c>
      <c r="F1682" s="582">
        <f>E1682/D1682*100</f>
        <v>14.499999999999998</v>
      </c>
      <c r="G1682" s="581"/>
      <c r="H1682" s="586"/>
      <c r="I1682" s="649"/>
      <c r="J1682" s="586"/>
      <c r="K1682" s="581"/>
      <c r="L1682" s="587"/>
      <c r="M1682" s="603">
        <v>2200</v>
      </c>
      <c r="N1682" s="581">
        <v>319</v>
      </c>
      <c r="O1682" s="627">
        <f t="shared" si="200"/>
        <v>14.499999999999998</v>
      </c>
      <c r="P1682" s="581"/>
      <c r="Q1682" s="581"/>
      <c r="R1682" s="653"/>
      <c r="S1682" s="564"/>
      <c r="T1682" s="564"/>
      <c r="U1682" s="564"/>
      <c r="V1682" s="564"/>
      <c r="W1682" s="565"/>
      <c r="X1682" s="565"/>
      <c r="Y1682" s="565"/>
      <c r="Z1682" s="565"/>
    </row>
    <row r="1683" spans="1:26" s="639" customFormat="1" ht="24" hidden="1">
      <c r="A1683" s="657"/>
      <c r="B1683" s="798" t="s">
        <v>831</v>
      </c>
      <c r="C1683" s="659"/>
      <c r="D1683" s="660">
        <f t="shared" si="201"/>
        <v>0</v>
      </c>
      <c r="E1683" s="660">
        <f aca="true" t="shared" si="204" ref="E1683:E1694">SUM(H1683+K1683+N1683+Q1683)</f>
        <v>0</v>
      </c>
      <c r="F1683" s="630" t="e">
        <f aca="true" t="shared" si="205" ref="F1683:F1745">E1683/D1683*100</f>
        <v>#DIV/0!</v>
      </c>
      <c r="G1683" s="660"/>
      <c r="H1683" s="661"/>
      <c r="I1683" s="800"/>
      <c r="J1683" s="661"/>
      <c r="K1683" s="660"/>
      <c r="L1683" s="662"/>
      <c r="M1683" s="661">
        <f>SUM(M1684:M1688)</f>
        <v>0</v>
      </c>
      <c r="N1683" s="661">
        <f>SUM(N1684:N1688)</f>
        <v>0</v>
      </c>
      <c r="O1683" s="627" t="e">
        <f t="shared" si="200"/>
        <v>#DIV/0!</v>
      </c>
      <c r="P1683" s="660"/>
      <c r="Q1683" s="660"/>
      <c r="R1683" s="666"/>
      <c r="S1683" s="564"/>
      <c r="T1683" s="564"/>
      <c r="U1683" s="564"/>
      <c r="V1683" s="564"/>
      <c r="W1683" s="565"/>
      <c r="X1683" s="565"/>
      <c r="Y1683" s="565"/>
      <c r="Z1683" s="565"/>
    </row>
    <row r="1684" spans="1:26" s="639" customFormat="1" ht="36" hidden="1">
      <c r="A1684" s="647">
        <v>4010</v>
      </c>
      <c r="B1684" s="651" t="s">
        <v>181</v>
      </c>
      <c r="C1684" s="603"/>
      <c r="D1684" s="581">
        <f t="shared" si="201"/>
        <v>0</v>
      </c>
      <c r="E1684" s="581">
        <f t="shared" si="204"/>
        <v>0</v>
      </c>
      <c r="F1684" s="582" t="e">
        <f t="shared" si="205"/>
        <v>#DIV/0!</v>
      </c>
      <c r="G1684" s="581"/>
      <c r="H1684" s="586"/>
      <c r="I1684" s="649"/>
      <c r="J1684" s="586"/>
      <c r="K1684" s="581"/>
      <c r="L1684" s="587"/>
      <c r="M1684" s="586"/>
      <c r="N1684" s="586"/>
      <c r="O1684" s="627" t="e">
        <f t="shared" si="200"/>
        <v>#DIV/0!</v>
      </c>
      <c r="P1684" s="581"/>
      <c r="Q1684" s="581"/>
      <c r="R1684" s="653"/>
      <c r="S1684" s="564"/>
      <c r="T1684" s="564"/>
      <c r="U1684" s="564"/>
      <c r="V1684" s="564"/>
      <c r="W1684" s="565"/>
      <c r="X1684" s="565"/>
      <c r="Y1684" s="565"/>
      <c r="Z1684" s="565"/>
    </row>
    <row r="1685" spans="1:26" s="639" customFormat="1" ht="36" hidden="1">
      <c r="A1685" s="647">
        <v>4110</v>
      </c>
      <c r="B1685" s="651" t="s">
        <v>187</v>
      </c>
      <c r="C1685" s="603"/>
      <c r="D1685" s="581">
        <f t="shared" si="201"/>
        <v>0</v>
      </c>
      <c r="E1685" s="581">
        <f t="shared" si="204"/>
        <v>0</v>
      </c>
      <c r="F1685" s="582" t="e">
        <f t="shared" si="205"/>
        <v>#DIV/0!</v>
      </c>
      <c r="G1685" s="581"/>
      <c r="H1685" s="586"/>
      <c r="I1685" s="649"/>
      <c r="J1685" s="586"/>
      <c r="K1685" s="581"/>
      <c r="L1685" s="587"/>
      <c r="M1685" s="586"/>
      <c r="N1685" s="586"/>
      <c r="O1685" s="627" t="e">
        <f t="shared" si="200"/>
        <v>#DIV/0!</v>
      </c>
      <c r="P1685" s="581"/>
      <c r="Q1685" s="581"/>
      <c r="R1685" s="653"/>
      <c r="S1685" s="564"/>
      <c r="T1685" s="564"/>
      <c r="U1685" s="564"/>
      <c r="V1685" s="564"/>
      <c r="W1685" s="565"/>
      <c r="X1685" s="565"/>
      <c r="Y1685" s="565"/>
      <c r="Z1685" s="565"/>
    </row>
    <row r="1686" spans="1:26" s="639" customFormat="1" ht="12.75" hidden="1">
      <c r="A1686" s="647">
        <v>4120</v>
      </c>
      <c r="B1686" s="651" t="s">
        <v>619</v>
      </c>
      <c r="C1686" s="603"/>
      <c r="D1686" s="581">
        <f t="shared" si="201"/>
        <v>0</v>
      </c>
      <c r="E1686" s="581">
        <f t="shared" si="204"/>
        <v>0</v>
      </c>
      <c r="F1686" s="582" t="e">
        <f t="shared" si="205"/>
        <v>#DIV/0!</v>
      </c>
      <c r="G1686" s="581"/>
      <c r="H1686" s="586"/>
      <c r="I1686" s="649"/>
      <c r="J1686" s="586"/>
      <c r="K1686" s="581"/>
      <c r="L1686" s="587"/>
      <c r="M1686" s="586"/>
      <c r="N1686" s="586"/>
      <c r="O1686" s="627" t="e">
        <f t="shared" si="200"/>
        <v>#DIV/0!</v>
      </c>
      <c r="P1686" s="581"/>
      <c r="Q1686" s="581"/>
      <c r="R1686" s="653"/>
      <c r="S1686" s="564"/>
      <c r="T1686" s="564"/>
      <c r="U1686" s="564"/>
      <c r="V1686" s="564"/>
      <c r="W1686" s="565"/>
      <c r="X1686" s="565"/>
      <c r="Y1686" s="565"/>
      <c r="Z1686" s="565"/>
    </row>
    <row r="1687" spans="1:26" s="639" customFormat="1" ht="24" hidden="1">
      <c r="A1687" s="647">
        <v>4210</v>
      </c>
      <c r="B1687" s="651" t="s">
        <v>191</v>
      </c>
      <c r="C1687" s="603"/>
      <c r="D1687" s="581">
        <f t="shared" si="201"/>
        <v>0</v>
      </c>
      <c r="E1687" s="581">
        <f t="shared" si="204"/>
        <v>0</v>
      </c>
      <c r="F1687" s="582" t="e">
        <f t="shared" si="205"/>
        <v>#DIV/0!</v>
      </c>
      <c r="G1687" s="581"/>
      <c r="H1687" s="586"/>
      <c r="I1687" s="649"/>
      <c r="J1687" s="586"/>
      <c r="K1687" s="581"/>
      <c r="L1687" s="587"/>
      <c r="M1687" s="586"/>
      <c r="N1687" s="586"/>
      <c r="O1687" s="627" t="e">
        <f t="shared" si="200"/>
        <v>#DIV/0!</v>
      </c>
      <c r="P1687" s="581"/>
      <c r="Q1687" s="581"/>
      <c r="R1687" s="653"/>
      <c r="S1687" s="564"/>
      <c r="T1687" s="564"/>
      <c r="U1687" s="564"/>
      <c r="V1687" s="564"/>
      <c r="W1687" s="565"/>
      <c r="X1687" s="565"/>
      <c r="Y1687" s="565"/>
      <c r="Z1687" s="565"/>
    </row>
    <row r="1688" spans="1:26" s="639" customFormat="1" ht="24" hidden="1">
      <c r="A1688" s="647">
        <v>4300</v>
      </c>
      <c r="B1688" s="651" t="s">
        <v>199</v>
      </c>
      <c r="C1688" s="603"/>
      <c r="D1688" s="581">
        <f t="shared" si="201"/>
        <v>0</v>
      </c>
      <c r="E1688" s="581">
        <f t="shared" si="204"/>
        <v>0</v>
      </c>
      <c r="F1688" s="582" t="e">
        <f t="shared" si="205"/>
        <v>#DIV/0!</v>
      </c>
      <c r="G1688" s="581"/>
      <c r="H1688" s="586"/>
      <c r="I1688" s="649"/>
      <c r="J1688" s="586"/>
      <c r="K1688" s="581"/>
      <c r="L1688" s="587"/>
      <c r="M1688" s="586"/>
      <c r="N1688" s="586"/>
      <c r="O1688" s="627" t="e">
        <f t="shared" si="200"/>
        <v>#DIV/0!</v>
      </c>
      <c r="P1688" s="581"/>
      <c r="Q1688" s="581"/>
      <c r="R1688" s="653"/>
      <c r="S1688" s="564"/>
      <c r="T1688" s="564"/>
      <c r="U1688" s="564"/>
      <c r="V1688" s="564"/>
      <c r="W1688" s="565"/>
      <c r="X1688" s="565"/>
      <c r="Y1688" s="565"/>
      <c r="Z1688" s="565"/>
    </row>
    <row r="1689" spans="1:26" s="639" customFormat="1" ht="36" hidden="1">
      <c r="A1689" s="657"/>
      <c r="B1689" s="798" t="s">
        <v>832</v>
      </c>
      <c r="C1689" s="659"/>
      <c r="D1689" s="660">
        <f t="shared" si="201"/>
        <v>0</v>
      </c>
      <c r="E1689" s="660">
        <f t="shared" si="204"/>
        <v>0</v>
      </c>
      <c r="F1689" s="630" t="e">
        <f t="shared" si="205"/>
        <v>#DIV/0!</v>
      </c>
      <c r="G1689" s="660"/>
      <c r="H1689" s="661"/>
      <c r="I1689" s="800"/>
      <c r="J1689" s="661"/>
      <c r="K1689" s="660"/>
      <c r="L1689" s="662"/>
      <c r="M1689" s="661">
        <f>SUM(M1690:M1694)</f>
        <v>0</v>
      </c>
      <c r="N1689" s="661">
        <f>SUM(N1690:N1694)</f>
        <v>0</v>
      </c>
      <c r="O1689" s="867" t="e">
        <f t="shared" si="200"/>
        <v>#DIV/0!</v>
      </c>
      <c r="P1689" s="660"/>
      <c r="Q1689" s="660"/>
      <c r="R1689" s="666"/>
      <c r="S1689" s="564"/>
      <c r="T1689" s="564"/>
      <c r="U1689" s="564"/>
      <c r="V1689" s="564"/>
      <c r="W1689" s="565"/>
      <c r="X1689" s="565"/>
      <c r="Y1689" s="565"/>
      <c r="Z1689" s="565"/>
    </row>
    <row r="1690" spans="1:26" s="639" customFormat="1" ht="36" hidden="1">
      <c r="A1690" s="647">
        <v>4010</v>
      </c>
      <c r="B1690" s="651" t="s">
        <v>181</v>
      </c>
      <c r="C1690" s="603"/>
      <c r="D1690" s="581">
        <f t="shared" si="201"/>
        <v>0</v>
      </c>
      <c r="E1690" s="581">
        <f t="shared" si="204"/>
        <v>0</v>
      </c>
      <c r="F1690" s="582" t="e">
        <f t="shared" si="205"/>
        <v>#DIV/0!</v>
      </c>
      <c r="G1690" s="581"/>
      <c r="H1690" s="586"/>
      <c r="I1690" s="649"/>
      <c r="J1690" s="586"/>
      <c r="K1690" s="581"/>
      <c r="L1690" s="587"/>
      <c r="M1690" s="586">
        <f>2900-2900</f>
        <v>0</v>
      </c>
      <c r="N1690" s="586"/>
      <c r="O1690" s="627" t="e">
        <f t="shared" si="200"/>
        <v>#DIV/0!</v>
      </c>
      <c r="P1690" s="581"/>
      <c r="Q1690" s="581"/>
      <c r="R1690" s="653"/>
      <c r="S1690" s="564"/>
      <c r="T1690" s="564"/>
      <c r="U1690" s="564"/>
      <c r="V1690" s="564"/>
      <c r="W1690" s="565"/>
      <c r="X1690" s="565"/>
      <c r="Y1690" s="565"/>
      <c r="Z1690" s="565"/>
    </row>
    <row r="1691" spans="1:26" s="639" customFormat="1" ht="36" hidden="1">
      <c r="A1691" s="647">
        <v>4110</v>
      </c>
      <c r="B1691" s="651" t="s">
        <v>187</v>
      </c>
      <c r="C1691" s="603"/>
      <c r="D1691" s="581">
        <f t="shared" si="201"/>
        <v>0</v>
      </c>
      <c r="E1691" s="581">
        <f t="shared" si="204"/>
        <v>0</v>
      </c>
      <c r="F1691" s="582" t="e">
        <f t="shared" si="205"/>
        <v>#DIV/0!</v>
      </c>
      <c r="G1691" s="581"/>
      <c r="H1691" s="586"/>
      <c r="I1691" s="649"/>
      <c r="J1691" s="586"/>
      <c r="K1691" s="581"/>
      <c r="L1691" s="587"/>
      <c r="M1691" s="586">
        <f>520-520</f>
        <v>0</v>
      </c>
      <c r="N1691" s="586"/>
      <c r="O1691" s="627" t="e">
        <f t="shared" si="200"/>
        <v>#DIV/0!</v>
      </c>
      <c r="P1691" s="581"/>
      <c r="Q1691" s="581"/>
      <c r="R1691" s="653"/>
      <c r="S1691" s="564"/>
      <c r="T1691" s="564"/>
      <c r="U1691" s="564"/>
      <c r="V1691" s="564"/>
      <c r="W1691" s="565"/>
      <c r="X1691" s="565"/>
      <c r="Y1691" s="565"/>
      <c r="Z1691" s="565"/>
    </row>
    <row r="1692" spans="1:26" s="639" customFormat="1" ht="12.75" hidden="1">
      <c r="A1692" s="647">
        <v>4120</v>
      </c>
      <c r="B1692" s="651" t="s">
        <v>619</v>
      </c>
      <c r="C1692" s="603"/>
      <c r="D1692" s="581">
        <f>G1692+J1692+P1692+M1692</f>
        <v>0</v>
      </c>
      <c r="E1692" s="581">
        <f>SUM(H1692+K1692+N1692+Q1692)</f>
        <v>0</v>
      </c>
      <c r="F1692" s="582" t="e">
        <f>E1692/D1692*100</f>
        <v>#DIV/0!</v>
      </c>
      <c r="G1692" s="581"/>
      <c r="H1692" s="586"/>
      <c r="I1692" s="649"/>
      <c r="J1692" s="586"/>
      <c r="K1692" s="581"/>
      <c r="L1692" s="587"/>
      <c r="M1692" s="586">
        <f>80-80</f>
        <v>0</v>
      </c>
      <c r="N1692" s="586"/>
      <c r="O1692" s="627" t="e">
        <f t="shared" si="200"/>
        <v>#DIV/0!</v>
      </c>
      <c r="P1692" s="581"/>
      <c r="Q1692" s="581"/>
      <c r="R1692" s="653"/>
      <c r="S1692" s="564"/>
      <c r="T1692" s="564"/>
      <c r="U1692" s="564"/>
      <c r="V1692" s="564"/>
      <c r="W1692" s="565"/>
      <c r="X1692" s="565"/>
      <c r="Y1692" s="565"/>
      <c r="Z1692" s="565"/>
    </row>
    <row r="1693" spans="1:26" s="639" customFormat="1" ht="48" hidden="1">
      <c r="A1693" s="647">
        <v>4240</v>
      </c>
      <c r="B1693" s="651" t="s">
        <v>608</v>
      </c>
      <c r="C1693" s="603"/>
      <c r="D1693" s="581">
        <f>G1693+J1693+P1693+M1693</f>
        <v>0</v>
      </c>
      <c r="E1693" s="581">
        <f>SUM(H1693+K1693+N1693+Q1693)</f>
        <v>0</v>
      </c>
      <c r="F1693" s="582" t="e">
        <f>E1693/D1693*100</f>
        <v>#DIV/0!</v>
      </c>
      <c r="G1693" s="581"/>
      <c r="H1693" s="586"/>
      <c r="I1693" s="649"/>
      <c r="J1693" s="586"/>
      <c r="K1693" s="581"/>
      <c r="L1693" s="587"/>
      <c r="M1693" s="586"/>
      <c r="N1693" s="586"/>
      <c r="O1693" s="627" t="e">
        <f t="shared" si="200"/>
        <v>#DIV/0!</v>
      </c>
      <c r="P1693" s="581"/>
      <c r="Q1693" s="581"/>
      <c r="R1693" s="653"/>
      <c r="S1693" s="564"/>
      <c r="T1693" s="564"/>
      <c r="U1693" s="564"/>
      <c r="V1693" s="564"/>
      <c r="W1693" s="565"/>
      <c r="X1693" s="565"/>
      <c r="Y1693" s="565"/>
      <c r="Z1693" s="565"/>
    </row>
    <row r="1694" spans="1:26" s="639" customFormat="1" ht="60" hidden="1">
      <c r="A1694" s="647">
        <v>4700</v>
      </c>
      <c r="B1694" s="712" t="s">
        <v>588</v>
      </c>
      <c r="C1694" s="603"/>
      <c r="D1694" s="581">
        <f t="shared" si="201"/>
        <v>0</v>
      </c>
      <c r="E1694" s="581">
        <f t="shared" si="204"/>
        <v>0</v>
      </c>
      <c r="F1694" s="582" t="e">
        <f t="shared" si="205"/>
        <v>#DIV/0!</v>
      </c>
      <c r="G1694" s="581"/>
      <c r="H1694" s="586"/>
      <c r="I1694" s="649"/>
      <c r="J1694" s="586"/>
      <c r="K1694" s="581"/>
      <c r="L1694" s="587"/>
      <c r="M1694" s="586"/>
      <c r="N1694" s="586"/>
      <c r="O1694" s="627" t="e">
        <f t="shared" si="200"/>
        <v>#DIV/0!</v>
      </c>
      <c r="P1694" s="581"/>
      <c r="Q1694" s="581"/>
      <c r="R1694" s="653"/>
      <c r="S1694" s="564"/>
      <c r="T1694" s="564"/>
      <c r="U1694" s="564"/>
      <c r="V1694" s="564"/>
      <c r="W1694" s="565"/>
      <c r="X1694" s="565"/>
      <c r="Y1694" s="565"/>
      <c r="Z1694" s="565"/>
    </row>
    <row r="1695" spans="1:26" s="639" customFormat="1" ht="24">
      <c r="A1695" s="640">
        <v>85407</v>
      </c>
      <c r="B1695" s="856" t="s">
        <v>833</v>
      </c>
      <c r="C1695" s="608">
        <f>SUM(C1696:C1718)</f>
        <v>1793500</v>
      </c>
      <c r="D1695" s="595">
        <f t="shared" si="201"/>
        <v>1793500</v>
      </c>
      <c r="E1695" s="595">
        <f>H1695+K1695+Q1695+N1695</f>
        <v>469169</v>
      </c>
      <c r="F1695" s="596">
        <f t="shared" si="205"/>
        <v>26.159408976860888</v>
      </c>
      <c r="G1695" s="595"/>
      <c r="H1695" s="595"/>
      <c r="I1695" s="645"/>
      <c r="J1695" s="600"/>
      <c r="K1695" s="595"/>
      <c r="L1695" s="601"/>
      <c r="M1695" s="600">
        <f>SUM(M1696:M1718)</f>
        <v>1793500</v>
      </c>
      <c r="N1695" s="600">
        <f>SUM(N1696:N1718)</f>
        <v>469169</v>
      </c>
      <c r="O1695" s="624">
        <f t="shared" si="200"/>
        <v>26.159408976860888</v>
      </c>
      <c r="P1695" s="595"/>
      <c r="Q1695" s="595"/>
      <c r="R1695" s="685"/>
      <c r="S1695" s="564"/>
      <c r="T1695" s="564"/>
      <c r="U1695" s="564"/>
      <c r="V1695" s="564"/>
      <c r="W1695" s="565"/>
      <c r="X1695" s="565"/>
      <c r="Y1695" s="565"/>
      <c r="Z1695" s="565"/>
    </row>
    <row r="1696" spans="1:26" s="639" customFormat="1" ht="36">
      <c r="A1696" s="647">
        <v>3020</v>
      </c>
      <c r="B1696" s="828" t="s">
        <v>736</v>
      </c>
      <c r="C1696" s="603">
        <v>6800</v>
      </c>
      <c r="D1696" s="581">
        <f t="shared" si="201"/>
        <v>6800</v>
      </c>
      <c r="E1696" s="581">
        <f aca="true" t="shared" si="206" ref="E1696:E1718">SUM(H1696+K1696+N1696+Q1696)</f>
        <v>0</v>
      </c>
      <c r="F1696" s="582">
        <f t="shared" si="205"/>
        <v>0</v>
      </c>
      <c r="G1696" s="581"/>
      <c r="H1696" s="586"/>
      <c r="I1696" s="649"/>
      <c r="J1696" s="586"/>
      <c r="K1696" s="581"/>
      <c r="L1696" s="587"/>
      <c r="M1696" s="603">
        <v>6800</v>
      </c>
      <c r="N1696" s="581"/>
      <c r="O1696" s="627">
        <f t="shared" si="200"/>
        <v>0</v>
      </c>
      <c r="P1696" s="581"/>
      <c r="Q1696" s="581"/>
      <c r="R1696" s="653"/>
      <c r="S1696" s="564"/>
      <c r="T1696" s="564"/>
      <c r="U1696" s="564"/>
      <c r="V1696" s="564"/>
      <c r="W1696" s="565"/>
      <c r="X1696" s="565"/>
      <c r="Y1696" s="565"/>
      <c r="Z1696" s="565"/>
    </row>
    <row r="1697" spans="1:26" s="639" customFormat="1" ht="27.75" customHeight="1">
      <c r="A1697" s="647">
        <v>4010</v>
      </c>
      <c r="B1697" s="651" t="s">
        <v>181</v>
      </c>
      <c r="C1697" s="603">
        <v>1182000</v>
      </c>
      <c r="D1697" s="581">
        <f t="shared" si="201"/>
        <v>1182000</v>
      </c>
      <c r="E1697" s="581">
        <f t="shared" si="206"/>
        <v>277035</v>
      </c>
      <c r="F1697" s="582">
        <f t="shared" si="205"/>
        <v>23.437817258883246</v>
      </c>
      <c r="G1697" s="581"/>
      <c r="H1697" s="586"/>
      <c r="I1697" s="649"/>
      <c r="J1697" s="586"/>
      <c r="K1697" s="581"/>
      <c r="L1697" s="587"/>
      <c r="M1697" s="603">
        <v>1182000</v>
      </c>
      <c r="N1697" s="581">
        <v>277035</v>
      </c>
      <c r="O1697" s="627">
        <f t="shared" si="200"/>
        <v>23.437817258883246</v>
      </c>
      <c r="P1697" s="581"/>
      <c r="Q1697" s="581"/>
      <c r="R1697" s="653"/>
      <c r="S1697" s="700"/>
      <c r="T1697" s="700"/>
      <c r="U1697" s="700"/>
      <c r="V1697" s="700"/>
      <c r="W1697" s="565"/>
      <c r="X1697" s="565"/>
      <c r="Y1697" s="565"/>
      <c r="Z1697" s="565"/>
    </row>
    <row r="1698" spans="1:26" s="639" customFormat="1" ht="24">
      <c r="A1698" s="647">
        <v>4040</v>
      </c>
      <c r="B1698" s="651" t="s">
        <v>185</v>
      </c>
      <c r="C1698" s="603">
        <v>95100</v>
      </c>
      <c r="D1698" s="581">
        <f t="shared" si="201"/>
        <v>95100</v>
      </c>
      <c r="E1698" s="581">
        <f t="shared" si="206"/>
        <v>65266</v>
      </c>
      <c r="F1698" s="582">
        <f t="shared" si="205"/>
        <v>68.62881177707676</v>
      </c>
      <c r="G1698" s="785"/>
      <c r="H1698" s="586"/>
      <c r="I1698" s="649"/>
      <c r="J1698" s="586"/>
      <c r="K1698" s="581"/>
      <c r="L1698" s="587"/>
      <c r="M1698" s="603">
        <v>95100</v>
      </c>
      <c r="N1698" s="581">
        <v>65266</v>
      </c>
      <c r="O1698" s="627">
        <f t="shared" si="200"/>
        <v>68.62881177707676</v>
      </c>
      <c r="P1698" s="581"/>
      <c r="Q1698" s="581"/>
      <c r="R1698" s="653"/>
      <c r="S1698" s="700"/>
      <c r="T1698" s="700"/>
      <c r="U1698" s="700"/>
      <c r="V1698" s="700"/>
      <c r="W1698" s="565"/>
      <c r="X1698" s="565"/>
      <c r="Y1698" s="565"/>
      <c r="Z1698" s="565"/>
    </row>
    <row r="1699" spans="1:26" s="639" customFormat="1" ht="26.25" customHeight="1">
      <c r="A1699" s="647">
        <v>4110</v>
      </c>
      <c r="B1699" s="651" t="s">
        <v>187</v>
      </c>
      <c r="C1699" s="603">
        <v>191300</v>
      </c>
      <c r="D1699" s="581">
        <f t="shared" si="201"/>
        <v>191300</v>
      </c>
      <c r="E1699" s="581">
        <f t="shared" si="206"/>
        <v>43002</v>
      </c>
      <c r="F1699" s="582">
        <f t="shared" si="205"/>
        <v>22.478829064296914</v>
      </c>
      <c r="G1699" s="581"/>
      <c r="H1699" s="586"/>
      <c r="I1699" s="649"/>
      <c r="J1699" s="586"/>
      <c r="K1699" s="581"/>
      <c r="L1699" s="587"/>
      <c r="M1699" s="603">
        <v>191300</v>
      </c>
      <c r="N1699" s="581">
        <v>43002</v>
      </c>
      <c r="O1699" s="627">
        <f t="shared" si="200"/>
        <v>22.478829064296914</v>
      </c>
      <c r="P1699" s="603"/>
      <c r="Q1699" s="581"/>
      <c r="R1699" s="653"/>
      <c r="S1699" s="700"/>
      <c r="T1699" s="700"/>
      <c r="U1699" s="700"/>
      <c r="V1699" s="700"/>
      <c r="W1699" s="565"/>
      <c r="X1699" s="565"/>
      <c r="Y1699" s="565"/>
      <c r="Z1699" s="565"/>
    </row>
    <row r="1700" spans="1:26" s="639" customFormat="1" ht="12.75">
      <c r="A1700" s="647">
        <v>4120</v>
      </c>
      <c r="B1700" s="651" t="s">
        <v>619</v>
      </c>
      <c r="C1700" s="603">
        <v>31300</v>
      </c>
      <c r="D1700" s="581">
        <f t="shared" si="201"/>
        <v>31300</v>
      </c>
      <c r="E1700" s="581">
        <f t="shared" si="206"/>
        <v>6096</v>
      </c>
      <c r="F1700" s="582">
        <f t="shared" si="205"/>
        <v>19.476038338658146</v>
      </c>
      <c r="G1700" s="581"/>
      <c r="H1700" s="586"/>
      <c r="I1700" s="649"/>
      <c r="J1700" s="586"/>
      <c r="K1700" s="581"/>
      <c r="L1700" s="587"/>
      <c r="M1700" s="603">
        <v>31300</v>
      </c>
      <c r="N1700" s="581">
        <v>6096</v>
      </c>
      <c r="O1700" s="627">
        <f t="shared" si="200"/>
        <v>19.476038338658146</v>
      </c>
      <c r="P1700" s="581"/>
      <c r="Q1700" s="581"/>
      <c r="R1700" s="653"/>
      <c r="S1700" s="700"/>
      <c r="T1700" s="700"/>
      <c r="U1700" s="700"/>
      <c r="V1700" s="700"/>
      <c r="W1700" s="565"/>
      <c r="X1700" s="565"/>
      <c r="Y1700" s="565"/>
      <c r="Z1700" s="565"/>
    </row>
    <row r="1701" spans="1:26" s="639" customFormat="1" ht="12.75">
      <c r="A1701" s="647">
        <v>4140</v>
      </c>
      <c r="B1701" s="828" t="s">
        <v>252</v>
      </c>
      <c r="C1701" s="603">
        <v>25200</v>
      </c>
      <c r="D1701" s="581">
        <f t="shared" si="201"/>
        <v>25200</v>
      </c>
      <c r="E1701" s="581">
        <f t="shared" si="206"/>
        <v>3133</v>
      </c>
      <c r="F1701" s="582">
        <f t="shared" si="205"/>
        <v>12.432539682539682</v>
      </c>
      <c r="G1701" s="581"/>
      <c r="H1701" s="586"/>
      <c r="I1701" s="649"/>
      <c r="J1701" s="586"/>
      <c r="K1701" s="581"/>
      <c r="L1701" s="587"/>
      <c r="M1701" s="603">
        <v>25200</v>
      </c>
      <c r="N1701" s="581">
        <v>3133</v>
      </c>
      <c r="O1701" s="627">
        <f t="shared" si="200"/>
        <v>12.432539682539682</v>
      </c>
      <c r="P1701" s="581"/>
      <c r="Q1701" s="581"/>
      <c r="R1701" s="653"/>
      <c r="S1701" s="564"/>
      <c r="T1701" s="564"/>
      <c r="U1701" s="564"/>
      <c r="V1701" s="564"/>
      <c r="W1701" s="565"/>
      <c r="X1701" s="565"/>
      <c r="Y1701" s="565"/>
      <c r="Z1701" s="565"/>
    </row>
    <row r="1702" spans="1:26" s="639" customFormat="1" ht="24" hidden="1">
      <c r="A1702" s="647">
        <v>4170</v>
      </c>
      <c r="B1702" s="651" t="s">
        <v>221</v>
      </c>
      <c r="C1702" s="603"/>
      <c r="D1702" s="581">
        <f t="shared" si="201"/>
        <v>0</v>
      </c>
      <c r="E1702" s="581">
        <f t="shared" si="206"/>
        <v>0</v>
      </c>
      <c r="F1702" s="582" t="e">
        <f t="shared" si="205"/>
        <v>#DIV/0!</v>
      </c>
      <c r="G1702" s="581"/>
      <c r="H1702" s="586"/>
      <c r="I1702" s="649"/>
      <c r="J1702" s="586"/>
      <c r="K1702" s="581"/>
      <c r="L1702" s="587"/>
      <c r="M1702" s="603"/>
      <c r="N1702" s="581"/>
      <c r="O1702" s="627" t="e">
        <f t="shared" si="200"/>
        <v>#DIV/0!</v>
      </c>
      <c r="P1702" s="581"/>
      <c r="Q1702" s="581"/>
      <c r="R1702" s="653"/>
      <c r="S1702" s="564"/>
      <c r="T1702" s="564"/>
      <c r="U1702" s="564"/>
      <c r="V1702" s="564"/>
      <c r="W1702" s="565"/>
      <c r="X1702" s="565"/>
      <c r="Y1702" s="565"/>
      <c r="Z1702" s="565"/>
    </row>
    <row r="1703" spans="1:26" s="639" customFormat="1" ht="24">
      <c r="A1703" s="647">
        <v>4210</v>
      </c>
      <c r="B1703" s="651" t="s">
        <v>191</v>
      </c>
      <c r="C1703" s="603">
        <v>27000</v>
      </c>
      <c r="D1703" s="581">
        <f t="shared" si="201"/>
        <v>25500</v>
      </c>
      <c r="E1703" s="581">
        <f t="shared" si="206"/>
        <v>2964</v>
      </c>
      <c r="F1703" s="582">
        <f t="shared" si="205"/>
        <v>11.623529411764705</v>
      </c>
      <c r="G1703" s="581"/>
      <c r="H1703" s="586"/>
      <c r="I1703" s="649"/>
      <c r="J1703" s="586"/>
      <c r="K1703" s="581"/>
      <c r="L1703" s="587"/>
      <c r="M1703" s="603">
        <f>27000-1500</f>
        <v>25500</v>
      </c>
      <c r="N1703" s="581">
        <v>2964</v>
      </c>
      <c r="O1703" s="627">
        <f t="shared" si="200"/>
        <v>11.623529411764705</v>
      </c>
      <c r="P1703" s="581"/>
      <c r="Q1703" s="581"/>
      <c r="R1703" s="653"/>
      <c r="S1703" s="564"/>
      <c r="T1703" s="564"/>
      <c r="U1703" s="564"/>
      <c r="V1703" s="564"/>
      <c r="W1703" s="565"/>
      <c r="X1703" s="565"/>
      <c r="Y1703" s="565"/>
      <c r="Z1703" s="565"/>
    </row>
    <row r="1704" spans="1:26" s="639" customFormat="1" ht="30.75" customHeight="1">
      <c r="A1704" s="647">
        <v>4240</v>
      </c>
      <c r="B1704" s="651" t="s">
        <v>608</v>
      </c>
      <c r="C1704" s="603">
        <v>9000</v>
      </c>
      <c r="D1704" s="581">
        <f t="shared" si="201"/>
        <v>9000</v>
      </c>
      <c r="E1704" s="581">
        <f t="shared" si="206"/>
        <v>5834</v>
      </c>
      <c r="F1704" s="582">
        <f t="shared" si="205"/>
        <v>64.82222222222222</v>
      </c>
      <c r="G1704" s="581"/>
      <c r="H1704" s="586"/>
      <c r="I1704" s="649"/>
      <c r="J1704" s="586"/>
      <c r="K1704" s="581"/>
      <c r="L1704" s="587"/>
      <c r="M1704" s="603">
        <v>9000</v>
      </c>
      <c r="N1704" s="581">
        <v>5834</v>
      </c>
      <c r="O1704" s="627">
        <f t="shared" si="200"/>
        <v>64.82222222222222</v>
      </c>
      <c r="P1704" s="581"/>
      <c r="Q1704" s="581"/>
      <c r="R1704" s="653"/>
      <c r="S1704" s="564"/>
      <c r="T1704" s="564"/>
      <c r="U1704" s="564"/>
      <c r="V1704" s="564"/>
      <c r="W1704" s="565"/>
      <c r="X1704" s="565"/>
      <c r="Y1704" s="565"/>
      <c r="Z1704" s="565"/>
    </row>
    <row r="1705" spans="1:26" s="639" customFormat="1" ht="12.75">
      <c r="A1705" s="647">
        <v>4260</v>
      </c>
      <c r="B1705" s="651" t="s">
        <v>195</v>
      </c>
      <c r="C1705" s="603">
        <v>68000</v>
      </c>
      <c r="D1705" s="581">
        <f t="shared" si="201"/>
        <v>68000</v>
      </c>
      <c r="E1705" s="581">
        <f t="shared" si="206"/>
        <v>30902</v>
      </c>
      <c r="F1705" s="582">
        <f t="shared" si="205"/>
        <v>45.444117647058825</v>
      </c>
      <c r="G1705" s="581"/>
      <c r="H1705" s="586"/>
      <c r="I1705" s="649"/>
      <c r="J1705" s="586"/>
      <c r="K1705" s="581"/>
      <c r="L1705" s="587"/>
      <c r="M1705" s="603">
        <v>68000</v>
      </c>
      <c r="N1705" s="581">
        <f>30903-1</f>
        <v>30902</v>
      </c>
      <c r="O1705" s="627">
        <f t="shared" si="200"/>
        <v>45.444117647058825</v>
      </c>
      <c r="P1705" s="581"/>
      <c r="Q1705" s="581"/>
      <c r="R1705" s="653"/>
      <c r="S1705" s="564"/>
      <c r="T1705" s="564"/>
      <c r="U1705" s="564"/>
      <c r="V1705" s="564"/>
      <c r="W1705" s="565"/>
      <c r="X1705" s="565"/>
      <c r="Y1705" s="565"/>
      <c r="Z1705" s="565"/>
    </row>
    <row r="1706" spans="1:26" s="639" customFormat="1" ht="15" customHeight="1">
      <c r="A1706" s="647">
        <v>4270</v>
      </c>
      <c r="B1706" s="651" t="s">
        <v>197</v>
      </c>
      <c r="C1706" s="603">
        <v>40000</v>
      </c>
      <c r="D1706" s="581">
        <f>G1706+J1706+P1706+M1706</f>
        <v>40000</v>
      </c>
      <c r="E1706" s="581">
        <f>SUM(H1706+K1706+N1706+Q1706)</f>
        <v>1335</v>
      </c>
      <c r="F1706" s="582">
        <f>E1706/D1706*100</f>
        <v>3.3375000000000004</v>
      </c>
      <c r="G1706" s="581"/>
      <c r="H1706" s="586"/>
      <c r="I1706" s="649"/>
      <c r="J1706" s="586"/>
      <c r="K1706" s="581"/>
      <c r="L1706" s="587"/>
      <c r="M1706" s="603">
        <v>40000</v>
      </c>
      <c r="N1706" s="581">
        <f>1336-1</f>
        <v>1335</v>
      </c>
      <c r="O1706" s="627">
        <f t="shared" si="200"/>
        <v>3.3375000000000004</v>
      </c>
      <c r="P1706" s="581"/>
      <c r="Q1706" s="581"/>
      <c r="R1706" s="653"/>
      <c r="S1706" s="564"/>
      <c r="T1706" s="564"/>
      <c r="U1706" s="564"/>
      <c r="V1706" s="564"/>
      <c r="W1706" s="565"/>
      <c r="X1706" s="565"/>
      <c r="Y1706" s="565"/>
      <c r="Z1706" s="565"/>
    </row>
    <row r="1707" spans="1:26" s="639" customFormat="1" ht="14.25" customHeight="1">
      <c r="A1707" s="647">
        <v>4280</v>
      </c>
      <c r="B1707" s="651" t="s">
        <v>582</v>
      </c>
      <c r="C1707" s="603">
        <v>1200</v>
      </c>
      <c r="D1707" s="581">
        <f t="shared" si="201"/>
        <v>1200</v>
      </c>
      <c r="E1707" s="581">
        <f t="shared" si="206"/>
        <v>0</v>
      </c>
      <c r="F1707" s="582">
        <f t="shared" si="205"/>
        <v>0</v>
      </c>
      <c r="G1707" s="581"/>
      <c r="H1707" s="586"/>
      <c r="I1707" s="649"/>
      <c r="J1707" s="586"/>
      <c r="K1707" s="581"/>
      <c r="L1707" s="587"/>
      <c r="M1707" s="603">
        <v>1200</v>
      </c>
      <c r="N1707" s="581"/>
      <c r="O1707" s="627">
        <f t="shared" si="200"/>
        <v>0</v>
      </c>
      <c r="P1707" s="581"/>
      <c r="Q1707" s="581"/>
      <c r="R1707" s="653"/>
      <c r="S1707" s="564"/>
      <c r="T1707" s="564"/>
      <c r="U1707" s="564"/>
      <c r="V1707" s="564"/>
      <c r="W1707" s="565"/>
      <c r="X1707" s="565"/>
      <c r="Y1707" s="565"/>
      <c r="Z1707" s="565"/>
    </row>
    <row r="1708" spans="1:26" s="639" customFormat="1" ht="17.25" customHeight="1">
      <c r="A1708" s="647">
        <v>4300</v>
      </c>
      <c r="B1708" s="651" t="s">
        <v>199</v>
      </c>
      <c r="C1708" s="603">
        <v>17000</v>
      </c>
      <c r="D1708" s="581">
        <f t="shared" si="201"/>
        <v>17000</v>
      </c>
      <c r="E1708" s="581">
        <f t="shared" si="206"/>
        <v>3667</v>
      </c>
      <c r="F1708" s="582">
        <f t="shared" si="205"/>
        <v>21.570588235294117</v>
      </c>
      <c r="G1708" s="581"/>
      <c r="H1708" s="586"/>
      <c r="I1708" s="649"/>
      <c r="J1708" s="586"/>
      <c r="K1708" s="581"/>
      <c r="L1708" s="587"/>
      <c r="M1708" s="603">
        <v>17000</v>
      </c>
      <c r="N1708" s="581">
        <v>3667</v>
      </c>
      <c r="O1708" s="627">
        <f t="shared" si="200"/>
        <v>21.570588235294117</v>
      </c>
      <c r="P1708" s="581"/>
      <c r="Q1708" s="581"/>
      <c r="R1708" s="653"/>
      <c r="S1708" s="564"/>
      <c r="T1708" s="564"/>
      <c r="U1708" s="564"/>
      <c r="V1708" s="564"/>
      <c r="W1708" s="565"/>
      <c r="X1708" s="565"/>
      <c r="Y1708" s="565"/>
      <c r="Z1708" s="565"/>
    </row>
    <row r="1709" spans="1:26" s="639" customFormat="1" ht="24">
      <c r="A1709" s="647">
        <v>4350</v>
      </c>
      <c r="B1709" s="651" t="s">
        <v>584</v>
      </c>
      <c r="C1709" s="603">
        <v>2700</v>
      </c>
      <c r="D1709" s="581">
        <f t="shared" si="201"/>
        <v>2700</v>
      </c>
      <c r="E1709" s="581">
        <f t="shared" si="206"/>
        <v>578</v>
      </c>
      <c r="F1709" s="582">
        <f t="shared" si="205"/>
        <v>21.40740740740741</v>
      </c>
      <c r="G1709" s="581"/>
      <c r="H1709" s="586"/>
      <c r="I1709" s="649"/>
      <c r="J1709" s="586"/>
      <c r="K1709" s="581"/>
      <c r="L1709" s="587"/>
      <c r="M1709" s="603">
        <v>2700</v>
      </c>
      <c r="N1709" s="581">
        <v>578</v>
      </c>
      <c r="O1709" s="627">
        <f t="shared" si="200"/>
        <v>21.40740740740741</v>
      </c>
      <c r="P1709" s="581"/>
      <c r="Q1709" s="581"/>
      <c r="R1709" s="653"/>
      <c r="S1709" s="564"/>
      <c r="T1709" s="564"/>
      <c r="U1709" s="564"/>
      <c r="V1709" s="564"/>
      <c r="W1709" s="565"/>
      <c r="X1709" s="565"/>
      <c r="Y1709" s="565"/>
      <c r="Z1709" s="565"/>
    </row>
    <row r="1710" spans="1:26" s="639" customFormat="1" ht="63" customHeight="1">
      <c r="A1710" s="647">
        <v>4370</v>
      </c>
      <c r="B1710" s="712" t="s">
        <v>432</v>
      </c>
      <c r="C1710" s="603">
        <v>8400</v>
      </c>
      <c r="D1710" s="581">
        <f>G1710+J1710+P1710+M1710</f>
        <v>8400</v>
      </c>
      <c r="E1710" s="581">
        <f>SUM(H1710+K1710+N1710+Q1710)</f>
        <v>1550</v>
      </c>
      <c r="F1710" s="582">
        <f>E1710/D1710*100</f>
        <v>18.452380952380953</v>
      </c>
      <c r="G1710" s="581"/>
      <c r="H1710" s="586"/>
      <c r="I1710" s="649"/>
      <c r="J1710" s="586"/>
      <c r="K1710" s="581"/>
      <c r="L1710" s="587"/>
      <c r="M1710" s="603">
        <v>8400</v>
      </c>
      <c r="N1710" s="581">
        <v>1550</v>
      </c>
      <c r="O1710" s="627">
        <f t="shared" si="200"/>
        <v>18.452380952380953</v>
      </c>
      <c r="P1710" s="581"/>
      <c r="Q1710" s="581"/>
      <c r="R1710" s="653"/>
      <c r="S1710" s="564"/>
      <c r="T1710" s="564"/>
      <c r="U1710" s="564"/>
      <c r="V1710" s="564"/>
      <c r="W1710" s="565"/>
      <c r="X1710" s="565"/>
      <c r="Y1710" s="565"/>
      <c r="Z1710" s="565"/>
    </row>
    <row r="1711" spans="1:26" s="639" customFormat="1" ht="39" customHeight="1">
      <c r="A1711" s="647">
        <v>4390</v>
      </c>
      <c r="B1711" s="651" t="s">
        <v>222</v>
      </c>
      <c r="C1711" s="603">
        <v>3000</v>
      </c>
      <c r="D1711" s="581">
        <f>G1711+J1711+P1711+M1711</f>
        <v>3000</v>
      </c>
      <c r="E1711" s="581">
        <f>SUM(H1711+K1711+N1711+Q1711)</f>
        <v>350</v>
      </c>
      <c r="F1711" s="582">
        <f>E1711/D1711*100</f>
        <v>11.666666666666666</v>
      </c>
      <c r="G1711" s="581"/>
      <c r="H1711" s="586"/>
      <c r="I1711" s="649"/>
      <c r="J1711" s="586"/>
      <c r="K1711" s="581"/>
      <c r="L1711" s="587"/>
      <c r="M1711" s="603">
        <v>3000</v>
      </c>
      <c r="N1711" s="581">
        <v>350</v>
      </c>
      <c r="O1711" s="627">
        <f t="shared" si="200"/>
        <v>11.666666666666666</v>
      </c>
      <c r="P1711" s="581"/>
      <c r="Q1711" s="581"/>
      <c r="R1711" s="653"/>
      <c r="S1711" s="564"/>
      <c r="T1711" s="564"/>
      <c r="U1711" s="564"/>
      <c r="V1711" s="564"/>
      <c r="W1711" s="565"/>
      <c r="X1711" s="565"/>
      <c r="Y1711" s="565"/>
      <c r="Z1711" s="565"/>
    </row>
    <row r="1712" spans="1:26" s="639" customFormat="1" ht="15" customHeight="1">
      <c r="A1712" s="647">
        <v>4410</v>
      </c>
      <c r="B1712" s="651" t="s">
        <v>173</v>
      </c>
      <c r="C1712" s="603">
        <v>3700</v>
      </c>
      <c r="D1712" s="581">
        <f t="shared" si="201"/>
        <v>3700</v>
      </c>
      <c r="E1712" s="581">
        <f t="shared" si="206"/>
        <v>407</v>
      </c>
      <c r="F1712" s="582">
        <f t="shared" si="205"/>
        <v>11</v>
      </c>
      <c r="G1712" s="581"/>
      <c r="H1712" s="586"/>
      <c r="I1712" s="649"/>
      <c r="J1712" s="586"/>
      <c r="K1712" s="581"/>
      <c r="L1712" s="587"/>
      <c r="M1712" s="603">
        <v>3700</v>
      </c>
      <c r="N1712" s="581">
        <v>407</v>
      </c>
      <c r="O1712" s="627">
        <f t="shared" si="200"/>
        <v>11</v>
      </c>
      <c r="P1712" s="581"/>
      <c r="Q1712" s="581"/>
      <c r="R1712" s="653"/>
      <c r="S1712" s="564"/>
      <c r="T1712" s="564"/>
      <c r="U1712" s="564"/>
      <c r="V1712" s="564"/>
      <c r="W1712" s="565"/>
      <c r="X1712" s="565"/>
      <c r="Y1712" s="565"/>
      <c r="Z1712" s="565"/>
    </row>
    <row r="1713" spans="1:26" s="639" customFormat="1" ht="24">
      <c r="A1713" s="647">
        <v>4420</v>
      </c>
      <c r="B1713" s="651" t="s">
        <v>596</v>
      </c>
      <c r="C1713" s="603">
        <v>700</v>
      </c>
      <c r="D1713" s="581">
        <f>G1713+J1713+P1713+M1713</f>
        <v>700</v>
      </c>
      <c r="E1713" s="581">
        <f>SUM(H1713+K1713+N1713+Q1713)</f>
        <v>0</v>
      </c>
      <c r="F1713" s="582">
        <f>E1713/D1713*100</f>
        <v>0</v>
      </c>
      <c r="G1713" s="581"/>
      <c r="H1713" s="586"/>
      <c r="I1713" s="649"/>
      <c r="J1713" s="586"/>
      <c r="K1713" s="581"/>
      <c r="L1713" s="587"/>
      <c r="M1713" s="603">
        <v>700</v>
      </c>
      <c r="N1713" s="581"/>
      <c r="O1713" s="627">
        <f aca="true" t="shared" si="207" ref="O1713:O1768">N1713/M1713*100</f>
        <v>0</v>
      </c>
      <c r="P1713" s="581"/>
      <c r="Q1713" s="581"/>
      <c r="R1713" s="653"/>
      <c r="S1713" s="564"/>
      <c r="T1713" s="564"/>
      <c r="U1713" s="564"/>
      <c r="V1713" s="564"/>
      <c r="W1713" s="565"/>
      <c r="X1713" s="565"/>
      <c r="Y1713" s="565"/>
      <c r="Z1713" s="565"/>
    </row>
    <row r="1714" spans="1:26" s="639" customFormat="1" ht="12.75">
      <c r="A1714" s="647">
        <v>4440</v>
      </c>
      <c r="B1714" s="651" t="s">
        <v>203</v>
      </c>
      <c r="C1714" s="603">
        <v>74000</v>
      </c>
      <c r="D1714" s="581">
        <f>G1714+J1714+P1714+M1714</f>
        <v>74000</v>
      </c>
      <c r="E1714" s="581">
        <f>SUM(H1714+K1714+N1714+Q1714)</f>
        <v>25000</v>
      </c>
      <c r="F1714" s="582">
        <f>E1714/D1714*100</f>
        <v>33.78378378378378</v>
      </c>
      <c r="G1714" s="581"/>
      <c r="H1714" s="586"/>
      <c r="I1714" s="649"/>
      <c r="J1714" s="586"/>
      <c r="K1714" s="581"/>
      <c r="L1714" s="587"/>
      <c r="M1714" s="603">
        <v>74000</v>
      </c>
      <c r="N1714" s="581">
        <v>25000</v>
      </c>
      <c r="O1714" s="627">
        <f t="shared" si="207"/>
        <v>33.78378378378378</v>
      </c>
      <c r="P1714" s="581"/>
      <c r="Q1714" s="581"/>
      <c r="R1714" s="653"/>
      <c r="S1714" s="564"/>
      <c r="T1714" s="564"/>
      <c r="U1714" s="564"/>
      <c r="V1714" s="564"/>
      <c r="W1714" s="565"/>
      <c r="X1714" s="565"/>
      <c r="Y1714" s="565"/>
      <c r="Z1714" s="565"/>
    </row>
    <row r="1715" spans="1:26" s="639" customFormat="1" ht="37.5" customHeight="1">
      <c r="A1715" s="647">
        <v>4700</v>
      </c>
      <c r="B1715" s="712" t="s">
        <v>588</v>
      </c>
      <c r="C1715" s="603">
        <v>3300</v>
      </c>
      <c r="D1715" s="581">
        <f t="shared" si="201"/>
        <v>3300</v>
      </c>
      <c r="E1715" s="581">
        <f t="shared" si="206"/>
        <v>508</v>
      </c>
      <c r="F1715" s="582">
        <f t="shared" si="205"/>
        <v>15.393939393939393</v>
      </c>
      <c r="G1715" s="581"/>
      <c r="H1715" s="586"/>
      <c r="I1715" s="649"/>
      <c r="J1715" s="586"/>
      <c r="K1715" s="581"/>
      <c r="L1715" s="587"/>
      <c r="M1715" s="603">
        <v>3300</v>
      </c>
      <c r="N1715" s="581">
        <v>508</v>
      </c>
      <c r="O1715" s="627">
        <f t="shared" si="207"/>
        <v>15.393939393939393</v>
      </c>
      <c r="P1715" s="581"/>
      <c r="Q1715" s="581"/>
      <c r="R1715" s="653"/>
      <c r="S1715" s="564"/>
      <c r="T1715" s="564"/>
      <c r="U1715" s="564"/>
      <c r="V1715" s="564"/>
      <c r="W1715" s="565"/>
      <c r="X1715" s="565"/>
      <c r="Y1715" s="565"/>
      <c r="Z1715" s="565"/>
    </row>
    <row r="1716" spans="1:26" s="639" customFormat="1" ht="49.5" customHeight="1">
      <c r="A1716" s="647">
        <v>4740</v>
      </c>
      <c r="B1716" s="712" t="s">
        <v>215</v>
      </c>
      <c r="C1716" s="586">
        <v>800</v>
      </c>
      <c r="D1716" s="581">
        <f t="shared" si="201"/>
        <v>800</v>
      </c>
      <c r="E1716" s="581">
        <f t="shared" si="206"/>
        <v>0</v>
      </c>
      <c r="F1716" s="582">
        <f t="shared" si="205"/>
        <v>0</v>
      </c>
      <c r="G1716" s="581"/>
      <c r="H1716" s="586"/>
      <c r="I1716" s="649"/>
      <c r="J1716" s="586"/>
      <c r="K1716" s="581"/>
      <c r="L1716" s="587"/>
      <c r="M1716" s="586">
        <v>800</v>
      </c>
      <c r="N1716" s="581"/>
      <c r="O1716" s="627">
        <f t="shared" si="207"/>
        <v>0</v>
      </c>
      <c r="P1716" s="581"/>
      <c r="Q1716" s="581"/>
      <c r="R1716" s="653"/>
      <c r="S1716" s="564"/>
      <c r="T1716" s="564"/>
      <c r="U1716" s="564"/>
      <c r="V1716" s="564"/>
      <c r="W1716" s="565"/>
      <c r="X1716" s="565"/>
      <c r="Y1716" s="565"/>
      <c r="Z1716" s="565"/>
    </row>
    <row r="1717" spans="1:26" s="639" customFormat="1" ht="36">
      <c r="A1717" s="647">
        <v>4750</v>
      </c>
      <c r="B1717" s="712" t="s">
        <v>589</v>
      </c>
      <c r="C1717" s="586">
        <v>3000</v>
      </c>
      <c r="D1717" s="581">
        <f t="shared" si="201"/>
        <v>4500</v>
      </c>
      <c r="E1717" s="581">
        <f t="shared" si="206"/>
        <v>1542</v>
      </c>
      <c r="F1717" s="582">
        <f t="shared" si="205"/>
        <v>34.266666666666666</v>
      </c>
      <c r="G1717" s="581"/>
      <c r="H1717" s="586"/>
      <c r="I1717" s="649"/>
      <c r="J1717" s="586"/>
      <c r="K1717" s="581"/>
      <c r="L1717" s="587"/>
      <c r="M1717" s="586">
        <f>3000+1500</f>
        <v>4500</v>
      </c>
      <c r="N1717" s="581">
        <v>1542</v>
      </c>
      <c r="O1717" s="627">
        <f t="shared" si="207"/>
        <v>34.266666666666666</v>
      </c>
      <c r="P1717" s="581"/>
      <c r="Q1717" s="581"/>
      <c r="R1717" s="653"/>
      <c r="S1717" s="564"/>
      <c r="T1717" s="564"/>
      <c r="U1717" s="564"/>
      <c r="V1717" s="564"/>
      <c r="W1717" s="565"/>
      <c r="X1717" s="565"/>
      <c r="Y1717" s="565"/>
      <c r="Z1717" s="565"/>
    </row>
    <row r="1718" spans="1:26" s="639" customFormat="1" ht="36" hidden="1">
      <c r="A1718" s="647">
        <v>6050</v>
      </c>
      <c r="B1718" s="828" t="s">
        <v>225</v>
      </c>
      <c r="C1718" s="586"/>
      <c r="D1718" s="581">
        <f t="shared" si="201"/>
        <v>0</v>
      </c>
      <c r="E1718" s="581">
        <f t="shared" si="206"/>
        <v>0</v>
      </c>
      <c r="F1718" s="582" t="e">
        <f t="shared" si="205"/>
        <v>#DIV/0!</v>
      </c>
      <c r="G1718" s="581"/>
      <c r="H1718" s="586"/>
      <c r="I1718" s="649"/>
      <c r="J1718" s="586"/>
      <c r="K1718" s="581"/>
      <c r="L1718" s="587"/>
      <c r="M1718" s="586"/>
      <c r="N1718" s="581"/>
      <c r="O1718" s="627" t="e">
        <f t="shared" si="207"/>
        <v>#DIV/0!</v>
      </c>
      <c r="P1718" s="581"/>
      <c r="Q1718" s="581"/>
      <c r="R1718" s="653"/>
      <c r="S1718" s="564"/>
      <c r="T1718" s="564"/>
      <c r="U1718" s="564"/>
      <c r="V1718" s="564"/>
      <c r="W1718" s="565"/>
      <c r="X1718" s="565"/>
      <c r="Y1718" s="565"/>
      <c r="Z1718" s="565"/>
    </row>
    <row r="1719" spans="1:26" s="639" customFormat="1" ht="12.75">
      <c r="A1719" s="640">
        <v>85410</v>
      </c>
      <c r="B1719" s="856" t="s">
        <v>834</v>
      </c>
      <c r="C1719" s="608">
        <f>SUM(C1720:C1743)</f>
        <v>2616100</v>
      </c>
      <c r="D1719" s="595">
        <f t="shared" si="201"/>
        <v>2616100</v>
      </c>
      <c r="E1719" s="595">
        <f>H1719+K1719+Q1719+N1719</f>
        <v>707312</v>
      </c>
      <c r="F1719" s="596">
        <f t="shared" si="205"/>
        <v>27.036886969152558</v>
      </c>
      <c r="G1719" s="735"/>
      <c r="H1719" s="736"/>
      <c r="I1719" s="645"/>
      <c r="J1719" s="736"/>
      <c r="K1719" s="735"/>
      <c r="L1719" s="737"/>
      <c r="M1719" s="595">
        <f>SUM(M1720:M1744)</f>
        <v>2616100</v>
      </c>
      <c r="N1719" s="595">
        <f>SUM(N1720:N1744)</f>
        <v>707312</v>
      </c>
      <c r="O1719" s="624">
        <f t="shared" si="207"/>
        <v>27.036886969152558</v>
      </c>
      <c r="P1719" s="595"/>
      <c r="Q1719" s="595"/>
      <c r="R1719" s="731"/>
      <c r="S1719" s="564"/>
      <c r="T1719" s="564"/>
      <c r="U1719" s="564"/>
      <c r="V1719" s="564"/>
      <c r="W1719" s="565"/>
      <c r="X1719" s="565"/>
      <c r="Y1719" s="565"/>
      <c r="Z1719" s="565"/>
    </row>
    <row r="1720" spans="1:26" s="639" customFormat="1" ht="36">
      <c r="A1720" s="667">
        <v>3020</v>
      </c>
      <c r="B1720" s="828" t="s">
        <v>736</v>
      </c>
      <c r="C1720" s="606">
        <v>6900</v>
      </c>
      <c r="D1720" s="615">
        <f t="shared" si="201"/>
        <v>6900</v>
      </c>
      <c r="E1720" s="615">
        <f aca="true" t="shared" si="208" ref="E1720:E1768">SUM(H1720+K1720+N1720+Q1720)</f>
        <v>276</v>
      </c>
      <c r="F1720" s="604">
        <f t="shared" si="205"/>
        <v>4</v>
      </c>
      <c r="G1720" s="615"/>
      <c r="H1720" s="618"/>
      <c r="I1720" s="686"/>
      <c r="J1720" s="618"/>
      <c r="K1720" s="615"/>
      <c r="L1720" s="619"/>
      <c r="M1720" s="606">
        <v>6900</v>
      </c>
      <c r="N1720" s="615">
        <v>276</v>
      </c>
      <c r="O1720" s="669">
        <f t="shared" si="207"/>
        <v>4</v>
      </c>
      <c r="P1720" s="615"/>
      <c r="Q1720" s="615"/>
      <c r="R1720" s="671"/>
      <c r="S1720" s="564"/>
      <c r="T1720" s="564"/>
      <c r="U1720" s="564"/>
      <c r="V1720" s="564"/>
      <c r="W1720" s="565"/>
      <c r="X1720" s="565"/>
      <c r="Y1720" s="565"/>
      <c r="Z1720" s="565"/>
    </row>
    <row r="1721" spans="1:26" s="639" customFormat="1" ht="28.5" customHeight="1">
      <c r="A1721" s="647">
        <v>4010</v>
      </c>
      <c r="B1721" s="828" t="s">
        <v>181</v>
      </c>
      <c r="C1721" s="603">
        <v>1483200</v>
      </c>
      <c r="D1721" s="581">
        <f aca="true" t="shared" si="209" ref="D1721:D1789">G1721+J1721+P1721+M1721</f>
        <v>1483200</v>
      </c>
      <c r="E1721" s="581">
        <f t="shared" si="208"/>
        <v>349859</v>
      </c>
      <c r="F1721" s="582">
        <f t="shared" si="205"/>
        <v>23.58812028047465</v>
      </c>
      <c r="G1721" s="581"/>
      <c r="H1721" s="586"/>
      <c r="I1721" s="649"/>
      <c r="J1721" s="586"/>
      <c r="K1721" s="581"/>
      <c r="L1721" s="587"/>
      <c r="M1721" s="603">
        <v>1483200</v>
      </c>
      <c r="N1721" s="581">
        <v>349859</v>
      </c>
      <c r="O1721" s="627">
        <f t="shared" si="207"/>
        <v>23.58812028047465</v>
      </c>
      <c r="P1721" s="581"/>
      <c r="Q1721" s="581"/>
      <c r="R1721" s="653"/>
      <c r="S1721" s="700"/>
      <c r="T1721" s="700"/>
      <c r="U1721" s="700"/>
      <c r="V1721" s="700"/>
      <c r="W1721" s="565"/>
      <c r="X1721" s="565"/>
      <c r="Y1721" s="565"/>
      <c r="Z1721" s="565"/>
    </row>
    <row r="1722" spans="1:26" s="639" customFormat="1" ht="24">
      <c r="A1722" s="647">
        <v>4040</v>
      </c>
      <c r="B1722" s="828" t="s">
        <v>185</v>
      </c>
      <c r="C1722" s="603">
        <v>117600</v>
      </c>
      <c r="D1722" s="581">
        <f t="shared" si="209"/>
        <v>117600</v>
      </c>
      <c r="E1722" s="581">
        <f t="shared" si="208"/>
        <v>77321</v>
      </c>
      <c r="F1722" s="582">
        <f t="shared" si="205"/>
        <v>65.74914965986395</v>
      </c>
      <c r="G1722" s="581"/>
      <c r="H1722" s="586"/>
      <c r="I1722" s="649"/>
      <c r="J1722" s="586"/>
      <c r="K1722" s="581"/>
      <c r="L1722" s="587"/>
      <c r="M1722" s="603">
        <v>117600</v>
      </c>
      <c r="N1722" s="581">
        <v>77321</v>
      </c>
      <c r="O1722" s="627">
        <f t="shared" si="207"/>
        <v>65.74914965986395</v>
      </c>
      <c r="P1722" s="581"/>
      <c r="Q1722" s="581"/>
      <c r="R1722" s="653"/>
      <c r="S1722" s="700"/>
      <c r="T1722" s="700"/>
      <c r="U1722" s="700"/>
      <c r="V1722" s="700"/>
      <c r="W1722" s="565"/>
      <c r="X1722" s="565"/>
      <c r="Y1722" s="565"/>
      <c r="Z1722" s="565"/>
    </row>
    <row r="1723" spans="1:26" s="639" customFormat="1" ht="25.5" customHeight="1">
      <c r="A1723" s="647">
        <v>4110</v>
      </c>
      <c r="B1723" s="828" t="s">
        <v>187</v>
      </c>
      <c r="C1723" s="603">
        <v>242500</v>
      </c>
      <c r="D1723" s="581">
        <f t="shared" si="209"/>
        <v>242500</v>
      </c>
      <c r="E1723" s="581">
        <f t="shared" si="208"/>
        <v>52780</v>
      </c>
      <c r="F1723" s="582">
        <f t="shared" si="205"/>
        <v>21.764948453608245</v>
      </c>
      <c r="G1723" s="581"/>
      <c r="H1723" s="586"/>
      <c r="I1723" s="649"/>
      <c r="J1723" s="586"/>
      <c r="K1723" s="581"/>
      <c r="L1723" s="587"/>
      <c r="M1723" s="603">
        <v>242500</v>
      </c>
      <c r="N1723" s="581">
        <v>52780</v>
      </c>
      <c r="O1723" s="627">
        <f t="shared" si="207"/>
        <v>21.764948453608245</v>
      </c>
      <c r="P1723" s="581"/>
      <c r="Q1723" s="581"/>
      <c r="R1723" s="653"/>
      <c r="S1723" s="700"/>
      <c r="T1723" s="700"/>
      <c r="U1723" s="700"/>
      <c r="V1723" s="700"/>
      <c r="W1723" s="565"/>
      <c r="X1723" s="565"/>
      <c r="Y1723" s="565"/>
      <c r="Z1723" s="565"/>
    </row>
    <row r="1724" spans="1:26" s="639" customFormat="1" ht="12.75">
      <c r="A1724" s="647">
        <v>4120</v>
      </c>
      <c r="B1724" s="828" t="s">
        <v>619</v>
      </c>
      <c r="C1724" s="603">
        <v>38700</v>
      </c>
      <c r="D1724" s="581">
        <f t="shared" si="209"/>
        <v>38700</v>
      </c>
      <c r="E1724" s="581">
        <f t="shared" si="208"/>
        <v>6362</v>
      </c>
      <c r="F1724" s="582">
        <f t="shared" si="205"/>
        <v>16.439276485788113</v>
      </c>
      <c r="G1724" s="581"/>
      <c r="H1724" s="586"/>
      <c r="I1724" s="649"/>
      <c r="J1724" s="586"/>
      <c r="K1724" s="581"/>
      <c r="L1724" s="587"/>
      <c r="M1724" s="603">
        <v>38700</v>
      </c>
      <c r="N1724" s="581">
        <v>6362</v>
      </c>
      <c r="O1724" s="627">
        <f t="shared" si="207"/>
        <v>16.439276485788113</v>
      </c>
      <c r="P1724" s="581"/>
      <c r="Q1724" s="581"/>
      <c r="R1724" s="653"/>
      <c r="S1724" s="700"/>
      <c r="T1724" s="700"/>
      <c r="U1724" s="700"/>
      <c r="V1724" s="700"/>
      <c r="W1724" s="565"/>
      <c r="X1724" s="565"/>
      <c r="Y1724" s="565"/>
      <c r="Z1724" s="565"/>
    </row>
    <row r="1725" spans="1:26" s="639" customFormat="1" ht="12.75">
      <c r="A1725" s="647">
        <v>4140</v>
      </c>
      <c r="B1725" s="828" t="s">
        <v>252</v>
      </c>
      <c r="C1725" s="603">
        <v>13800</v>
      </c>
      <c r="D1725" s="581">
        <f t="shared" si="209"/>
        <v>13800</v>
      </c>
      <c r="E1725" s="581">
        <f t="shared" si="208"/>
        <v>2828</v>
      </c>
      <c r="F1725" s="582">
        <f t="shared" si="205"/>
        <v>20.492753623188406</v>
      </c>
      <c r="G1725" s="581"/>
      <c r="H1725" s="586"/>
      <c r="I1725" s="649"/>
      <c r="J1725" s="586"/>
      <c r="K1725" s="581"/>
      <c r="L1725" s="587"/>
      <c r="M1725" s="603">
        <v>13800</v>
      </c>
      <c r="N1725" s="581">
        <v>2828</v>
      </c>
      <c r="O1725" s="627">
        <f t="shared" si="207"/>
        <v>20.492753623188406</v>
      </c>
      <c r="P1725" s="581"/>
      <c r="Q1725" s="581"/>
      <c r="R1725" s="653"/>
      <c r="S1725" s="564"/>
      <c r="T1725" s="564"/>
      <c r="U1725" s="564"/>
      <c r="V1725" s="564"/>
      <c r="W1725" s="565"/>
      <c r="X1725" s="565"/>
      <c r="Y1725" s="565"/>
      <c r="Z1725" s="565"/>
    </row>
    <row r="1726" spans="1:26" s="639" customFormat="1" ht="24">
      <c r="A1726" s="647">
        <v>4170</v>
      </c>
      <c r="B1726" s="828" t="s">
        <v>221</v>
      </c>
      <c r="C1726" s="603">
        <v>30000</v>
      </c>
      <c r="D1726" s="581">
        <f t="shared" si="209"/>
        <v>30000</v>
      </c>
      <c r="E1726" s="581">
        <f t="shared" si="208"/>
        <v>550</v>
      </c>
      <c r="F1726" s="582">
        <f t="shared" si="205"/>
        <v>1.8333333333333333</v>
      </c>
      <c r="G1726" s="581"/>
      <c r="H1726" s="586"/>
      <c r="I1726" s="649"/>
      <c r="J1726" s="586"/>
      <c r="K1726" s="581"/>
      <c r="L1726" s="587"/>
      <c r="M1726" s="603">
        <v>30000</v>
      </c>
      <c r="N1726" s="581">
        <v>550</v>
      </c>
      <c r="O1726" s="627">
        <f t="shared" si="207"/>
        <v>1.8333333333333333</v>
      </c>
      <c r="P1726" s="581"/>
      <c r="Q1726" s="581"/>
      <c r="R1726" s="653"/>
      <c r="S1726" s="700"/>
      <c r="T1726" s="700"/>
      <c r="U1726" s="700"/>
      <c r="V1726" s="700"/>
      <c r="W1726" s="565"/>
      <c r="X1726" s="565"/>
      <c r="Y1726" s="565"/>
      <c r="Z1726" s="565"/>
    </row>
    <row r="1727" spans="1:26" s="639" customFormat="1" ht="24">
      <c r="A1727" s="647">
        <v>4210</v>
      </c>
      <c r="B1727" s="828" t="s">
        <v>191</v>
      </c>
      <c r="C1727" s="603">
        <v>65000</v>
      </c>
      <c r="D1727" s="581">
        <f t="shared" si="209"/>
        <v>65000</v>
      </c>
      <c r="E1727" s="581">
        <f t="shared" si="208"/>
        <v>19641</v>
      </c>
      <c r="F1727" s="582">
        <f t="shared" si="205"/>
        <v>30.216923076923074</v>
      </c>
      <c r="G1727" s="581"/>
      <c r="H1727" s="586"/>
      <c r="I1727" s="649"/>
      <c r="J1727" s="586"/>
      <c r="K1727" s="581"/>
      <c r="L1727" s="587"/>
      <c r="M1727" s="603">
        <v>65000</v>
      </c>
      <c r="N1727" s="581">
        <v>19641</v>
      </c>
      <c r="O1727" s="627">
        <f t="shared" si="207"/>
        <v>30.216923076923074</v>
      </c>
      <c r="P1727" s="581"/>
      <c r="Q1727" s="581"/>
      <c r="R1727" s="653"/>
      <c r="S1727" s="564"/>
      <c r="T1727" s="564"/>
      <c r="U1727" s="564"/>
      <c r="V1727" s="564"/>
      <c r="W1727" s="565"/>
      <c r="X1727" s="565"/>
      <c r="Y1727" s="565"/>
      <c r="Z1727" s="565"/>
    </row>
    <row r="1728" spans="1:26" s="639" customFormat="1" ht="24" customHeight="1">
      <c r="A1728" s="647">
        <v>4240</v>
      </c>
      <c r="B1728" s="828" t="s">
        <v>830</v>
      </c>
      <c r="C1728" s="603">
        <v>1000</v>
      </c>
      <c r="D1728" s="581">
        <f t="shared" si="209"/>
        <v>1000</v>
      </c>
      <c r="E1728" s="581">
        <f t="shared" si="208"/>
        <v>0</v>
      </c>
      <c r="F1728" s="582">
        <f>E1728/D1728*100</f>
        <v>0</v>
      </c>
      <c r="G1728" s="581"/>
      <c r="H1728" s="586"/>
      <c r="I1728" s="649"/>
      <c r="J1728" s="586"/>
      <c r="K1728" s="581"/>
      <c r="L1728" s="587"/>
      <c r="M1728" s="603">
        <v>1000</v>
      </c>
      <c r="N1728" s="581"/>
      <c r="O1728" s="627">
        <f t="shared" si="207"/>
        <v>0</v>
      </c>
      <c r="P1728" s="581"/>
      <c r="Q1728" s="581"/>
      <c r="R1728" s="653"/>
      <c r="S1728" s="564"/>
      <c r="T1728" s="564"/>
      <c r="U1728" s="564"/>
      <c r="V1728" s="564"/>
      <c r="W1728" s="565"/>
      <c r="X1728" s="565"/>
      <c r="Y1728" s="565"/>
      <c r="Z1728" s="565"/>
    </row>
    <row r="1729" spans="1:26" s="639" customFormat="1" ht="12.75">
      <c r="A1729" s="647">
        <v>4260</v>
      </c>
      <c r="B1729" s="828" t="s">
        <v>195</v>
      </c>
      <c r="C1729" s="603">
        <v>330000</v>
      </c>
      <c r="D1729" s="581">
        <f t="shared" si="209"/>
        <v>330000</v>
      </c>
      <c r="E1729" s="581">
        <f t="shared" si="208"/>
        <v>139891</v>
      </c>
      <c r="F1729" s="582">
        <f t="shared" si="205"/>
        <v>42.39121212121212</v>
      </c>
      <c r="G1729" s="581"/>
      <c r="H1729" s="586"/>
      <c r="I1729" s="649"/>
      <c r="J1729" s="586"/>
      <c r="K1729" s="581"/>
      <c r="L1729" s="587"/>
      <c r="M1729" s="603">
        <v>330000</v>
      </c>
      <c r="N1729" s="581">
        <v>139891</v>
      </c>
      <c r="O1729" s="627">
        <f t="shared" si="207"/>
        <v>42.39121212121212</v>
      </c>
      <c r="P1729" s="581"/>
      <c r="Q1729" s="581"/>
      <c r="R1729" s="653"/>
      <c r="S1729" s="564"/>
      <c r="T1729" s="564"/>
      <c r="U1729" s="564"/>
      <c r="V1729" s="564"/>
      <c r="W1729" s="565"/>
      <c r="X1729" s="565"/>
      <c r="Y1729" s="565"/>
      <c r="Z1729" s="565"/>
    </row>
    <row r="1730" spans="1:26" s="639" customFormat="1" ht="15.75" customHeight="1">
      <c r="A1730" s="647">
        <v>4270</v>
      </c>
      <c r="B1730" s="828" t="s">
        <v>197</v>
      </c>
      <c r="C1730" s="603">
        <v>18500</v>
      </c>
      <c r="D1730" s="581">
        <f t="shared" si="209"/>
        <v>18500</v>
      </c>
      <c r="E1730" s="581">
        <f t="shared" si="208"/>
        <v>3234</v>
      </c>
      <c r="F1730" s="582">
        <f t="shared" si="205"/>
        <v>17.481081081081083</v>
      </c>
      <c r="G1730" s="581"/>
      <c r="H1730" s="586"/>
      <c r="I1730" s="649"/>
      <c r="J1730" s="586"/>
      <c r="K1730" s="581"/>
      <c r="L1730" s="587"/>
      <c r="M1730" s="603">
        <v>18500</v>
      </c>
      <c r="N1730" s="581">
        <v>3234</v>
      </c>
      <c r="O1730" s="627">
        <f t="shared" si="207"/>
        <v>17.481081081081083</v>
      </c>
      <c r="P1730" s="581"/>
      <c r="Q1730" s="581"/>
      <c r="R1730" s="653"/>
      <c r="S1730" s="564"/>
      <c r="T1730" s="564"/>
      <c r="U1730" s="564"/>
      <c r="V1730" s="564"/>
      <c r="W1730" s="565"/>
      <c r="X1730" s="565"/>
      <c r="Y1730" s="565"/>
      <c r="Z1730" s="565"/>
    </row>
    <row r="1731" spans="1:26" s="639" customFormat="1" ht="15.75" customHeight="1">
      <c r="A1731" s="647">
        <v>4280</v>
      </c>
      <c r="B1731" s="828" t="s">
        <v>582</v>
      </c>
      <c r="C1731" s="603">
        <v>2400</v>
      </c>
      <c r="D1731" s="581">
        <f t="shared" si="209"/>
        <v>2400</v>
      </c>
      <c r="E1731" s="581">
        <f t="shared" si="208"/>
        <v>415</v>
      </c>
      <c r="F1731" s="582">
        <f t="shared" si="205"/>
        <v>17.291666666666668</v>
      </c>
      <c r="G1731" s="581"/>
      <c r="H1731" s="586"/>
      <c r="I1731" s="649"/>
      <c r="J1731" s="586"/>
      <c r="K1731" s="581"/>
      <c r="L1731" s="587"/>
      <c r="M1731" s="603">
        <v>2400</v>
      </c>
      <c r="N1731" s="581">
        <v>415</v>
      </c>
      <c r="O1731" s="627">
        <f t="shared" si="207"/>
        <v>17.291666666666668</v>
      </c>
      <c r="P1731" s="581"/>
      <c r="Q1731" s="581"/>
      <c r="R1731" s="653"/>
      <c r="S1731" s="564"/>
      <c r="T1731" s="564"/>
      <c r="U1731" s="564"/>
      <c r="V1731" s="564"/>
      <c r="W1731" s="565"/>
      <c r="X1731" s="565"/>
      <c r="Y1731" s="565"/>
      <c r="Z1731" s="565"/>
    </row>
    <row r="1732" spans="1:26" s="639" customFormat="1" ht="12.75" customHeight="1">
      <c r="A1732" s="647">
        <v>4300</v>
      </c>
      <c r="B1732" s="828" t="s">
        <v>199</v>
      </c>
      <c r="C1732" s="603">
        <v>106200</v>
      </c>
      <c r="D1732" s="581">
        <f t="shared" si="209"/>
        <v>106200</v>
      </c>
      <c r="E1732" s="581">
        <f t="shared" si="208"/>
        <v>22887</v>
      </c>
      <c r="F1732" s="582">
        <f t="shared" si="205"/>
        <v>21.550847457627118</v>
      </c>
      <c r="G1732" s="581"/>
      <c r="H1732" s="586"/>
      <c r="I1732" s="649"/>
      <c r="J1732" s="586"/>
      <c r="K1732" s="581"/>
      <c r="L1732" s="587"/>
      <c r="M1732" s="603">
        <v>106200</v>
      </c>
      <c r="N1732" s="581">
        <v>22887</v>
      </c>
      <c r="O1732" s="627">
        <f t="shared" si="207"/>
        <v>21.550847457627118</v>
      </c>
      <c r="P1732" s="581"/>
      <c r="Q1732" s="581"/>
      <c r="R1732" s="653"/>
      <c r="S1732" s="564"/>
      <c r="T1732" s="564"/>
      <c r="U1732" s="564"/>
      <c r="V1732" s="564"/>
      <c r="W1732" s="565"/>
      <c r="X1732" s="565"/>
      <c r="Y1732" s="565"/>
      <c r="Z1732" s="565"/>
    </row>
    <row r="1733" spans="1:26" s="639" customFormat="1" ht="24">
      <c r="A1733" s="647">
        <v>4350</v>
      </c>
      <c r="B1733" s="828" t="s">
        <v>584</v>
      </c>
      <c r="C1733" s="603">
        <v>4000</v>
      </c>
      <c r="D1733" s="581">
        <f t="shared" si="209"/>
        <v>4000</v>
      </c>
      <c r="E1733" s="581">
        <f t="shared" si="208"/>
        <v>413</v>
      </c>
      <c r="F1733" s="582">
        <f t="shared" si="205"/>
        <v>10.325</v>
      </c>
      <c r="G1733" s="581"/>
      <c r="H1733" s="586"/>
      <c r="I1733" s="649"/>
      <c r="J1733" s="586"/>
      <c r="K1733" s="581"/>
      <c r="L1733" s="587"/>
      <c r="M1733" s="603">
        <v>4000</v>
      </c>
      <c r="N1733" s="581">
        <v>413</v>
      </c>
      <c r="O1733" s="627">
        <f t="shared" si="207"/>
        <v>10.325</v>
      </c>
      <c r="P1733" s="581"/>
      <c r="Q1733" s="581"/>
      <c r="R1733" s="653"/>
      <c r="S1733" s="564"/>
      <c r="T1733" s="564"/>
      <c r="U1733" s="564"/>
      <c r="V1733" s="564"/>
      <c r="W1733" s="565"/>
      <c r="X1733" s="565"/>
      <c r="Y1733" s="565"/>
      <c r="Z1733" s="565"/>
    </row>
    <row r="1734" spans="1:26" s="639" customFormat="1" ht="60" customHeight="1">
      <c r="A1734" s="647">
        <v>4360</v>
      </c>
      <c r="B1734" s="712" t="s">
        <v>431</v>
      </c>
      <c r="C1734" s="603">
        <v>600</v>
      </c>
      <c r="D1734" s="581">
        <f t="shared" si="209"/>
        <v>600</v>
      </c>
      <c r="E1734" s="581">
        <f>SUM(H1734+K1734+N1734+Q1734)</f>
        <v>293</v>
      </c>
      <c r="F1734" s="582">
        <f>E1734/D1734*100</f>
        <v>48.833333333333336</v>
      </c>
      <c r="G1734" s="581"/>
      <c r="H1734" s="586"/>
      <c r="I1734" s="649"/>
      <c r="J1734" s="586"/>
      <c r="K1734" s="581"/>
      <c r="L1734" s="587"/>
      <c r="M1734" s="603">
        <v>600</v>
      </c>
      <c r="N1734" s="581">
        <v>293</v>
      </c>
      <c r="O1734" s="627">
        <f t="shared" si="207"/>
        <v>48.833333333333336</v>
      </c>
      <c r="P1734" s="581"/>
      <c r="Q1734" s="581"/>
      <c r="R1734" s="653"/>
      <c r="S1734" s="564"/>
      <c r="T1734" s="564"/>
      <c r="U1734" s="564"/>
      <c r="V1734" s="564"/>
      <c r="W1734" s="565"/>
      <c r="X1734" s="565"/>
      <c r="Y1734" s="565"/>
      <c r="Z1734" s="565"/>
    </row>
    <row r="1735" spans="1:26" s="639" customFormat="1" ht="69" customHeight="1">
      <c r="A1735" s="647">
        <v>4370</v>
      </c>
      <c r="B1735" s="712" t="s">
        <v>432</v>
      </c>
      <c r="C1735" s="603">
        <v>8000</v>
      </c>
      <c r="D1735" s="581">
        <f t="shared" si="209"/>
        <v>8000</v>
      </c>
      <c r="E1735" s="581">
        <f>SUM(H1735+K1735+N1735+Q1735)</f>
        <v>1723</v>
      </c>
      <c r="F1735" s="582">
        <f>E1735/D1735*100</f>
        <v>21.5375</v>
      </c>
      <c r="G1735" s="581"/>
      <c r="H1735" s="586"/>
      <c r="I1735" s="649"/>
      <c r="J1735" s="586"/>
      <c r="K1735" s="581"/>
      <c r="L1735" s="587"/>
      <c r="M1735" s="603">
        <v>8000</v>
      </c>
      <c r="N1735" s="581">
        <f>1722+1</f>
        <v>1723</v>
      </c>
      <c r="O1735" s="627">
        <f t="shared" si="207"/>
        <v>21.5375</v>
      </c>
      <c r="P1735" s="581"/>
      <c r="Q1735" s="581"/>
      <c r="R1735" s="653"/>
      <c r="S1735" s="564"/>
      <c r="T1735" s="564"/>
      <c r="U1735" s="564"/>
      <c r="V1735" s="564"/>
      <c r="W1735" s="565"/>
      <c r="X1735" s="565"/>
      <c r="Y1735" s="565"/>
      <c r="Z1735" s="565"/>
    </row>
    <row r="1736" spans="1:26" s="639" customFormat="1" ht="36.75" customHeight="1">
      <c r="A1736" s="647">
        <v>4390</v>
      </c>
      <c r="B1736" s="651" t="s">
        <v>222</v>
      </c>
      <c r="C1736" s="603">
        <v>3000</v>
      </c>
      <c r="D1736" s="581">
        <f t="shared" si="209"/>
        <v>5500</v>
      </c>
      <c r="E1736" s="581">
        <f>SUM(H1736+K1736+N1736+Q1736)</f>
        <v>2050</v>
      </c>
      <c r="F1736" s="582">
        <f>E1736/D1736*100</f>
        <v>37.27272727272727</v>
      </c>
      <c r="G1736" s="581"/>
      <c r="H1736" s="586"/>
      <c r="I1736" s="649"/>
      <c r="J1736" s="586"/>
      <c r="K1736" s="581"/>
      <c r="L1736" s="587"/>
      <c r="M1736" s="603">
        <f>3000+2500</f>
        <v>5500</v>
      </c>
      <c r="N1736" s="581">
        <v>2050</v>
      </c>
      <c r="O1736" s="627">
        <f t="shared" si="207"/>
        <v>37.27272727272727</v>
      </c>
      <c r="P1736" s="581"/>
      <c r="Q1736" s="581"/>
      <c r="R1736" s="653"/>
      <c r="S1736" s="564"/>
      <c r="T1736" s="564"/>
      <c r="U1736" s="564"/>
      <c r="V1736" s="564"/>
      <c r="W1736" s="565"/>
      <c r="X1736" s="565"/>
      <c r="Y1736" s="565"/>
      <c r="Z1736" s="565"/>
    </row>
    <row r="1737" spans="1:26" s="639" customFormat="1" ht="16.5" customHeight="1">
      <c r="A1737" s="647">
        <v>4410</v>
      </c>
      <c r="B1737" s="828" t="s">
        <v>173</v>
      </c>
      <c r="C1737" s="603">
        <v>1500</v>
      </c>
      <c r="D1737" s="581">
        <f t="shared" si="209"/>
        <v>1500</v>
      </c>
      <c r="E1737" s="581">
        <f t="shared" si="208"/>
        <v>0</v>
      </c>
      <c r="F1737" s="582">
        <f t="shared" si="205"/>
        <v>0</v>
      </c>
      <c r="G1737" s="581"/>
      <c r="H1737" s="586"/>
      <c r="I1737" s="649"/>
      <c r="J1737" s="586"/>
      <c r="K1737" s="581"/>
      <c r="L1737" s="587"/>
      <c r="M1737" s="603">
        <v>1500</v>
      </c>
      <c r="N1737" s="581"/>
      <c r="O1737" s="627">
        <f t="shared" si="207"/>
        <v>0</v>
      </c>
      <c r="P1737" s="581"/>
      <c r="Q1737" s="581"/>
      <c r="R1737" s="653"/>
      <c r="S1737" s="564"/>
      <c r="T1737" s="564"/>
      <c r="U1737" s="564"/>
      <c r="V1737" s="564"/>
      <c r="W1737" s="565"/>
      <c r="X1737" s="565"/>
      <c r="Y1737" s="565"/>
      <c r="Z1737" s="565"/>
    </row>
    <row r="1738" spans="1:26" s="639" customFormat="1" ht="16.5" customHeight="1" hidden="1">
      <c r="A1738" s="647">
        <v>4420</v>
      </c>
      <c r="B1738" s="828" t="s">
        <v>596</v>
      </c>
      <c r="C1738" s="603"/>
      <c r="D1738" s="581">
        <f>G1738+J1738+P1738+M1738</f>
        <v>0</v>
      </c>
      <c r="E1738" s="581">
        <f>SUM(H1738+K1738+N1738+Q1738)</f>
        <v>0</v>
      </c>
      <c r="F1738" s="582" t="e">
        <f>E1738/D1738*100</f>
        <v>#DIV/0!</v>
      </c>
      <c r="G1738" s="581"/>
      <c r="H1738" s="586"/>
      <c r="I1738" s="649"/>
      <c r="J1738" s="586"/>
      <c r="K1738" s="581"/>
      <c r="L1738" s="587"/>
      <c r="M1738" s="603"/>
      <c r="N1738" s="581"/>
      <c r="O1738" s="627" t="e">
        <f t="shared" si="207"/>
        <v>#DIV/0!</v>
      </c>
      <c r="P1738" s="581"/>
      <c r="Q1738" s="581"/>
      <c r="R1738" s="653"/>
      <c r="S1738" s="564"/>
      <c r="T1738" s="564"/>
      <c r="U1738" s="564"/>
      <c r="V1738" s="564"/>
      <c r="W1738" s="565"/>
      <c r="X1738" s="565"/>
      <c r="Y1738" s="565"/>
      <c r="Z1738" s="565"/>
    </row>
    <row r="1739" spans="1:26" s="639" customFormat="1" ht="12.75">
      <c r="A1739" s="647">
        <v>4440</v>
      </c>
      <c r="B1739" s="828" t="s">
        <v>203</v>
      </c>
      <c r="C1739" s="603">
        <v>80000</v>
      </c>
      <c r="D1739" s="581">
        <f t="shared" si="209"/>
        <v>80000</v>
      </c>
      <c r="E1739" s="581">
        <f>SUM(H1739+K1739+N1739+Q1739)</f>
        <v>23120</v>
      </c>
      <c r="F1739" s="582">
        <f>E1739/D1739*100</f>
        <v>28.9</v>
      </c>
      <c r="G1739" s="581"/>
      <c r="H1739" s="586"/>
      <c r="I1739" s="649"/>
      <c r="J1739" s="586"/>
      <c r="K1739" s="581"/>
      <c r="L1739" s="587"/>
      <c r="M1739" s="603">
        <v>80000</v>
      </c>
      <c r="N1739" s="581">
        <v>23120</v>
      </c>
      <c r="O1739" s="627">
        <f t="shared" si="207"/>
        <v>28.9</v>
      </c>
      <c r="P1739" s="581"/>
      <c r="Q1739" s="581"/>
      <c r="R1739" s="653"/>
      <c r="S1739" s="564"/>
      <c r="T1739" s="564"/>
      <c r="U1739" s="564"/>
      <c r="V1739" s="564"/>
      <c r="W1739" s="565"/>
      <c r="X1739" s="565"/>
      <c r="Y1739" s="565"/>
      <c r="Z1739" s="565"/>
    </row>
    <row r="1740" spans="1:26" s="639" customFormat="1" ht="37.5" customHeight="1">
      <c r="A1740" s="647">
        <v>4700</v>
      </c>
      <c r="B1740" s="712" t="s">
        <v>588</v>
      </c>
      <c r="C1740" s="603">
        <v>4000</v>
      </c>
      <c r="D1740" s="581">
        <f t="shared" si="209"/>
        <v>4000</v>
      </c>
      <c r="E1740" s="581">
        <f>SUM(H1740+K1740+N1740+Q1740)</f>
        <v>650</v>
      </c>
      <c r="F1740" s="582">
        <f>E1740/D1740*100</f>
        <v>16.25</v>
      </c>
      <c r="G1740" s="581"/>
      <c r="H1740" s="586"/>
      <c r="I1740" s="649"/>
      <c r="J1740" s="586"/>
      <c r="K1740" s="581"/>
      <c r="L1740" s="587"/>
      <c r="M1740" s="603">
        <v>4000</v>
      </c>
      <c r="N1740" s="581">
        <v>650</v>
      </c>
      <c r="O1740" s="627">
        <f t="shared" si="207"/>
        <v>16.25</v>
      </c>
      <c r="P1740" s="581"/>
      <c r="Q1740" s="581"/>
      <c r="R1740" s="653"/>
      <c r="S1740" s="564"/>
      <c r="T1740" s="564"/>
      <c r="U1740" s="564"/>
      <c r="V1740" s="564"/>
      <c r="W1740" s="565"/>
      <c r="X1740" s="565"/>
      <c r="Y1740" s="565"/>
      <c r="Z1740" s="565"/>
    </row>
    <row r="1741" spans="1:26" s="639" customFormat="1" ht="48.75" customHeight="1">
      <c r="A1741" s="647">
        <v>4740</v>
      </c>
      <c r="B1741" s="712" t="s">
        <v>215</v>
      </c>
      <c r="C1741" s="603">
        <v>2200</v>
      </c>
      <c r="D1741" s="581">
        <f t="shared" si="209"/>
        <v>2200</v>
      </c>
      <c r="E1741" s="581">
        <f>SUM(H1741+K1741+N1741+Q1741)</f>
        <v>0</v>
      </c>
      <c r="F1741" s="582">
        <f>E1741/D1741*100</f>
        <v>0</v>
      </c>
      <c r="G1741" s="581"/>
      <c r="H1741" s="586"/>
      <c r="I1741" s="649"/>
      <c r="J1741" s="586"/>
      <c r="K1741" s="581"/>
      <c r="L1741" s="587"/>
      <c r="M1741" s="603">
        <v>2200</v>
      </c>
      <c r="N1741" s="581"/>
      <c r="O1741" s="627">
        <f t="shared" si="207"/>
        <v>0</v>
      </c>
      <c r="P1741" s="581"/>
      <c r="Q1741" s="581"/>
      <c r="R1741" s="653"/>
      <c r="S1741" s="564"/>
      <c r="T1741" s="564"/>
      <c r="U1741" s="564"/>
      <c r="V1741" s="564"/>
      <c r="W1741" s="565"/>
      <c r="X1741" s="565"/>
      <c r="Y1741" s="565"/>
      <c r="Z1741" s="565"/>
    </row>
    <row r="1742" spans="1:26" s="639" customFormat="1" ht="36">
      <c r="A1742" s="647">
        <v>4750</v>
      </c>
      <c r="B1742" s="712" t="s">
        <v>589</v>
      </c>
      <c r="C1742" s="603">
        <v>7000</v>
      </c>
      <c r="D1742" s="581">
        <f t="shared" si="209"/>
        <v>7000</v>
      </c>
      <c r="E1742" s="581">
        <f>SUM(H1742+K1742+N1742+Q1742)</f>
        <v>3019</v>
      </c>
      <c r="F1742" s="582">
        <f>E1742/D1742*100</f>
        <v>43.128571428571426</v>
      </c>
      <c r="G1742" s="581"/>
      <c r="H1742" s="586"/>
      <c r="I1742" s="649"/>
      <c r="J1742" s="586"/>
      <c r="K1742" s="581"/>
      <c r="L1742" s="587"/>
      <c r="M1742" s="603">
        <v>7000</v>
      </c>
      <c r="N1742" s="581">
        <v>3019</v>
      </c>
      <c r="O1742" s="627">
        <f t="shared" si="207"/>
        <v>43.128571428571426</v>
      </c>
      <c r="P1742" s="581"/>
      <c r="Q1742" s="581"/>
      <c r="R1742" s="653"/>
      <c r="S1742" s="564"/>
      <c r="T1742" s="564"/>
      <c r="U1742" s="564"/>
      <c r="V1742" s="564"/>
      <c r="W1742" s="565"/>
      <c r="X1742" s="565"/>
      <c r="Y1742" s="565"/>
      <c r="Z1742" s="565"/>
    </row>
    <row r="1743" spans="1:26" s="639" customFormat="1" ht="27.75" customHeight="1">
      <c r="A1743" s="647">
        <v>6050</v>
      </c>
      <c r="B1743" s="828" t="s">
        <v>225</v>
      </c>
      <c r="C1743" s="603">
        <v>50000</v>
      </c>
      <c r="D1743" s="581">
        <f t="shared" si="209"/>
        <v>47500</v>
      </c>
      <c r="E1743" s="581">
        <f t="shared" si="208"/>
        <v>0</v>
      </c>
      <c r="F1743" s="582">
        <f t="shared" si="205"/>
        <v>0</v>
      </c>
      <c r="G1743" s="581"/>
      <c r="H1743" s="586"/>
      <c r="I1743" s="649"/>
      <c r="J1743" s="586"/>
      <c r="K1743" s="581"/>
      <c r="L1743" s="587"/>
      <c r="M1743" s="603">
        <f>50000-2500</f>
        <v>47500</v>
      </c>
      <c r="N1743" s="581"/>
      <c r="O1743" s="627">
        <f t="shared" si="207"/>
        <v>0</v>
      </c>
      <c r="P1743" s="581"/>
      <c r="Q1743" s="581"/>
      <c r="R1743" s="653"/>
      <c r="S1743" s="564"/>
      <c r="T1743" s="564"/>
      <c r="U1743" s="564"/>
      <c r="V1743" s="564"/>
      <c r="W1743" s="565"/>
      <c r="X1743" s="565"/>
      <c r="Y1743" s="565"/>
      <c r="Z1743" s="565"/>
    </row>
    <row r="1744" spans="1:26" s="639" customFormat="1" ht="48" hidden="1">
      <c r="A1744" s="672">
        <v>6060</v>
      </c>
      <c r="B1744" s="828" t="s">
        <v>628</v>
      </c>
      <c r="C1744" s="603"/>
      <c r="D1744" s="581">
        <f t="shared" si="209"/>
        <v>0</v>
      </c>
      <c r="E1744" s="675">
        <f t="shared" si="208"/>
        <v>0</v>
      </c>
      <c r="F1744" s="582" t="e">
        <f t="shared" si="205"/>
        <v>#DIV/0!</v>
      </c>
      <c r="G1744" s="675"/>
      <c r="H1744" s="676"/>
      <c r="I1744" s="689"/>
      <c r="J1744" s="676"/>
      <c r="K1744" s="675"/>
      <c r="L1744" s="677"/>
      <c r="M1744" s="603"/>
      <c r="N1744" s="581"/>
      <c r="O1744" s="627" t="e">
        <f t="shared" si="207"/>
        <v>#DIV/0!</v>
      </c>
      <c r="P1744" s="675"/>
      <c r="Q1744" s="675"/>
      <c r="R1744" s="680"/>
      <c r="S1744" s="564"/>
      <c r="T1744" s="564"/>
      <c r="U1744" s="564"/>
      <c r="V1744" s="564"/>
      <c r="W1744" s="565"/>
      <c r="X1744" s="565"/>
      <c r="Y1744" s="565"/>
      <c r="Z1744" s="565"/>
    </row>
    <row r="1745" spans="1:26" s="639" customFormat="1" ht="24">
      <c r="A1745" s="640">
        <v>85415</v>
      </c>
      <c r="B1745" s="856" t="s">
        <v>835</v>
      </c>
      <c r="C1745" s="608">
        <f>SUM(C1748:C1755)</f>
        <v>75000</v>
      </c>
      <c r="D1745" s="595">
        <f t="shared" si="209"/>
        <v>495405</v>
      </c>
      <c r="E1745" s="595">
        <f t="shared" si="208"/>
        <v>910</v>
      </c>
      <c r="F1745" s="609">
        <f t="shared" si="205"/>
        <v>0.1836880935800002</v>
      </c>
      <c r="G1745" s="595">
        <f>SUM(G1748:G1751)</f>
        <v>440405</v>
      </c>
      <c r="H1745" s="595">
        <f>SUM(H1748:H1751)</f>
        <v>910</v>
      </c>
      <c r="I1745" s="602">
        <f aca="true" t="shared" si="210" ref="I1745:I1797">H1745/G1745*100</f>
        <v>0.20662799014543434</v>
      </c>
      <c r="J1745" s="600"/>
      <c r="K1745" s="595"/>
      <c r="L1745" s="601"/>
      <c r="M1745" s="595">
        <f>SUM(M1746:M1751)+M1755</f>
        <v>55000</v>
      </c>
      <c r="N1745" s="595">
        <f>SUM(N1746:N1751)+N1755</f>
        <v>0</v>
      </c>
      <c r="O1745" s="624">
        <f t="shared" si="207"/>
        <v>0</v>
      </c>
      <c r="P1745" s="595"/>
      <c r="Q1745" s="595"/>
      <c r="R1745" s="685"/>
      <c r="S1745" s="564"/>
      <c r="T1745" s="564"/>
      <c r="U1745" s="564"/>
      <c r="V1745" s="564"/>
      <c r="W1745" s="565"/>
      <c r="X1745" s="565"/>
      <c r="Y1745" s="565"/>
      <c r="Z1745" s="565"/>
    </row>
    <row r="1746" spans="1:18" ht="72" hidden="1">
      <c r="A1746" s="647">
        <v>2910</v>
      </c>
      <c r="B1746" s="828" t="s">
        <v>808</v>
      </c>
      <c r="C1746" s="603"/>
      <c r="D1746" s="581">
        <f t="shared" si="209"/>
        <v>0</v>
      </c>
      <c r="E1746" s="581">
        <f>SUM(H1746+K1746+N1746+Q1746)</f>
        <v>0</v>
      </c>
      <c r="F1746" s="582"/>
      <c r="G1746" s="581"/>
      <c r="H1746" s="586"/>
      <c r="I1746" s="585"/>
      <c r="J1746" s="586"/>
      <c r="K1746" s="581"/>
      <c r="L1746" s="587"/>
      <c r="M1746" s="581"/>
      <c r="N1746" s="581"/>
      <c r="O1746" s="627" t="e">
        <f t="shared" si="207"/>
        <v>#DIV/0!</v>
      </c>
      <c r="P1746" s="581"/>
      <c r="Q1746" s="581"/>
      <c r="R1746" s="653"/>
    </row>
    <row r="1747" spans="1:18" ht="38.25" customHeight="1" hidden="1">
      <c r="A1747" s="647">
        <v>3040</v>
      </c>
      <c r="B1747" s="828" t="s">
        <v>775</v>
      </c>
      <c r="C1747" s="603"/>
      <c r="D1747" s="581">
        <f t="shared" si="209"/>
        <v>0</v>
      </c>
      <c r="E1747" s="581">
        <f>SUM(H1747+K1747+N1747+Q1747)</f>
        <v>0</v>
      </c>
      <c r="F1747" s="582"/>
      <c r="G1747" s="581"/>
      <c r="H1747" s="586"/>
      <c r="I1747" s="585"/>
      <c r="J1747" s="586"/>
      <c r="K1747" s="581"/>
      <c r="L1747" s="587"/>
      <c r="M1747" s="581"/>
      <c r="N1747" s="581"/>
      <c r="O1747" s="627" t="e">
        <f t="shared" si="207"/>
        <v>#DIV/0!</v>
      </c>
      <c r="P1747" s="581"/>
      <c r="Q1747" s="581"/>
      <c r="R1747" s="653"/>
    </row>
    <row r="1748" spans="1:26" s="639" customFormat="1" ht="12.75">
      <c r="A1748" s="647">
        <v>3240</v>
      </c>
      <c r="B1748" s="828" t="s">
        <v>836</v>
      </c>
      <c r="C1748" s="603">
        <v>75000</v>
      </c>
      <c r="D1748" s="581">
        <f t="shared" si="209"/>
        <v>485405</v>
      </c>
      <c r="E1748" s="581">
        <f t="shared" si="208"/>
        <v>0</v>
      </c>
      <c r="F1748" s="582">
        <f aca="true" t="shared" si="211" ref="F1748:F1796">E1748/D1748*100</f>
        <v>0</v>
      </c>
      <c r="G1748" s="581">
        <f>20000-1900+412305</f>
        <v>430405</v>
      </c>
      <c r="H1748" s="586"/>
      <c r="I1748" s="627">
        <f t="shared" si="210"/>
        <v>0</v>
      </c>
      <c r="J1748" s="586"/>
      <c r="K1748" s="581"/>
      <c r="L1748" s="587"/>
      <c r="M1748" s="581">
        <v>55000</v>
      </c>
      <c r="N1748" s="581"/>
      <c r="O1748" s="627">
        <f t="shared" si="207"/>
        <v>0</v>
      </c>
      <c r="P1748" s="581"/>
      <c r="Q1748" s="581"/>
      <c r="R1748" s="653"/>
      <c r="S1748" s="564"/>
      <c r="T1748" s="564"/>
      <c r="U1748" s="564"/>
      <c r="V1748" s="564"/>
      <c r="W1748" s="565"/>
      <c r="X1748" s="565"/>
      <c r="Y1748" s="565"/>
      <c r="Z1748" s="565"/>
    </row>
    <row r="1749" spans="1:26" s="639" customFormat="1" ht="24">
      <c r="A1749" s="647">
        <v>3260</v>
      </c>
      <c r="B1749" s="828" t="s">
        <v>298</v>
      </c>
      <c r="C1749" s="603"/>
      <c r="D1749" s="581">
        <f t="shared" si="209"/>
        <v>10000</v>
      </c>
      <c r="E1749" s="581">
        <f t="shared" si="208"/>
        <v>910</v>
      </c>
      <c r="F1749" s="582">
        <f t="shared" si="211"/>
        <v>9.1</v>
      </c>
      <c r="G1749" s="581">
        <f>1900+8100</f>
        <v>10000</v>
      </c>
      <c r="H1749" s="586">
        <v>910</v>
      </c>
      <c r="I1749" s="627">
        <f t="shared" si="210"/>
        <v>9.1</v>
      </c>
      <c r="J1749" s="586"/>
      <c r="K1749" s="581"/>
      <c r="L1749" s="587"/>
      <c r="M1749" s="581"/>
      <c r="N1749" s="581"/>
      <c r="O1749" s="585"/>
      <c r="P1749" s="581"/>
      <c r="Q1749" s="581"/>
      <c r="R1749" s="653"/>
      <c r="S1749" s="564"/>
      <c r="T1749" s="564"/>
      <c r="U1749" s="564"/>
      <c r="V1749" s="564"/>
      <c r="W1749" s="565"/>
      <c r="X1749" s="565"/>
      <c r="Y1749" s="565"/>
      <c r="Z1749" s="565"/>
    </row>
    <row r="1750" spans="1:26" s="639" customFormat="1" ht="36" hidden="1">
      <c r="A1750" s="647">
        <v>4240</v>
      </c>
      <c r="B1750" s="828" t="s">
        <v>830</v>
      </c>
      <c r="C1750" s="603"/>
      <c r="D1750" s="581">
        <f t="shared" si="209"/>
        <v>0</v>
      </c>
      <c r="E1750" s="581">
        <f t="shared" si="208"/>
        <v>0</v>
      </c>
      <c r="F1750" s="582" t="e">
        <f t="shared" si="211"/>
        <v>#DIV/0!</v>
      </c>
      <c r="G1750" s="581"/>
      <c r="H1750" s="586"/>
      <c r="I1750" s="627" t="e">
        <f t="shared" si="210"/>
        <v>#DIV/0!</v>
      </c>
      <c r="J1750" s="586"/>
      <c r="K1750" s="581"/>
      <c r="L1750" s="587"/>
      <c r="M1750" s="581"/>
      <c r="N1750" s="581"/>
      <c r="O1750" s="585"/>
      <c r="P1750" s="581"/>
      <c r="Q1750" s="581"/>
      <c r="R1750" s="653"/>
      <c r="S1750" s="564"/>
      <c r="T1750" s="564"/>
      <c r="U1750" s="564"/>
      <c r="V1750" s="564"/>
      <c r="W1750" s="565"/>
      <c r="X1750" s="565"/>
      <c r="Y1750" s="565"/>
      <c r="Z1750" s="565"/>
    </row>
    <row r="1751" spans="1:26" s="639" customFormat="1" ht="12.75" hidden="1">
      <c r="A1751" s="657"/>
      <c r="B1751" s="738" t="s">
        <v>837</v>
      </c>
      <c r="C1751" s="659"/>
      <c r="D1751" s="660">
        <f t="shared" si="209"/>
        <v>0</v>
      </c>
      <c r="E1751" s="660">
        <f t="shared" si="208"/>
        <v>0</v>
      </c>
      <c r="F1751" s="630" t="e">
        <f t="shared" si="211"/>
        <v>#DIV/0!</v>
      </c>
      <c r="G1751" s="660">
        <f>SUM(G1752:G1754)</f>
        <v>0</v>
      </c>
      <c r="H1751" s="661"/>
      <c r="I1751" s="627" t="e">
        <f t="shared" si="210"/>
        <v>#DIV/0!</v>
      </c>
      <c r="J1751" s="661"/>
      <c r="K1751" s="660"/>
      <c r="L1751" s="662"/>
      <c r="M1751" s="660">
        <f>SUM(M1752:M1754)</f>
        <v>0</v>
      </c>
      <c r="N1751" s="660">
        <f>SUM(N1752:N1754)</f>
        <v>0</v>
      </c>
      <c r="O1751" s="627" t="e">
        <f t="shared" si="207"/>
        <v>#DIV/0!</v>
      </c>
      <c r="P1751" s="660"/>
      <c r="Q1751" s="660"/>
      <c r="R1751" s="666"/>
      <c r="S1751" s="564"/>
      <c r="T1751" s="564"/>
      <c r="U1751" s="564"/>
      <c r="V1751" s="564"/>
      <c r="W1751" s="565"/>
      <c r="X1751" s="565"/>
      <c r="Y1751" s="565"/>
      <c r="Z1751" s="565"/>
    </row>
    <row r="1752" spans="1:26" s="639" customFormat="1" ht="36" hidden="1">
      <c r="A1752" s="647">
        <v>4010</v>
      </c>
      <c r="B1752" s="712" t="s">
        <v>181</v>
      </c>
      <c r="C1752" s="603"/>
      <c r="D1752" s="581">
        <f t="shared" si="209"/>
        <v>0</v>
      </c>
      <c r="E1752" s="581">
        <f t="shared" si="208"/>
        <v>0</v>
      </c>
      <c r="F1752" s="582" t="e">
        <f t="shared" si="211"/>
        <v>#DIV/0!</v>
      </c>
      <c r="G1752" s="581"/>
      <c r="H1752" s="586"/>
      <c r="I1752" s="627" t="e">
        <f t="shared" si="210"/>
        <v>#DIV/0!</v>
      </c>
      <c r="J1752" s="586"/>
      <c r="K1752" s="581"/>
      <c r="L1752" s="587"/>
      <c r="M1752" s="581"/>
      <c r="N1752" s="581"/>
      <c r="O1752" s="627" t="e">
        <f t="shared" si="207"/>
        <v>#DIV/0!</v>
      </c>
      <c r="P1752" s="581"/>
      <c r="Q1752" s="581"/>
      <c r="R1752" s="653"/>
      <c r="S1752" s="564"/>
      <c r="T1752" s="564"/>
      <c r="U1752" s="564"/>
      <c r="V1752" s="564"/>
      <c r="W1752" s="565"/>
      <c r="X1752" s="565"/>
      <c r="Y1752" s="565"/>
      <c r="Z1752" s="565"/>
    </row>
    <row r="1753" spans="1:26" s="639" customFormat="1" ht="36" hidden="1">
      <c r="A1753" s="647">
        <v>4110</v>
      </c>
      <c r="B1753" s="828" t="s">
        <v>187</v>
      </c>
      <c r="C1753" s="603"/>
      <c r="D1753" s="581">
        <f t="shared" si="209"/>
        <v>0</v>
      </c>
      <c r="E1753" s="581">
        <f t="shared" si="208"/>
        <v>0</v>
      </c>
      <c r="F1753" s="582" t="e">
        <f t="shared" si="211"/>
        <v>#DIV/0!</v>
      </c>
      <c r="G1753" s="581"/>
      <c r="H1753" s="586"/>
      <c r="I1753" s="627" t="e">
        <f t="shared" si="210"/>
        <v>#DIV/0!</v>
      </c>
      <c r="J1753" s="586"/>
      <c r="K1753" s="581"/>
      <c r="L1753" s="587"/>
      <c r="M1753" s="581"/>
      <c r="N1753" s="581"/>
      <c r="O1753" s="627" t="e">
        <f t="shared" si="207"/>
        <v>#DIV/0!</v>
      </c>
      <c r="P1753" s="581"/>
      <c r="Q1753" s="581"/>
      <c r="R1753" s="653"/>
      <c r="S1753" s="564"/>
      <c r="T1753" s="564"/>
      <c r="U1753" s="564"/>
      <c r="V1753" s="564"/>
      <c r="W1753" s="565"/>
      <c r="X1753" s="565"/>
      <c r="Y1753" s="565"/>
      <c r="Z1753" s="565"/>
    </row>
    <row r="1754" spans="1:26" s="639" customFormat="1" ht="12.75" hidden="1">
      <c r="A1754" s="647">
        <v>4120</v>
      </c>
      <c r="B1754" s="828" t="s">
        <v>619</v>
      </c>
      <c r="C1754" s="603"/>
      <c r="D1754" s="581">
        <f t="shared" si="209"/>
        <v>0</v>
      </c>
      <c r="E1754" s="581">
        <f t="shared" si="208"/>
        <v>0</v>
      </c>
      <c r="F1754" s="582" t="e">
        <f t="shared" si="211"/>
        <v>#DIV/0!</v>
      </c>
      <c r="G1754" s="581"/>
      <c r="H1754" s="586"/>
      <c r="I1754" s="627" t="e">
        <f t="shared" si="210"/>
        <v>#DIV/0!</v>
      </c>
      <c r="J1754" s="586"/>
      <c r="K1754" s="581"/>
      <c r="L1754" s="587"/>
      <c r="M1754" s="581"/>
      <c r="N1754" s="581"/>
      <c r="O1754" s="627" t="e">
        <f t="shared" si="207"/>
        <v>#DIV/0!</v>
      </c>
      <c r="P1754" s="581"/>
      <c r="Q1754" s="581"/>
      <c r="R1754" s="653"/>
      <c r="S1754" s="564"/>
      <c r="T1754" s="564"/>
      <c r="U1754" s="564"/>
      <c r="V1754" s="564"/>
      <c r="W1754" s="565"/>
      <c r="X1754" s="565"/>
      <c r="Y1754" s="565"/>
      <c r="Z1754" s="565"/>
    </row>
    <row r="1755" spans="1:26" s="639" customFormat="1" ht="60" hidden="1">
      <c r="A1755" s="657"/>
      <c r="B1755" s="923" t="s">
        <v>546</v>
      </c>
      <c r="C1755" s="659">
        <f>SUM(C1758:C1768)</f>
        <v>0</v>
      </c>
      <c r="D1755" s="660">
        <f t="shared" si="209"/>
        <v>0</v>
      </c>
      <c r="E1755" s="660">
        <f t="shared" si="208"/>
        <v>0</v>
      </c>
      <c r="F1755" s="582" t="e">
        <f t="shared" si="211"/>
        <v>#DIV/0!</v>
      </c>
      <c r="G1755" s="660"/>
      <c r="H1755" s="661"/>
      <c r="I1755" s="627"/>
      <c r="J1755" s="661"/>
      <c r="K1755" s="660"/>
      <c r="L1755" s="662"/>
      <c r="M1755" s="660">
        <f>SUM(M1756:M1768)</f>
        <v>0</v>
      </c>
      <c r="N1755" s="660">
        <f>SUM(N1756:N1768)</f>
        <v>0</v>
      </c>
      <c r="O1755" s="867" t="e">
        <f t="shared" si="207"/>
        <v>#DIV/0!</v>
      </c>
      <c r="P1755" s="660"/>
      <c r="Q1755" s="660"/>
      <c r="R1755" s="666"/>
      <c r="S1755" s="564"/>
      <c r="T1755" s="564"/>
      <c r="U1755" s="564"/>
      <c r="V1755" s="564"/>
      <c r="W1755" s="565"/>
      <c r="X1755" s="565"/>
      <c r="Y1755" s="565"/>
      <c r="Z1755" s="565"/>
    </row>
    <row r="1756" spans="1:18" ht="24" hidden="1">
      <c r="A1756" s="647">
        <v>3218</v>
      </c>
      <c r="B1756" s="828" t="s">
        <v>774</v>
      </c>
      <c r="C1756" s="603"/>
      <c r="D1756" s="581">
        <f t="shared" si="209"/>
        <v>0</v>
      </c>
      <c r="E1756" s="581">
        <f>SUM(H1756+K1756+N1756+Q1756)</f>
        <v>0</v>
      </c>
      <c r="F1756" s="582" t="e">
        <f>E1756/D1756*100</f>
        <v>#DIV/0!</v>
      </c>
      <c r="G1756" s="581"/>
      <c r="H1756" s="586"/>
      <c r="I1756" s="585"/>
      <c r="J1756" s="586"/>
      <c r="K1756" s="581"/>
      <c r="L1756" s="587"/>
      <c r="M1756" s="586">
        <f>1067-1067</f>
        <v>0</v>
      </c>
      <c r="N1756" s="581"/>
      <c r="O1756" s="627"/>
      <c r="P1756" s="581"/>
      <c r="Q1756" s="581"/>
      <c r="R1756" s="653"/>
    </row>
    <row r="1757" spans="1:18" ht="24" hidden="1">
      <c r="A1757" s="647">
        <v>3219</v>
      </c>
      <c r="B1757" s="828" t="s">
        <v>774</v>
      </c>
      <c r="C1757" s="603"/>
      <c r="D1757" s="581">
        <f t="shared" si="209"/>
        <v>0</v>
      </c>
      <c r="E1757" s="581">
        <f>SUM(H1757+K1757+N1757+Q1757)</f>
        <v>0</v>
      </c>
      <c r="F1757" s="582" t="e">
        <f>E1757/D1757*100</f>
        <v>#DIV/0!</v>
      </c>
      <c r="G1757" s="581"/>
      <c r="H1757" s="586"/>
      <c r="I1757" s="585"/>
      <c r="J1757" s="586"/>
      <c r="K1757" s="581"/>
      <c r="L1757" s="587"/>
      <c r="M1757" s="586"/>
      <c r="N1757" s="581"/>
      <c r="O1757" s="627"/>
      <c r="P1757" s="581"/>
      <c r="Q1757" s="581"/>
      <c r="R1757" s="653"/>
    </row>
    <row r="1758" spans="1:26" s="639" customFormat="1" ht="12.75" hidden="1">
      <c r="A1758" s="647">
        <v>3248</v>
      </c>
      <c r="B1758" s="828" t="s">
        <v>836</v>
      </c>
      <c r="C1758" s="603"/>
      <c r="D1758" s="581">
        <f t="shared" si="209"/>
        <v>0</v>
      </c>
      <c r="E1758" s="581">
        <f t="shared" si="208"/>
        <v>0</v>
      </c>
      <c r="F1758" s="582" t="e">
        <f t="shared" si="211"/>
        <v>#DIV/0!</v>
      </c>
      <c r="G1758" s="581"/>
      <c r="H1758" s="586"/>
      <c r="I1758" s="585"/>
      <c r="J1758" s="586"/>
      <c r="K1758" s="581"/>
      <c r="L1758" s="587"/>
      <c r="M1758" s="603"/>
      <c r="N1758" s="581"/>
      <c r="O1758" s="627" t="e">
        <f t="shared" si="207"/>
        <v>#DIV/0!</v>
      </c>
      <c r="P1758" s="581"/>
      <c r="Q1758" s="581"/>
      <c r="R1758" s="653"/>
      <c r="S1758" s="564"/>
      <c r="T1758" s="564"/>
      <c r="U1758" s="564"/>
      <c r="V1758" s="564"/>
      <c r="W1758" s="565"/>
      <c r="X1758" s="565"/>
      <c r="Y1758" s="565"/>
      <c r="Z1758" s="565"/>
    </row>
    <row r="1759" spans="1:26" s="639" customFormat="1" ht="12.75" hidden="1">
      <c r="A1759" s="647">
        <v>3249</v>
      </c>
      <c r="B1759" s="828" t="s">
        <v>836</v>
      </c>
      <c r="C1759" s="603"/>
      <c r="D1759" s="581">
        <f t="shared" si="209"/>
        <v>0</v>
      </c>
      <c r="E1759" s="581">
        <f t="shared" si="208"/>
        <v>0</v>
      </c>
      <c r="F1759" s="582" t="e">
        <f t="shared" si="211"/>
        <v>#DIV/0!</v>
      </c>
      <c r="G1759" s="581"/>
      <c r="H1759" s="586"/>
      <c r="I1759" s="585"/>
      <c r="J1759" s="586"/>
      <c r="K1759" s="581"/>
      <c r="L1759" s="587"/>
      <c r="M1759" s="603"/>
      <c r="N1759" s="581"/>
      <c r="O1759" s="627" t="e">
        <f t="shared" si="207"/>
        <v>#DIV/0!</v>
      </c>
      <c r="P1759" s="581"/>
      <c r="Q1759" s="581"/>
      <c r="R1759" s="653"/>
      <c r="S1759" s="564"/>
      <c r="T1759" s="564"/>
      <c r="U1759" s="564"/>
      <c r="V1759" s="564"/>
      <c r="W1759" s="565"/>
      <c r="X1759" s="565"/>
      <c r="Y1759" s="565"/>
      <c r="Z1759" s="565"/>
    </row>
    <row r="1760" spans="1:26" s="639" customFormat="1" ht="24" hidden="1">
      <c r="A1760" s="647">
        <v>4170</v>
      </c>
      <c r="B1760" s="828" t="s">
        <v>221</v>
      </c>
      <c r="C1760" s="603"/>
      <c r="D1760" s="581">
        <f>G1760+J1760+P1760+M1760</f>
        <v>0</v>
      </c>
      <c r="E1760" s="581">
        <f>SUM(H1760+K1760+N1760+Q1760)</f>
        <v>0</v>
      </c>
      <c r="F1760" s="582" t="e">
        <f>E1760/D1760*100</f>
        <v>#DIV/0!</v>
      </c>
      <c r="G1760" s="581"/>
      <c r="H1760" s="586"/>
      <c r="I1760" s="585"/>
      <c r="J1760" s="586"/>
      <c r="K1760" s="581"/>
      <c r="L1760" s="587"/>
      <c r="M1760" s="603"/>
      <c r="N1760" s="581"/>
      <c r="O1760" s="627" t="e">
        <f t="shared" si="207"/>
        <v>#DIV/0!</v>
      </c>
      <c r="P1760" s="581"/>
      <c r="Q1760" s="581"/>
      <c r="R1760" s="653"/>
      <c r="S1760" s="700"/>
      <c r="T1760" s="700"/>
      <c r="U1760" s="700"/>
      <c r="V1760" s="700"/>
      <c r="W1760" s="565"/>
      <c r="X1760" s="565"/>
      <c r="Y1760" s="565"/>
      <c r="Z1760" s="565"/>
    </row>
    <row r="1761" spans="1:26" s="639" customFormat="1" ht="24" hidden="1">
      <c r="A1761" s="647">
        <v>4218</v>
      </c>
      <c r="B1761" s="828" t="s">
        <v>191</v>
      </c>
      <c r="C1761" s="603"/>
      <c r="D1761" s="581">
        <f t="shared" si="209"/>
        <v>0</v>
      </c>
      <c r="E1761" s="581">
        <f t="shared" si="208"/>
        <v>0</v>
      </c>
      <c r="F1761" s="582" t="e">
        <f t="shared" si="211"/>
        <v>#DIV/0!</v>
      </c>
      <c r="G1761" s="581"/>
      <c r="H1761" s="586"/>
      <c r="I1761" s="585"/>
      <c r="J1761" s="586"/>
      <c r="K1761" s="581"/>
      <c r="L1761" s="587"/>
      <c r="M1761" s="603"/>
      <c r="N1761" s="581"/>
      <c r="O1761" s="627" t="e">
        <f t="shared" si="207"/>
        <v>#DIV/0!</v>
      </c>
      <c r="P1761" s="581"/>
      <c r="Q1761" s="581"/>
      <c r="R1761" s="653"/>
      <c r="S1761" s="564"/>
      <c r="T1761" s="564"/>
      <c r="U1761" s="564"/>
      <c r="V1761" s="564"/>
      <c r="W1761" s="565"/>
      <c r="X1761" s="565"/>
      <c r="Y1761" s="565"/>
      <c r="Z1761" s="565"/>
    </row>
    <row r="1762" spans="1:26" s="639" customFormat="1" ht="24" hidden="1">
      <c r="A1762" s="647">
        <v>4219</v>
      </c>
      <c r="B1762" s="828" t="s">
        <v>191</v>
      </c>
      <c r="C1762" s="603"/>
      <c r="D1762" s="581">
        <f t="shared" si="209"/>
        <v>0</v>
      </c>
      <c r="E1762" s="581">
        <f t="shared" si="208"/>
        <v>0</v>
      </c>
      <c r="F1762" s="582" t="e">
        <f t="shared" si="211"/>
        <v>#DIV/0!</v>
      </c>
      <c r="G1762" s="581"/>
      <c r="H1762" s="586"/>
      <c r="I1762" s="585"/>
      <c r="J1762" s="586"/>
      <c r="K1762" s="581"/>
      <c r="L1762" s="587"/>
      <c r="M1762" s="603"/>
      <c r="N1762" s="581"/>
      <c r="O1762" s="627" t="e">
        <f t="shared" si="207"/>
        <v>#DIV/0!</v>
      </c>
      <c r="P1762" s="581"/>
      <c r="Q1762" s="581"/>
      <c r="R1762" s="653"/>
      <c r="S1762" s="564"/>
      <c r="T1762" s="564"/>
      <c r="U1762" s="564"/>
      <c r="V1762" s="564"/>
      <c r="W1762" s="565"/>
      <c r="X1762" s="565"/>
      <c r="Y1762" s="565"/>
      <c r="Z1762" s="565"/>
    </row>
    <row r="1763" spans="1:26" s="639" customFormat="1" ht="24" hidden="1">
      <c r="A1763" s="647">
        <v>4308</v>
      </c>
      <c r="B1763" s="828" t="s">
        <v>199</v>
      </c>
      <c r="C1763" s="603"/>
      <c r="D1763" s="581">
        <f>G1763+J1763+P1763+M1763</f>
        <v>0</v>
      </c>
      <c r="E1763" s="581">
        <f t="shared" si="208"/>
        <v>0</v>
      </c>
      <c r="F1763" s="582" t="e">
        <f>E1763/D1763*100</f>
        <v>#DIV/0!</v>
      </c>
      <c r="G1763" s="581"/>
      <c r="H1763" s="586"/>
      <c r="I1763" s="585"/>
      <c r="J1763" s="586"/>
      <c r="K1763" s="581"/>
      <c r="L1763" s="587"/>
      <c r="M1763" s="603"/>
      <c r="N1763" s="581"/>
      <c r="O1763" s="627" t="e">
        <f t="shared" si="207"/>
        <v>#DIV/0!</v>
      </c>
      <c r="P1763" s="581"/>
      <c r="Q1763" s="581"/>
      <c r="R1763" s="653"/>
      <c r="S1763" s="564"/>
      <c r="T1763" s="564"/>
      <c r="U1763" s="564"/>
      <c r="V1763" s="564"/>
      <c r="W1763" s="565"/>
      <c r="X1763" s="565"/>
      <c r="Y1763" s="565"/>
      <c r="Z1763" s="565"/>
    </row>
    <row r="1764" spans="1:26" s="639" customFormat="1" ht="24" hidden="1">
      <c r="A1764" s="647">
        <v>4309</v>
      </c>
      <c r="B1764" s="828" t="s">
        <v>199</v>
      </c>
      <c r="C1764" s="603"/>
      <c r="D1764" s="581">
        <f>G1764+J1764+P1764+M1764</f>
        <v>0</v>
      </c>
      <c r="E1764" s="581">
        <f t="shared" si="208"/>
        <v>0</v>
      </c>
      <c r="F1764" s="582" t="e">
        <f>E1764/D1764*100</f>
        <v>#DIV/0!</v>
      </c>
      <c r="G1764" s="581"/>
      <c r="H1764" s="586"/>
      <c r="I1764" s="585"/>
      <c r="J1764" s="586"/>
      <c r="K1764" s="581"/>
      <c r="L1764" s="587"/>
      <c r="M1764" s="603"/>
      <c r="N1764" s="581"/>
      <c r="O1764" s="627" t="e">
        <f t="shared" si="207"/>
        <v>#DIV/0!</v>
      </c>
      <c r="P1764" s="581"/>
      <c r="Q1764" s="581"/>
      <c r="R1764" s="653"/>
      <c r="S1764" s="564"/>
      <c r="T1764" s="564"/>
      <c r="U1764" s="564"/>
      <c r="V1764" s="564"/>
      <c r="W1764" s="565"/>
      <c r="X1764" s="565"/>
      <c r="Y1764" s="565"/>
      <c r="Z1764" s="565"/>
    </row>
    <row r="1765" spans="1:26" s="639" customFormat="1" ht="60" hidden="1">
      <c r="A1765" s="647">
        <v>4748</v>
      </c>
      <c r="B1765" s="712" t="s">
        <v>215</v>
      </c>
      <c r="C1765" s="603"/>
      <c r="D1765" s="581">
        <f>G1765+J1765+P1765+M1765</f>
        <v>0</v>
      </c>
      <c r="E1765" s="581">
        <f t="shared" si="208"/>
        <v>0</v>
      </c>
      <c r="F1765" s="582" t="e">
        <f>E1765/D1765*100</f>
        <v>#DIV/0!</v>
      </c>
      <c r="G1765" s="581"/>
      <c r="H1765" s="586"/>
      <c r="I1765" s="585"/>
      <c r="J1765" s="586"/>
      <c r="K1765" s="581"/>
      <c r="L1765" s="587"/>
      <c r="M1765" s="603"/>
      <c r="N1765" s="581"/>
      <c r="O1765" s="627" t="e">
        <f t="shared" si="207"/>
        <v>#DIV/0!</v>
      </c>
      <c r="P1765" s="581"/>
      <c r="Q1765" s="581"/>
      <c r="R1765" s="653"/>
      <c r="S1765" s="564"/>
      <c r="T1765" s="564"/>
      <c r="U1765" s="564"/>
      <c r="V1765" s="564"/>
      <c r="W1765" s="565"/>
      <c r="X1765" s="565"/>
      <c r="Y1765" s="565"/>
      <c r="Z1765" s="565"/>
    </row>
    <row r="1766" spans="1:26" s="639" customFormat="1" ht="60" hidden="1">
      <c r="A1766" s="647">
        <v>4749</v>
      </c>
      <c r="B1766" s="712" t="s">
        <v>215</v>
      </c>
      <c r="C1766" s="603"/>
      <c r="D1766" s="581">
        <f>G1766+J1766+P1766+M1766</f>
        <v>0</v>
      </c>
      <c r="E1766" s="581">
        <f t="shared" si="208"/>
        <v>0</v>
      </c>
      <c r="F1766" s="582" t="e">
        <f>E1766/D1766*100</f>
        <v>#DIV/0!</v>
      </c>
      <c r="G1766" s="581"/>
      <c r="H1766" s="586"/>
      <c r="I1766" s="585"/>
      <c r="J1766" s="586"/>
      <c r="K1766" s="581"/>
      <c r="L1766" s="587"/>
      <c r="M1766" s="603"/>
      <c r="N1766" s="581"/>
      <c r="O1766" s="627" t="e">
        <f t="shared" si="207"/>
        <v>#DIV/0!</v>
      </c>
      <c r="P1766" s="581"/>
      <c r="Q1766" s="581"/>
      <c r="R1766" s="653"/>
      <c r="S1766" s="564"/>
      <c r="T1766" s="564"/>
      <c r="U1766" s="564"/>
      <c r="V1766" s="564"/>
      <c r="W1766" s="565"/>
      <c r="X1766" s="565"/>
      <c r="Y1766" s="565"/>
      <c r="Z1766" s="565"/>
    </row>
    <row r="1767" spans="1:26" s="639" customFormat="1" ht="36" hidden="1">
      <c r="A1767" s="647">
        <v>4758</v>
      </c>
      <c r="B1767" s="712" t="s">
        <v>589</v>
      </c>
      <c r="C1767" s="603"/>
      <c r="D1767" s="581">
        <f t="shared" si="209"/>
        <v>0</v>
      </c>
      <c r="E1767" s="581">
        <f t="shared" si="208"/>
        <v>0</v>
      </c>
      <c r="F1767" s="582" t="e">
        <f t="shared" si="211"/>
        <v>#DIV/0!</v>
      </c>
      <c r="G1767" s="581"/>
      <c r="H1767" s="586"/>
      <c r="I1767" s="585"/>
      <c r="J1767" s="586"/>
      <c r="K1767" s="581"/>
      <c r="L1767" s="587"/>
      <c r="M1767" s="603"/>
      <c r="N1767" s="581"/>
      <c r="O1767" s="627" t="e">
        <f t="shared" si="207"/>
        <v>#DIV/0!</v>
      </c>
      <c r="P1767" s="581"/>
      <c r="Q1767" s="581"/>
      <c r="R1767" s="653"/>
      <c r="S1767" s="564"/>
      <c r="T1767" s="564"/>
      <c r="U1767" s="564"/>
      <c r="V1767" s="564"/>
      <c r="W1767" s="565"/>
      <c r="X1767" s="565"/>
      <c r="Y1767" s="565"/>
      <c r="Z1767" s="565"/>
    </row>
    <row r="1768" spans="1:26" s="639" customFormat="1" ht="36" hidden="1">
      <c r="A1768" s="647">
        <v>4759</v>
      </c>
      <c r="B1768" s="712" t="s">
        <v>589</v>
      </c>
      <c r="C1768" s="603"/>
      <c r="D1768" s="581">
        <f t="shared" si="209"/>
        <v>0</v>
      </c>
      <c r="E1768" s="581">
        <f t="shared" si="208"/>
        <v>0</v>
      </c>
      <c r="F1768" s="582" t="e">
        <f t="shared" si="211"/>
        <v>#DIV/0!</v>
      </c>
      <c r="G1768" s="675"/>
      <c r="H1768" s="676"/>
      <c r="I1768" s="585"/>
      <c r="J1768" s="676"/>
      <c r="K1768" s="581"/>
      <c r="L1768" s="587"/>
      <c r="M1768" s="603"/>
      <c r="N1768" s="675"/>
      <c r="O1768" s="627" t="e">
        <f t="shared" si="207"/>
        <v>#DIV/0!</v>
      </c>
      <c r="P1768" s="675"/>
      <c r="Q1768" s="675"/>
      <c r="R1768" s="680"/>
      <c r="S1768" s="564"/>
      <c r="T1768" s="564"/>
      <c r="U1768" s="564"/>
      <c r="V1768" s="564"/>
      <c r="W1768" s="565"/>
      <c r="X1768" s="565"/>
      <c r="Y1768" s="565"/>
      <c r="Z1768" s="565"/>
    </row>
    <row r="1769" spans="1:26" s="639" customFormat="1" ht="24">
      <c r="A1769" s="640">
        <v>85417</v>
      </c>
      <c r="B1769" s="856" t="s">
        <v>838</v>
      </c>
      <c r="C1769" s="608">
        <f>SUM(C1770:C1789)</f>
        <v>341100</v>
      </c>
      <c r="D1769" s="595">
        <f t="shared" si="209"/>
        <v>341100</v>
      </c>
      <c r="E1769" s="595">
        <f>H1769+K1769+Q1769+N1769</f>
        <v>80333</v>
      </c>
      <c r="F1769" s="609">
        <f t="shared" si="211"/>
        <v>23.551158018176487</v>
      </c>
      <c r="G1769" s="595">
        <f>SUM(G1770:G1789)</f>
        <v>341100</v>
      </c>
      <c r="H1769" s="595">
        <f>SUM(H1770:H1789)</f>
        <v>80333</v>
      </c>
      <c r="I1769" s="921">
        <f t="shared" si="210"/>
        <v>23.551158018176487</v>
      </c>
      <c r="J1769" s="600"/>
      <c r="K1769" s="595"/>
      <c r="L1769" s="601"/>
      <c r="M1769" s="595"/>
      <c r="N1769" s="595"/>
      <c r="O1769" s="682"/>
      <c r="P1769" s="595"/>
      <c r="Q1769" s="595"/>
      <c r="R1769" s="685"/>
      <c r="S1769" s="564"/>
      <c r="T1769" s="564"/>
      <c r="U1769" s="564"/>
      <c r="V1769" s="564"/>
      <c r="W1769" s="565"/>
      <c r="X1769" s="565"/>
      <c r="Y1769" s="565"/>
      <c r="Z1769" s="565"/>
    </row>
    <row r="1770" spans="1:26" s="639" customFormat="1" ht="24" customHeight="1">
      <c r="A1770" s="667">
        <v>4010</v>
      </c>
      <c r="B1770" s="875" t="s">
        <v>181</v>
      </c>
      <c r="C1770" s="606">
        <v>170000</v>
      </c>
      <c r="D1770" s="615">
        <f t="shared" si="209"/>
        <v>170000</v>
      </c>
      <c r="E1770" s="615">
        <f aca="true" t="shared" si="212" ref="E1770:E1796">SUM(H1770+K1770+N1770+Q1770)</f>
        <v>44289</v>
      </c>
      <c r="F1770" s="604">
        <f t="shared" si="211"/>
        <v>26.052352941176473</v>
      </c>
      <c r="G1770" s="606">
        <v>170000</v>
      </c>
      <c r="H1770" s="615">
        <v>44289</v>
      </c>
      <c r="I1770" s="858">
        <f t="shared" si="210"/>
        <v>26.052352941176473</v>
      </c>
      <c r="J1770" s="618"/>
      <c r="K1770" s="615"/>
      <c r="L1770" s="619"/>
      <c r="M1770" s="606"/>
      <c r="N1770" s="615"/>
      <c r="O1770" s="590"/>
      <c r="P1770" s="615"/>
      <c r="Q1770" s="615"/>
      <c r="R1770" s="686"/>
      <c r="S1770" s="700"/>
      <c r="T1770" s="700"/>
      <c r="U1770" s="700"/>
      <c r="V1770" s="700"/>
      <c r="W1770" s="565"/>
      <c r="X1770" s="565"/>
      <c r="Y1770" s="565"/>
      <c r="Z1770" s="565"/>
    </row>
    <row r="1771" spans="1:26" s="639" customFormat="1" ht="48" hidden="1">
      <c r="A1771" s="647">
        <v>3020</v>
      </c>
      <c r="B1771" s="828" t="s">
        <v>680</v>
      </c>
      <c r="C1771" s="603"/>
      <c r="D1771" s="581">
        <f t="shared" si="209"/>
        <v>0</v>
      </c>
      <c r="E1771" s="581">
        <f t="shared" si="212"/>
        <v>0</v>
      </c>
      <c r="F1771" s="582" t="e">
        <f t="shared" si="211"/>
        <v>#DIV/0!</v>
      </c>
      <c r="G1771" s="603"/>
      <c r="H1771" s="581"/>
      <c r="I1771" s="847" t="e">
        <f t="shared" si="210"/>
        <v>#DIV/0!</v>
      </c>
      <c r="J1771" s="586"/>
      <c r="K1771" s="581"/>
      <c r="L1771" s="587"/>
      <c r="M1771" s="603"/>
      <c r="N1771" s="581"/>
      <c r="O1771" s="585"/>
      <c r="P1771" s="581"/>
      <c r="Q1771" s="581"/>
      <c r="R1771" s="649"/>
      <c r="S1771" s="564"/>
      <c r="T1771" s="564"/>
      <c r="U1771" s="564"/>
      <c r="V1771" s="564"/>
      <c r="W1771" s="565"/>
      <c r="X1771" s="565"/>
      <c r="Y1771" s="565"/>
      <c r="Z1771" s="565"/>
    </row>
    <row r="1772" spans="1:26" s="639" customFormat="1" ht="24">
      <c r="A1772" s="647">
        <v>4040</v>
      </c>
      <c r="B1772" s="828" t="s">
        <v>185</v>
      </c>
      <c r="C1772" s="603">
        <v>13000</v>
      </c>
      <c r="D1772" s="581">
        <f t="shared" si="209"/>
        <v>13000</v>
      </c>
      <c r="E1772" s="581">
        <f t="shared" si="212"/>
        <v>12889</v>
      </c>
      <c r="F1772" s="582">
        <f t="shared" si="211"/>
        <v>99.14615384615385</v>
      </c>
      <c r="G1772" s="603">
        <v>13000</v>
      </c>
      <c r="H1772" s="581">
        <v>12889</v>
      </c>
      <c r="I1772" s="847">
        <f t="shared" si="210"/>
        <v>99.14615384615385</v>
      </c>
      <c r="J1772" s="586"/>
      <c r="K1772" s="581"/>
      <c r="L1772" s="587"/>
      <c r="M1772" s="603"/>
      <c r="N1772" s="581"/>
      <c r="O1772" s="585"/>
      <c r="P1772" s="581"/>
      <c r="Q1772" s="581"/>
      <c r="R1772" s="649"/>
      <c r="S1772" s="700"/>
      <c r="T1772" s="700"/>
      <c r="U1772" s="700"/>
      <c r="V1772" s="700"/>
      <c r="W1772" s="565"/>
      <c r="X1772" s="565"/>
      <c r="Y1772" s="565"/>
      <c r="Z1772" s="565"/>
    </row>
    <row r="1773" spans="1:26" s="639" customFormat="1" ht="27" customHeight="1">
      <c r="A1773" s="647">
        <v>4110</v>
      </c>
      <c r="B1773" s="828" t="s">
        <v>187</v>
      </c>
      <c r="C1773" s="603">
        <v>27500</v>
      </c>
      <c r="D1773" s="581">
        <f t="shared" si="209"/>
        <v>27500</v>
      </c>
      <c r="E1773" s="581">
        <f t="shared" si="212"/>
        <v>5212</v>
      </c>
      <c r="F1773" s="582">
        <f t="shared" si="211"/>
        <v>18.952727272727273</v>
      </c>
      <c r="G1773" s="603">
        <v>27500</v>
      </c>
      <c r="H1773" s="581">
        <v>5212</v>
      </c>
      <c r="I1773" s="847">
        <f t="shared" si="210"/>
        <v>18.952727272727273</v>
      </c>
      <c r="J1773" s="586"/>
      <c r="K1773" s="581"/>
      <c r="L1773" s="587"/>
      <c r="M1773" s="603"/>
      <c r="N1773" s="581"/>
      <c r="O1773" s="585"/>
      <c r="P1773" s="581"/>
      <c r="Q1773" s="581"/>
      <c r="R1773" s="649"/>
      <c r="S1773" s="700"/>
      <c r="T1773" s="700"/>
      <c r="U1773" s="700"/>
      <c r="V1773" s="700"/>
      <c r="W1773" s="565"/>
      <c r="X1773" s="565"/>
      <c r="Y1773" s="565"/>
      <c r="Z1773" s="565"/>
    </row>
    <row r="1774" spans="1:26" s="639" customFormat="1" ht="13.5" customHeight="1">
      <c r="A1774" s="647">
        <v>4120</v>
      </c>
      <c r="B1774" s="828" t="s">
        <v>619</v>
      </c>
      <c r="C1774" s="603">
        <v>4500</v>
      </c>
      <c r="D1774" s="581">
        <f t="shared" si="209"/>
        <v>4500</v>
      </c>
      <c r="E1774" s="581">
        <f t="shared" si="212"/>
        <v>326</v>
      </c>
      <c r="F1774" s="582">
        <f t="shared" si="211"/>
        <v>7.244444444444445</v>
      </c>
      <c r="G1774" s="603">
        <v>4500</v>
      </c>
      <c r="H1774" s="581">
        <v>326</v>
      </c>
      <c r="I1774" s="847">
        <f t="shared" si="210"/>
        <v>7.244444444444445</v>
      </c>
      <c r="J1774" s="586"/>
      <c r="K1774" s="581"/>
      <c r="L1774" s="587"/>
      <c r="M1774" s="603"/>
      <c r="N1774" s="581"/>
      <c r="O1774" s="585"/>
      <c r="P1774" s="581"/>
      <c r="Q1774" s="581"/>
      <c r="R1774" s="649"/>
      <c r="S1774" s="700"/>
      <c r="T1774" s="700"/>
      <c r="U1774" s="700"/>
      <c r="V1774" s="700"/>
      <c r="W1774" s="565"/>
      <c r="X1774" s="565"/>
      <c r="Y1774" s="565"/>
      <c r="Z1774" s="565"/>
    </row>
    <row r="1775" spans="1:26" s="639" customFormat="1" ht="24">
      <c r="A1775" s="647">
        <v>4170</v>
      </c>
      <c r="B1775" s="828" t="s">
        <v>221</v>
      </c>
      <c r="C1775" s="603">
        <v>8000</v>
      </c>
      <c r="D1775" s="581">
        <f t="shared" si="209"/>
        <v>8000</v>
      </c>
      <c r="E1775" s="581">
        <f t="shared" si="212"/>
        <v>0</v>
      </c>
      <c r="F1775" s="582">
        <f t="shared" si="211"/>
        <v>0</v>
      </c>
      <c r="G1775" s="603">
        <v>8000</v>
      </c>
      <c r="H1775" s="581"/>
      <c r="I1775" s="847">
        <f t="shared" si="210"/>
        <v>0</v>
      </c>
      <c r="J1775" s="586"/>
      <c r="K1775" s="581"/>
      <c r="L1775" s="587"/>
      <c r="M1775" s="603"/>
      <c r="N1775" s="581"/>
      <c r="O1775" s="585"/>
      <c r="P1775" s="581"/>
      <c r="Q1775" s="581"/>
      <c r="R1775" s="649"/>
      <c r="S1775" s="700"/>
      <c r="T1775" s="700"/>
      <c r="U1775" s="700"/>
      <c r="V1775" s="700"/>
      <c r="W1775" s="565"/>
      <c r="X1775" s="565"/>
      <c r="Y1775" s="565"/>
      <c r="Z1775" s="565"/>
    </row>
    <row r="1776" spans="1:26" s="639" customFormat="1" ht="24">
      <c r="A1776" s="647">
        <v>4210</v>
      </c>
      <c r="B1776" s="828" t="s">
        <v>191</v>
      </c>
      <c r="C1776" s="603">
        <v>20300</v>
      </c>
      <c r="D1776" s="581">
        <f t="shared" si="209"/>
        <v>20300</v>
      </c>
      <c r="E1776" s="581">
        <f t="shared" si="212"/>
        <v>5813</v>
      </c>
      <c r="F1776" s="582">
        <f t="shared" si="211"/>
        <v>28.635467980295566</v>
      </c>
      <c r="G1776" s="603">
        <v>20300</v>
      </c>
      <c r="H1776" s="581">
        <v>5813</v>
      </c>
      <c r="I1776" s="847">
        <f t="shared" si="210"/>
        <v>28.635467980295566</v>
      </c>
      <c r="J1776" s="586"/>
      <c r="K1776" s="581"/>
      <c r="L1776" s="587"/>
      <c r="M1776" s="603"/>
      <c r="N1776" s="581"/>
      <c r="O1776" s="585"/>
      <c r="P1776" s="581"/>
      <c r="Q1776" s="581"/>
      <c r="R1776" s="649"/>
      <c r="S1776" s="564"/>
      <c r="T1776" s="564"/>
      <c r="U1776" s="564"/>
      <c r="V1776" s="564"/>
      <c r="W1776" s="565"/>
      <c r="X1776" s="565"/>
      <c r="Y1776" s="565"/>
      <c r="Z1776" s="565"/>
    </row>
    <row r="1777" spans="1:26" s="639" customFormat="1" ht="12.75">
      <c r="A1777" s="647">
        <v>4260</v>
      </c>
      <c r="B1777" s="828" t="s">
        <v>195</v>
      </c>
      <c r="C1777" s="603">
        <v>26400</v>
      </c>
      <c r="D1777" s="581">
        <f t="shared" si="209"/>
        <v>26400</v>
      </c>
      <c r="E1777" s="581">
        <f t="shared" si="212"/>
        <v>3090</v>
      </c>
      <c r="F1777" s="582">
        <f t="shared" si="211"/>
        <v>11.704545454545455</v>
      </c>
      <c r="G1777" s="603">
        <v>26400</v>
      </c>
      <c r="H1777" s="581">
        <v>3090</v>
      </c>
      <c r="I1777" s="847">
        <f t="shared" si="210"/>
        <v>11.704545454545455</v>
      </c>
      <c r="J1777" s="586"/>
      <c r="K1777" s="581"/>
      <c r="L1777" s="587"/>
      <c r="M1777" s="603"/>
      <c r="N1777" s="581"/>
      <c r="O1777" s="585"/>
      <c r="P1777" s="581"/>
      <c r="Q1777" s="581"/>
      <c r="R1777" s="649"/>
      <c r="S1777" s="564"/>
      <c r="T1777" s="564"/>
      <c r="U1777" s="564"/>
      <c r="V1777" s="564"/>
      <c r="W1777" s="565"/>
      <c r="X1777" s="565"/>
      <c r="Y1777" s="565"/>
      <c r="Z1777" s="565"/>
    </row>
    <row r="1778" spans="1:26" s="639" customFormat="1" ht="15" customHeight="1">
      <c r="A1778" s="647">
        <v>4270</v>
      </c>
      <c r="B1778" s="828" t="s">
        <v>197</v>
      </c>
      <c r="C1778" s="603">
        <v>3400</v>
      </c>
      <c r="D1778" s="581">
        <f>G1778+J1778+P1778+M1778</f>
        <v>3400</v>
      </c>
      <c r="E1778" s="581">
        <f>SUM(H1778+K1778+N1778+Q1778)</f>
        <v>146</v>
      </c>
      <c r="F1778" s="582">
        <f>E1778/D1778*100</f>
        <v>4.294117647058823</v>
      </c>
      <c r="G1778" s="603">
        <v>3400</v>
      </c>
      <c r="H1778" s="581">
        <f>145+1</f>
        <v>146</v>
      </c>
      <c r="I1778" s="847">
        <f t="shared" si="210"/>
        <v>4.294117647058823</v>
      </c>
      <c r="J1778" s="586"/>
      <c r="K1778" s="581"/>
      <c r="L1778" s="587"/>
      <c r="M1778" s="603"/>
      <c r="N1778" s="581"/>
      <c r="O1778" s="585"/>
      <c r="P1778" s="581"/>
      <c r="Q1778" s="581"/>
      <c r="R1778" s="649"/>
      <c r="S1778" s="564"/>
      <c r="T1778" s="564"/>
      <c r="U1778" s="564"/>
      <c r="V1778" s="564"/>
      <c r="W1778" s="565"/>
      <c r="X1778" s="565"/>
      <c r="Y1778" s="565"/>
      <c r="Z1778" s="565"/>
    </row>
    <row r="1779" spans="1:26" s="639" customFormat="1" ht="24" hidden="1">
      <c r="A1779" s="647">
        <v>4280</v>
      </c>
      <c r="B1779" s="828" t="s">
        <v>582</v>
      </c>
      <c r="C1779" s="603"/>
      <c r="D1779" s="581">
        <f>G1779+J1779+P1779+M1779</f>
        <v>0</v>
      </c>
      <c r="E1779" s="581">
        <f>SUM(H1779+K1779+N1779+Q1779)</f>
        <v>0</v>
      </c>
      <c r="F1779" s="582" t="e">
        <f>E1779/D1779*100</f>
        <v>#DIV/0!</v>
      </c>
      <c r="G1779" s="603"/>
      <c r="H1779" s="581"/>
      <c r="I1779" s="847" t="e">
        <f t="shared" si="210"/>
        <v>#DIV/0!</v>
      </c>
      <c r="J1779" s="586"/>
      <c r="K1779" s="581"/>
      <c r="L1779" s="587"/>
      <c r="M1779" s="603"/>
      <c r="N1779" s="581"/>
      <c r="O1779" s="585"/>
      <c r="P1779" s="581"/>
      <c r="Q1779" s="581"/>
      <c r="R1779" s="649"/>
      <c r="S1779" s="564"/>
      <c r="T1779" s="564"/>
      <c r="U1779" s="564"/>
      <c r="V1779" s="564"/>
      <c r="W1779" s="565"/>
      <c r="X1779" s="565"/>
      <c r="Y1779" s="565"/>
      <c r="Z1779" s="565"/>
    </row>
    <row r="1780" spans="1:26" s="639" customFormat="1" ht="13.5" customHeight="1">
      <c r="A1780" s="647">
        <v>4300</v>
      </c>
      <c r="B1780" s="828" t="s">
        <v>199</v>
      </c>
      <c r="C1780" s="603">
        <v>8600</v>
      </c>
      <c r="D1780" s="581">
        <f t="shared" si="209"/>
        <v>8600</v>
      </c>
      <c r="E1780" s="581">
        <f t="shared" si="212"/>
        <v>3044</v>
      </c>
      <c r="F1780" s="582">
        <f t="shared" si="211"/>
        <v>35.3953488372093</v>
      </c>
      <c r="G1780" s="603">
        <v>8600</v>
      </c>
      <c r="H1780" s="581">
        <v>3044</v>
      </c>
      <c r="I1780" s="847">
        <f t="shared" si="210"/>
        <v>35.3953488372093</v>
      </c>
      <c r="J1780" s="586"/>
      <c r="K1780" s="581"/>
      <c r="L1780" s="587"/>
      <c r="M1780" s="603"/>
      <c r="N1780" s="581"/>
      <c r="O1780" s="585"/>
      <c r="P1780" s="581"/>
      <c r="Q1780" s="581"/>
      <c r="R1780" s="649"/>
      <c r="S1780" s="564"/>
      <c r="T1780" s="564"/>
      <c r="U1780" s="564"/>
      <c r="V1780" s="564"/>
      <c r="W1780" s="565"/>
      <c r="X1780" s="565"/>
      <c r="Y1780" s="565"/>
      <c r="Z1780" s="565"/>
    </row>
    <row r="1781" spans="1:26" s="639" customFormat="1" ht="24">
      <c r="A1781" s="647">
        <v>4350</v>
      </c>
      <c r="B1781" s="828" t="s">
        <v>584</v>
      </c>
      <c r="C1781" s="603">
        <v>900</v>
      </c>
      <c r="D1781" s="581">
        <f t="shared" si="209"/>
        <v>900</v>
      </c>
      <c r="E1781" s="581">
        <f t="shared" si="212"/>
        <v>190</v>
      </c>
      <c r="F1781" s="582">
        <f t="shared" si="211"/>
        <v>21.11111111111111</v>
      </c>
      <c r="G1781" s="603">
        <v>900</v>
      </c>
      <c r="H1781" s="581">
        <v>190</v>
      </c>
      <c r="I1781" s="847">
        <f t="shared" si="210"/>
        <v>21.11111111111111</v>
      </c>
      <c r="J1781" s="586"/>
      <c r="K1781" s="581"/>
      <c r="L1781" s="587"/>
      <c r="M1781" s="603"/>
      <c r="N1781" s="581"/>
      <c r="O1781" s="585"/>
      <c r="P1781" s="581"/>
      <c r="Q1781" s="581"/>
      <c r="R1781" s="649"/>
      <c r="S1781" s="564"/>
      <c r="T1781" s="564"/>
      <c r="U1781" s="564"/>
      <c r="V1781" s="564"/>
      <c r="W1781" s="565"/>
      <c r="X1781" s="565"/>
      <c r="Y1781" s="565"/>
      <c r="Z1781" s="565"/>
    </row>
    <row r="1782" spans="1:26" s="639" customFormat="1" ht="61.5" customHeight="1">
      <c r="A1782" s="647">
        <v>4360</v>
      </c>
      <c r="B1782" s="712" t="s">
        <v>431</v>
      </c>
      <c r="C1782" s="603">
        <v>900</v>
      </c>
      <c r="D1782" s="581">
        <f>G1782+J1782+P1782+M1782</f>
        <v>900</v>
      </c>
      <c r="E1782" s="581">
        <f>SUM(H1782+K1782+N1782+Q1782)</f>
        <v>175</v>
      </c>
      <c r="F1782" s="582">
        <f>E1782/D1782*100</f>
        <v>19.444444444444446</v>
      </c>
      <c r="G1782" s="603">
        <v>900</v>
      </c>
      <c r="H1782" s="581">
        <v>175</v>
      </c>
      <c r="I1782" s="847">
        <f t="shared" si="210"/>
        <v>19.444444444444446</v>
      </c>
      <c r="J1782" s="586"/>
      <c r="K1782" s="581"/>
      <c r="L1782" s="587"/>
      <c r="M1782" s="603"/>
      <c r="N1782" s="581"/>
      <c r="O1782" s="585"/>
      <c r="P1782" s="581"/>
      <c r="Q1782" s="581"/>
      <c r="R1782" s="649"/>
      <c r="S1782" s="564"/>
      <c r="T1782" s="564"/>
      <c r="U1782" s="564"/>
      <c r="V1782" s="564"/>
      <c r="W1782" s="565"/>
      <c r="X1782" s="565"/>
      <c r="Y1782" s="565"/>
      <c r="Z1782" s="565"/>
    </row>
    <row r="1783" spans="1:26" s="639" customFormat="1" ht="68.25" customHeight="1">
      <c r="A1783" s="647">
        <v>4370</v>
      </c>
      <c r="B1783" s="712" t="s">
        <v>432</v>
      </c>
      <c r="C1783" s="603">
        <v>1800</v>
      </c>
      <c r="D1783" s="581">
        <f>G1783+J1783+P1783+M1783</f>
        <v>1800</v>
      </c>
      <c r="E1783" s="581">
        <f>SUM(H1783+K1783+N1783+Q1783)</f>
        <v>303</v>
      </c>
      <c r="F1783" s="582">
        <f>E1783/D1783*100</f>
        <v>16.833333333333332</v>
      </c>
      <c r="G1783" s="603">
        <v>1800</v>
      </c>
      <c r="H1783" s="581">
        <v>303</v>
      </c>
      <c r="I1783" s="847">
        <f t="shared" si="210"/>
        <v>16.833333333333332</v>
      </c>
      <c r="J1783" s="586"/>
      <c r="K1783" s="581"/>
      <c r="L1783" s="587"/>
      <c r="M1783" s="603"/>
      <c r="N1783" s="581"/>
      <c r="O1783" s="585"/>
      <c r="P1783" s="581"/>
      <c r="Q1783" s="581"/>
      <c r="R1783" s="649"/>
      <c r="S1783" s="564"/>
      <c r="T1783" s="564"/>
      <c r="U1783" s="564"/>
      <c r="V1783" s="564"/>
      <c r="W1783" s="565"/>
      <c r="X1783" s="565"/>
      <c r="Y1783" s="565"/>
      <c r="Z1783" s="565"/>
    </row>
    <row r="1784" spans="1:26" s="639" customFormat="1" ht="14.25" customHeight="1">
      <c r="A1784" s="647">
        <v>4410</v>
      </c>
      <c r="B1784" s="828" t="s">
        <v>173</v>
      </c>
      <c r="C1784" s="603">
        <v>3100</v>
      </c>
      <c r="D1784" s="581">
        <f>G1784+J1784+P1784+M1784</f>
        <v>3100</v>
      </c>
      <c r="E1784" s="581">
        <f>SUM(H1784+K1784+N1784+Q1784)</f>
        <v>752</v>
      </c>
      <c r="F1784" s="582">
        <f>E1784/D1784*100</f>
        <v>24.258064516129032</v>
      </c>
      <c r="G1784" s="603">
        <v>3100</v>
      </c>
      <c r="H1784" s="581">
        <v>752</v>
      </c>
      <c r="I1784" s="847">
        <f t="shared" si="210"/>
        <v>24.258064516129032</v>
      </c>
      <c r="J1784" s="586"/>
      <c r="K1784" s="581"/>
      <c r="L1784" s="587"/>
      <c r="M1784" s="603"/>
      <c r="N1784" s="581"/>
      <c r="O1784" s="585"/>
      <c r="P1784" s="581"/>
      <c r="Q1784" s="581"/>
      <c r="R1784" s="649"/>
      <c r="S1784" s="564"/>
      <c r="T1784" s="564"/>
      <c r="U1784" s="564"/>
      <c r="V1784" s="564"/>
      <c r="W1784" s="565"/>
      <c r="X1784" s="565"/>
      <c r="Y1784" s="565"/>
      <c r="Z1784" s="565"/>
    </row>
    <row r="1785" spans="1:26" s="639" customFormat="1" ht="12.75">
      <c r="A1785" s="647">
        <v>4430</v>
      </c>
      <c r="B1785" s="828" t="s">
        <v>201</v>
      </c>
      <c r="C1785" s="603">
        <v>900</v>
      </c>
      <c r="D1785" s="581">
        <f>G1785+J1785+P1785+M1785</f>
        <v>900</v>
      </c>
      <c r="E1785" s="581">
        <f>SUM(H1785+K1785+N1785+Q1785)</f>
        <v>850</v>
      </c>
      <c r="F1785" s="582">
        <f>E1785/D1785*100</f>
        <v>94.44444444444444</v>
      </c>
      <c r="G1785" s="603">
        <v>900</v>
      </c>
      <c r="H1785" s="581">
        <v>850</v>
      </c>
      <c r="I1785" s="847">
        <f t="shared" si="210"/>
        <v>94.44444444444444</v>
      </c>
      <c r="J1785" s="586"/>
      <c r="K1785" s="581"/>
      <c r="L1785" s="587"/>
      <c r="M1785" s="603"/>
      <c r="N1785" s="581"/>
      <c r="O1785" s="585"/>
      <c r="P1785" s="581"/>
      <c r="Q1785" s="581"/>
      <c r="R1785" s="649"/>
      <c r="S1785" s="564"/>
      <c r="T1785" s="564"/>
      <c r="U1785" s="564"/>
      <c r="V1785" s="564"/>
      <c r="W1785" s="565"/>
      <c r="X1785" s="565"/>
      <c r="Y1785" s="565"/>
      <c r="Z1785" s="565"/>
    </row>
    <row r="1786" spans="1:26" s="639" customFormat="1" ht="12.75">
      <c r="A1786" s="647">
        <v>4440</v>
      </c>
      <c r="B1786" s="712" t="s">
        <v>203</v>
      </c>
      <c r="C1786" s="603">
        <v>7200</v>
      </c>
      <c r="D1786" s="581">
        <f>G1786+J1786+P1786+M1786</f>
        <v>7200</v>
      </c>
      <c r="E1786" s="581">
        <f>SUM(H1786+K1786+N1786+Q1786)</f>
        <v>1800</v>
      </c>
      <c r="F1786" s="582">
        <f>E1786/D1786*100</f>
        <v>25</v>
      </c>
      <c r="G1786" s="603">
        <v>7200</v>
      </c>
      <c r="H1786" s="581">
        <v>1800</v>
      </c>
      <c r="I1786" s="847">
        <f t="shared" si="210"/>
        <v>25</v>
      </c>
      <c r="J1786" s="586"/>
      <c r="K1786" s="581"/>
      <c r="L1786" s="587"/>
      <c r="M1786" s="603"/>
      <c r="N1786" s="581"/>
      <c r="O1786" s="585"/>
      <c r="P1786" s="581"/>
      <c r="Q1786" s="581"/>
      <c r="R1786" s="649"/>
      <c r="S1786" s="564"/>
      <c r="T1786" s="564"/>
      <c r="U1786" s="564"/>
      <c r="V1786" s="564"/>
      <c r="W1786" s="565"/>
      <c r="X1786" s="565"/>
      <c r="Y1786" s="565"/>
      <c r="Z1786" s="565"/>
    </row>
    <row r="1787" spans="1:26" s="639" customFormat="1" ht="51" customHeight="1">
      <c r="A1787" s="647">
        <v>4740</v>
      </c>
      <c r="B1787" s="712" t="s">
        <v>215</v>
      </c>
      <c r="C1787" s="603">
        <v>600</v>
      </c>
      <c r="D1787" s="581">
        <f t="shared" si="209"/>
        <v>600</v>
      </c>
      <c r="E1787" s="581">
        <f t="shared" si="212"/>
        <v>234</v>
      </c>
      <c r="F1787" s="582">
        <f t="shared" si="211"/>
        <v>39</v>
      </c>
      <c r="G1787" s="603">
        <v>600</v>
      </c>
      <c r="H1787" s="581">
        <v>234</v>
      </c>
      <c r="I1787" s="847">
        <f t="shared" si="210"/>
        <v>39</v>
      </c>
      <c r="J1787" s="586"/>
      <c r="K1787" s="581"/>
      <c r="L1787" s="587"/>
      <c r="M1787" s="603"/>
      <c r="N1787" s="581"/>
      <c r="O1787" s="585"/>
      <c r="P1787" s="581"/>
      <c r="Q1787" s="581"/>
      <c r="R1787" s="649"/>
      <c r="S1787" s="564"/>
      <c r="T1787" s="564"/>
      <c r="U1787" s="564"/>
      <c r="V1787" s="564"/>
      <c r="W1787" s="565"/>
      <c r="X1787" s="565"/>
      <c r="Y1787" s="565"/>
      <c r="Z1787" s="565"/>
    </row>
    <row r="1788" spans="1:26" s="639" customFormat="1" ht="36">
      <c r="A1788" s="647">
        <v>4750</v>
      </c>
      <c r="B1788" s="712" t="s">
        <v>589</v>
      </c>
      <c r="C1788" s="603">
        <v>4000</v>
      </c>
      <c r="D1788" s="581">
        <f>G1788+J1788+P1788+M1788</f>
        <v>4000</v>
      </c>
      <c r="E1788" s="581">
        <f>SUM(H1788+K1788+N1788+Q1788)</f>
        <v>1220</v>
      </c>
      <c r="F1788" s="582">
        <f>E1788/D1788*100</f>
        <v>30.5</v>
      </c>
      <c r="G1788" s="603">
        <v>4000</v>
      </c>
      <c r="H1788" s="581">
        <v>1220</v>
      </c>
      <c r="I1788" s="847">
        <f t="shared" si="210"/>
        <v>30.5</v>
      </c>
      <c r="J1788" s="586"/>
      <c r="K1788" s="581"/>
      <c r="L1788" s="587"/>
      <c r="M1788" s="603"/>
      <c r="N1788" s="581"/>
      <c r="O1788" s="585"/>
      <c r="P1788" s="581"/>
      <c r="Q1788" s="581"/>
      <c r="R1788" s="649"/>
      <c r="S1788" s="564"/>
      <c r="T1788" s="564"/>
      <c r="U1788" s="564"/>
      <c r="V1788" s="564"/>
      <c r="W1788" s="565"/>
      <c r="X1788" s="565"/>
      <c r="Y1788" s="565"/>
      <c r="Z1788" s="565"/>
    </row>
    <row r="1789" spans="1:26" s="639" customFormat="1" ht="24" customHeight="1">
      <c r="A1789" s="647">
        <v>6050</v>
      </c>
      <c r="B1789" s="712" t="s">
        <v>225</v>
      </c>
      <c r="C1789" s="603">
        <v>40000</v>
      </c>
      <c r="D1789" s="581">
        <f t="shared" si="209"/>
        <v>40000</v>
      </c>
      <c r="E1789" s="581">
        <f t="shared" si="212"/>
        <v>0</v>
      </c>
      <c r="F1789" s="582">
        <f t="shared" si="211"/>
        <v>0</v>
      </c>
      <c r="G1789" s="603">
        <v>40000</v>
      </c>
      <c r="H1789" s="581"/>
      <c r="I1789" s="847">
        <f t="shared" si="210"/>
        <v>0</v>
      </c>
      <c r="J1789" s="586"/>
      <c r="K1789" s="581"/>
      <c r="L1789" s="587"/>
      <c r="M1789" s="603"/>
      <c r="N1789" s="581"/>
      <c r="O1789" s="585"/>
      <c r="P1789" s="581"/>
      <c r="Q1789" s="581"/>
      <c r="R1789" s="649"/>
      <c r="S1789" s="564"/>
      <c r="T1789" s="564"/>
      <c r="U1789" s="564"/>
      <c r="V1789" s="564"/>
      <c r="W1789" s="565"/>
      <c r="X1789" s="565"/>
      <c r="Y1789" s="565"/>
      <c r="Z1789" s="565"/>
    </row>
    <row r="1790" spans="1:26" s="639" customFormat="1" ht="24">
      <c r="A1790" s="640">
        <v>85419</v>
      </c>
      <c r="B1790" s="742" t="s">
        <v>839</v>
      </c>
      <c r="C1790" s="608">
        <f>SUM(C1791)</f>
        <v>920000</v>
      </c>
      <c r="D1790" s="595">
        <f aca="true" t="shared" si="213" ref="D1790:D1797">G1790+J1790+P1790+M1790</f>
        <v>920000</v>
      </c>
      <c r="E1790" s="595">
        <f>SUM(H1790+K1790+N1790+Q1790)</f>
        <v>325969</v>
      </c>
      <c r="F1790" s="609">
        <f>E1790/D1790*100</f>
        <v>35.43141304347826</v>
      </c>
      <c r="G1790" s="600"/>
      <c r="H1790" s="595"/>
      <c r="I1790" s="859"/>
      <c r="J1790" s="773"/>
      <c r="K1790" s="595"/>
      <c r="L1790" s="601"/>
      <c r="M1790" s="608">
        <f>SUM(M1791)</f>
        <v>920000</v>
      </c>
      <c r="N1790" s="595">
        <f>SUM(N1791)</f>
        <v>325969</v>
      </c>
      <c r="O1790" s="625">
        <f aca="true" t="shared" si="214" ref="O1790:O1797">N1790/M1790*100</f>
        <v>35.43141304347826</v>
      </c>
      <c r="P1790" s="595"/>
      <c r="Q1790" s="595"/>
      <c r="R1790" s="684"/>
      <c r="S1790" s="564"/>
      <c r="T1790" s="564"/>
      <c r="U1790" s="564"/>
      <c r="V1790" s="564"/>
      <c r="W1790" s="565"/>
      <c r="X1790" s="565"/>
      <c r="Y1790" s="565"/>
      <c r="Z1790" s="565"/>
    </row>
    <row r="1791" spans="1:26" s="639" customFormat="1" ht="38.25" customHeight="1">
      <c r="A1791" s="732">
        <v>2540</v>
      </c>
      <c r="B1791" s="733" t="s">
        <v>840</v>
      </c>
      <c r="C1791" s="734">
        <v>920000</v>
      </c>
      <c r="D1791" s="735">
        <f t="shared" si="213"/>
        <v>920000</v>
      </c>
      <c r="E1791" s="735">
        <f>SUM(H1791+K1791+N1791+Q1791)</f>
        <v>325969</v>
      </c>
      <c r="F1791" s="596">
        <f>E1791/D1791*100</f>
        <v>35.43141304347826</v>
      </c>
      <c r="G1791" s="736"/>
      <c r="H1791" s="735"/>
      <c r="I1791" s="845"/>
      <c r="J1791" s="939"/>
      <c r="K1791" s="735"/>
      <c r="L1791" s="737"/>
      <c r="M1791" s="734">
        <v>920000</v>
      </c>
      <c r="N1791" s="735">
        <v>325969</v>
      </c>
      <c r="O1791" s="921">
        <f t="shared" si="214"/>
        <v>35.43141304347826</v>
      </c>
      <c r="P1791" s="735"/>
      <c r="Q1791" s="735"/>
      <c r="R1791" s="645"/>
      <c r="S1791" s="564"/>
      <c r="T1791" s="564"/>
      <c r="U1791" s="564"/>
      <c r="V1791" s="564"/>
      <c r="W1791" s="565"/>
      <c r="X1791" s="565"/>
      <c r="Y1791" s="565"/>
      <c r="Z1791" s="565"/>
    </row>
    <row r="1792" spans="1:26" s="639" customFormat="1" ht="24">
      <c r="A1792" s="719">
        <v>85446</v>
      </c>
      <c r="B1792" s="720" t="s">
        <v>762</v>
      </c>
      <c r="C1792" s="721">
        <f>SUM(C1793:C1796)</f>
        <v>18000</v>
      </c>
      <c r="D1792" s="642">
        <f t="shared" si="213"/>
        <v>18000</v>
      </c>
      <c r="E1792" s="642">
        <f>SUM(H1792+K1792+N1792+Q1792)</f>
        <v>0</v>
      </c>
      <c r="F1792" s="624">
        <f t="shared" si="211"/>
        <v>0</v>
      </c>
      <c r="G1792" s="723"/>
      <c r="H1792" s="642"/>
      <c r="I1792" s="689"/>
      <c r="J1792" s="940"/>
      <c r="K1792" s="642"/>
      <c r="L1792" s="763"/>
      <c r="M1792" s="608">
        <f>SUM(M1793:M1796)</f>
        <v>18000</v>
      </c>
      <c r="N1792" s="595">
        <f>SUM(N1793:N1796)</f>
        <v>0</v>
      </c>
      <c r="O1792" s="921">
        <f t="shared" si="214"/>
        <v>0</v>
      </c>
      <c r="P1792" s="642"/>
      <c r="Q1792" s="642"/>
      <c r="R1792" s="726"/>
      <c r="S1792" s="564"/>
      <c r="T1792" s="564"/>
      <c r="U1792" s="564"/>
      <c r="V1792" s="564"/>
      <c r="W1792" s="565"/>
      <c r="X1792" s="565"/>
      <c r="Y1792" s="565"/>
      <c r="Z1792" s="565"/>
    </row>
    <row r="1793" spans="1:18" ht="24">
      <c r="A1793" s="647">
        <v>4210</v>
      </c>
      <c r="B1793" s="828" t="s">
        <v>191</v>
      </c>
      <c r="C1793" s="603"/>
      <c r="D1793" s="581">
        <f t="shared" si="213"/>
        <v>300</v>
      </c>
      <c r="E1793" s="581">
        <f t="shared" si="212"/>
        <v>0</v>
      </c>
      <c r="F1793" s="582">
        <f t="shared" si="211"/>
        <v>0</v>
      </c>
      <c r="G1793" s="586"/>
      <c r="H1793" s="581"/>
      <c r="I1793" s="649"/>
      <c r="J1793" s="772"/>
      <c r="K1793" s="581"/>
      <c r="L1793" s="587"/>
      <c r="M1793" s="606">
        <v>300</v>
      </c>
      <c r="N1793" s="581"/>
      <c r="O1793" s="941">
        <f t="shared" si="214"/>
        <v>0</v>
      </c>
      <c r="P1793" s="581"/>
      <c r="Q1793" s="581"/>
      <c r="R1793" s="649"/>
    </row>
    <row r="1794" spans="1:18" ht="18.75" customHeight="1">
      <c r="A1794" s="647">
        <v>4300</v>
      </c>
      <c r="B1794" s="651" t="s">
        <v>199</v>
      </c>
      <c r="C1794" s="603">
        <v>18000</v>
      </c>
      <c r="D1794" s="581">
        <f t="shared" si="213"/>
        <v>4250</v>
      </c>
      <c r="E1794" s="581">
        <f t="shared" si="212"/>
        <v>0</v>
      </c>
      <c r="F1794" s="582">
        <f t="shared" si="211"/>
        <v>0</v>
      </c>
      <c r="G1794" s="586"/>
      <c r="H1794" s="581"/>
      <c r="I1794" s="649"/>
      <c r="J1794" s="772"/>
      <c r="K1794" s="581"/>
      <c r="L1794" s="587"/>
      <c r="M1794" s="603">
        <f>18000-5750-8000</f>
        <v>4250</v>
      </c>
      <c r="N1794" s="581"/>
      <c r="O1794" s="628">
        <f t="shared" si="214"/>
        <v>0</v>
      </c>
      <c r="P1794" s="581"/>
      <c r="Q1794" s="581"/>
      <c r="R1794" s="649"/>
    </row>
    <row r="1795" spans="1:26" s="639" customFormat="1" ht="24">
      <c r="A1795" s="647">
        <v>4410</v>
      </c>
      <c r="B1795" s="828" t="s">
        <v>173</v>
      </c>
      <c r="C1795" s="603"/>
      <c r="D1795" s="581">
        <f t="shared" si="213"/>
        <v>3050</v>
      </c>
      <c r="E1795" s="581">
        <f t="shared" si="212"/>
        <v>0</v>
      </c>
      <c r="F1795" s="582">
        <f t="shared" si="211"/>
        <v>0</v>
      </c>
      <c r="G1795" s="586"/>
      <c r="H1795" s="581"/>
      <c r="I1795" s="649"/>
      <c r="J1795" s="772"/>
      <c r="K1795" s="581"/>
      <c r="L1795" s="587"/>
      <c r="M1795" s="603">
        <v>3050</v>
      </c>
      <c r="N1795" s="581"/>
      <c r="O1795" s="628">
        <f t="shared" si="214"/>
        <v>0</v>
      </c>
      <c r="P1795" s="581"/>
      <c r="Q1795" s="581"/>
      <c r="R1795" s="649"/>
      <c r="S1795" s="564"/>
      <c r="T1795" s="564"/>
      <c r="U1795" s="564"/>
      <c r="V1795" s="564"/>
      <c r="W1795" s="565"/>
      <c r="X1795" s="565"/>
      <c r="Y1795" s="565"/>
      <c r="Z1795" s="565"/>
    </row>
    <row r="1796" spans="1:26" s="639" customFormat="1" ht="40.5" customHeight="1">
      <c r="A1796" s="647">
        <v>4700</v>
      </c>
      <c r="B1796" s="712" t="s">
        <v>588</v>
      </c>
      <c r="C1796" s="674"/>
      <c r="D1796" s="675">
        <f t="shared" si="213"/>
        <v>10400</v>
      </c>
      <c r="E1796" s="581">
        <f t="shared" si="212"/>
        <v>0</v>
      </c>
      <c r="F1796" s="582">
        <f t="shared" si="211"/>
        <v>0</v>
      </c>
      <c r="G1796" s="676"/>
      <c r="H1796" s="675"/>
      <c r="I1796" s="689"/>
      <c r="J1796" s="796"/>
      <c r="K1796" s="675"/>
      <c r="L1796" s="677"/>
      <c r="M1796" s="674">
        <v>10400</v>
      </c>
      <c r="N1796" s="675"/>
      <c r="O1796" s="906">
        <f t="shared" si="214"/>
        <v>0</v>
      </c>
      <c r="P1796" s="675"/>
      <c r="Q1796" s="675"/>
      <c r="R1796" s="689"/>
      <c r="S1796" s="564"/>
      <c r="T1796" s="564"/>
      <c r="U1796" s="564"/>
      <c r="V1796" s="564"/>
      <c r="W1796" s="565"/>
      <c r="X1796" s="565"/>
      <c r="Y1796" s="565"/>
      <c r="Z1796" s="565"/>
    </row>
    <row r="1797" spans="1:26" s="639" customFormat="1" ht="12.75">
      <c r="A1797" s="640">
        <v>85495</v>
      </c>
      <c r="B1797" s="742" t="s">
        <v>213</v>
      </c>
      <c r="C1797" s="608">
        <f>SUM(C1798+C1811+C1819)</f>
        <v>733550</v>
      </c>
      <c r="D1797" s="595">
        <f t="shared" si="213"/>
        <v>734550</v>
      </c>
      <c r="E1797" s="595">
        <f>H1797+K1797+Q1797+N1797</f>
        <v>6577</v>
      </c>
      <c r="F1797" s="596">
        <f>E1797/D1797*100</f>
        <v>0.8953781226601321</v>
      </c>
      <c r="G1797" s="595">
        <f>SUM(G1798+G1811+G1819)</f>
        <v>53850</v>
      </c>
      <c r="H1797" s="595">
        <f>SUM(H1798+H1811+H1819)</f>
        <v>3982</v>
      </c>
      <c r="I1797" s="624">
        <f t="shared" si="210"/>
        <v>7.394614670380687</v>
      </c>
      <c r="J1797" s="683"/>
      <c r="K1797" s="595"/>
      <c r="L1797" s="601"/>
      <c r="M1797" s="595">
        <f>SUM(M1798+M1811+M1819)</f>
        <v>680700</v>
      </c>
      <c r="N1797" s="595">
        <f>SUM(N1798+N1811+N1819)</f>
        <v>2595</v>
      </c>
      <c r="O1797" s="921">
        <f t="shared" si="214"/>
        <v>0.38122520934332305</v>
      </c>
      <c r="P1797" s="595"/>
      <c r="Q1797" s="595"/>
      <c r="R1797" s="645"/>
      <c r="S1797" s="564"/>
      <c r="T1797" s="564"/>
      <c r="U1797" s="564"/>
      <c r="V1797" s="564"/>
      <c r="W1797" s="565"/>
      <c r="X1797" s="565"/>
      <c r="Y1797" s="565"/>
      <c r="Z1797" s="565"/>
    </row>
    <row r="1798" spans="1:26" s="639" customFormat="1" ht="12.75" hidden="1">
      <c r="A1798" s="640"/>
      <c r="B1798" s="742"/>
      <c r="C1798" s="608"/>
      <c r="D1798" s="595"/>
      <c r="E1798" s="595"/>
      <c r="F1798" s="596"/>
      <c r="G1798" s="608"/>
      <c r="H1798" s="595"/>
      <c r="I1798" s="624"/>
      <c r="J1798" s="773"/>
      <c r="K1798" s="595"/>
      <c r="L1798" s="601"/>
      <c r="M1798" s="595"/>
      <c r="N1798" s="595"/>
      <c r="O1798" s="645"/>
      <c r="P1798" s="595"/>
      <c r="Q1798" s="595"/>
      <c r="R1798" s="645"/>
      <c r="S1798" s="564"/>
      <c r="T1798" s="564"/>
      <c r="U1798" s="564"/>
      <c r="V1798" s="564"/>
      <c r="W1798" s="565"/>
      <c r="X1798" s="565"/>
      <c r="Y1798" s="565"/>
      <c r="Z1798" s="565"/>
    </row>
    <row r="1799" spans="1:26" s="639" customFormat="1" ht="12.75" hidden="1">
      <c r="A1799" s="647"/>
      <c r="B1799" s="651"/>
      <c r="C1799" s="603"/>
      <c r="D1799" s="581"/>
      <c r="E1799" s="581"/>
      <c r="F1799" s="582"/>
      <c r="G1799" s="603"/>
      <c r="H1799" s="581"/>
      <c r="I1799" s="627"/>
      <c r="J1799" s="860"/>
      <c r="K1799" s="660"/>
      <c r="L1799" s="662"/>
      <c r="M1799" s="660"/>
      <c r="N1799" s="660"/>
      <c r="O1799" s="649"/>
      <c r="P1799" s="660"/>
      <c r="Q1799" s="660"/>
      <c r="R1799" s="649"/>
      <c r="S1799" s="564"/>
      <c r="T1799" s="564"/>
      <c r="U1799" s="564"/>
      <c r="V1799" s="564"/>
      <c r="W1799" s="565"/>
      <c r="X1799" s="565"/>
      <c r="Y1799" s="565"/>
      <c r="Z1799" s="565"/>
    </row>
    <row r="1800" spans="1:26" s="639" customFormat="1" ht="12.75" hidden="1">
      <c r="A1800" s="647"/>
      <c r="B1800" s="651"/>
      <c r="C1800" s="603"/>
      <c r="D1800" s="581"/>
      <c r="E1800" s="581"/>
      <c r="F1800" s="582"/>
      <c r="G1800" s="603"/>
      <c r="H1800" s="581"/>
      <c r="I1800" s="627"/>
      <c r="J1800" s="586"/>
      <c r="K1800" s="581"/>
      <c r="L1800" s="587"/>
      <c r="M1800" s="581"/>
      <c r="N1800" s="581"/>
      <c r="O1800" s="585"/>
      <c r="P1800" s="581"/>
      <c r="Q1800" s="581"/>
      <c r="R1800" s="649"/>
      <c r="S1800" s="564"/>
      <c r="T1800" s="564"/>
      <c r="U1800" s="564"/>
      <c r="V1800" s="564"/>
      <c r="W1800" s="565"/>
      <c r="X1800" s="565"/>
      <c r="Y1800" s="565"/>
      <c r="Z1800" s="565"/>
    </row>
    <row r="1801" spans="1:26" s="639" customFormat="1" ht="12.75" hidden="1">
      <c r="A1801" s="647"/>
      <c r="B1801" s="651"/>
      <c r="C1801" s="603"/>
      <c r="D1801" s="581"/>
      <c r="E1801" s="581"/>
      <c r="F1801" s="582"/>
      <c r="G1801" s="603"/>
      <c r="H1801" s="581"/>
      <c r="I1801" s="627"/>
      <c r="J1801" s="860"/>
      <c r="K1801" s="660"/>
      <c r="L1801" s="662"/>
      <c r="M1801" s="660"/>
      <c r="N1801" s="660"/>
      <c r="O1801" s="649"/>
      <c r="P1801" s="660"/>
      <c r="Q1801" s="660"/>
      <c r="R1801" s="649"/>
      <c r="S1801" s="564"/>
      <c r="T1801" s="564"/>
      <c r="U1801" s="564"/>
      <c r="V1801" s="564"/>
      <c r="W1801" s="565"/>
      <c r="X1801" s="565"/>
      <c r="Y1801" s="565"/>
      <c r="Z1801" s="565"/>
    </row>
    <row r="1802" spans="1:26" s="639" customFormat="1" ht="14.25" customHeight="1" hidden="1">
      <c r="A1802" s="647"/>
      <c r="B1802" s="651"/>
      <c r="C1802" s="603"/>
      <c r="D1802" s="581"/>
      <c r="E1802" s="581"/>
      <c r="F1802" s="582"/>
      <c r="G1802" s="603"/>
      <c r="H1802" s="581"/>
      <c r="I1802" s="627"/>
      <c r="J1802" s="860"/>
      <c r="K1802" s="660"/>
      <c r="L1802" s="662"/>
      <c r="M1802" s="660"/>
      <c r="N1802" s="660"/>
      <c r="O1802" s="649"/>
      <c r="P1802" s="660"/>
      <c r="Q1802" s="660"/>
      <c r="R1802" s="649"/>
      <c r="S1802" s="564"/>
      <c r="T1802" s="564"/>
      <c r="U1802" s="564"/>
      <c r="V1802" s="564"/>
      <c r="W1802" s="565"/>
      <c r="X1802" s="565"/>
      <c r="Y1802" s="565"/>
      <c r="Z1802" s="565"/>
    </row>
    <row r="1803" spans="1:26" s="639" customFormat="1" ht="12.75" hidden="1">
      <c r="A1803" s="647"/>
      <c r="B1803" s="651"/>
      <c r="C1803" s="603"/>
      <c r="D1803" s="581"/>
      <c r="E1803" s="581"/>
      <c r="F1803" s="582"/>
      <c r="G1803" s="603"/>
      <c r="H1803" s="581"/>
      <c r="I1803" s="627"/>
      <c r="J1803" s="860"/>
      <c r="K1803" s="660"/>
      <c r="L1803" s="662"/>
      <c r="M1803" s="660"/>
      <c r="N1803" s="660"/>
      <c r="O1803" s="649"/>
      <c r="P1803" s="660"/>
      <c r="Q1803" s="660"/>
      <c r="R1803" s="649"/>
      <c r="S1803" s="564"/>
      <c r="T1803" s="564"/>
      <c r="U1803" s="564"/>
      <c r="V1803" s="564"/>
      <c r="W1803" s="565"/>
      <c r="X1803" s="565"/>
      <c r="Y1803" s="565"/>
      <c r="Z1803" s="565"/>
    </row>
    <row r="1804" spans="1:26" s="639" customFormat="1" ht="15" customHeight="1" hidden="1">
      <c r="A1804" s="647"/>
      <c r="B1804" s="651"/>
      <c r="C1804" s="603"/>
      <c r="D1804" s="581"/>
      <c r="E1804" s="581"/>
      <c r="F1804" s="582"/>
      <c r="G1804" s="603"/>
      <c r="H1804" s="581"/>
      <c r="I1804" s="627"/>
      <c r="J1804" s="860"/>
      <c r="K1804" s="660"/>
      <c r="L1804" s="662"/>
      <c r="M1804" s="660"/>
      <c r="N1804" s="660"/>
      <c r="O1804" s="649"/>
      <c r="P1804" s="660"/>
      <c r="Q1804" s="660"/>
      <c r="R1804" s="649"/>
      <c r="S1804" s="564"/>
      <c r="T1804" s="564"/>
      <c r="U1804" s="564"/>
      <c r="V1804" s="564"/>
      <c r="W1804" s="565"/>
      <c r="X1804" s="565"/>
      <c r="Y1804" s="565"/>
      <c r="Z1804" s="565"/>
    </row>
    <row r="1805" spans="1:26" s="639" customFormat="1" ht="14.25" customHeight="1" hidden="1">
      <c r="A1805" s="647"/>
      <c r="B1805" s="651"/>
      <c r="C1805" s="603"/>
      <c r="D1805" s="581"/>
      <c r="E1805" s="581"/>
      <c r="F1805" s="582"/>
      <c r="G1805" s="603"/>
      <c r="H1805" s="581"/>
      <c r="I1805" s="627"/>
      <c r="J1805" s="860"/>
      <c r="K1805" s="660"/>
      <c r="L1805" s="662"/>
      <c r="M1805" s="660"/>
      <c r="N1805" s="660"/>
      <c r="O1805" s="649"/>
      <c r="P1805" s="660"/>
      <c r="Q1805" s="660"/>
      <c r="R1805" s="649"/>
      <c r="S1805" s="564"/>
      <c r="T1805" s="564"/>
      <c r="U1805" s="564"/>
      <c r="V1805" s="564"/>
      <c r="W1805" s="565"/>
      <c r="X1805" s="565"/>
      <c r="Y1805" s="565"/>
      <c r="Z1805" s="565"/>
    </row>
    <row r="1806" spans="1:26" s="639" customFormat="1" ht="14.25" customHeight="1" hidden="1">
      <c r="A1806" s="647"/>
      <c r="B1806" s="651"/>
      <c r="C1806" s="603"/>
      <c r="D1806" s="581"/>
      <c r="E1806" s="581"/>
      <c r="F1806" s="582"/>
      <c r="G1806" s="603"/>
      <c r="H1806" s="581"/>
      <c r="I1806" s="627"/>
      <c r="J1806" s="860"/>
      <c r="K1806" s="660"/>
      <c r="L1806" s="662"/>
      <c r="M1806" s="581"/>
      <c r="N1806" s="660"/>
      <c r="O1806" s="649"/>
      <c r="P1806" s="660"/>
      <c r="Q1806" s="660"/>
      <c r="R1806" s="649"/>
      <c r="S1806" s="564"/>
      <c r="T1806" s="564"/>
      <c r="U1806" s="564"/>
      <c r="V1806" s="564"/>
      <c r="W1806" s="565"/>
      <c r="X1806" s="565"/>
      <c r="Y1806" s="565"/>
      <c r="Z1806" s="565"/>
    </row>
    <row r="1807" spans="1:26" s="639" customFormat="1" ht="14.25" customHeight="1" hidden="1">
      <c r="A1807" s="647"/>
      <c r="B1807" s="651"/>
      <c r="C1807" s="603"/>
      <c r="D1807" s="581"/>
      <c r="E1807" s="581"/>
      <c r="F1807" s="582"/>
      <c r="G1807" s="603"/>
      <c r="H1807" s="581"/>
      <c r="I1807" s="627"/>
      <c r="J1807" s="860"/>
      <c r="K1807" s="660"/>
      <c r="L1807" s="662"/>
      <c r="M1807" s="660"/>
      <c r="N1807" s="660"/>
      <c r="O1807" s="649"/>
      <c r="P1807" s="660"/>
      <c r="Q1807" s="660"/>
      <c r="R1807" s="649"/>
      <c r="S1807" s="564"/>
      <c r="T1807" s="564"/>
      <c r="U1807" s="564"/>
      <c r="V1807" s="564"/>
      <c r="W1807" s="565"/>
      <c r="X1807" s="565"/>
      <c r="Y1807" s="565"/>
      <c r="Z1807" s="565"/>
    </row>
    <row r="1808" spans="1:26" s="639" customFormat="1" ht="14.25" customHeight="1" hidden="1">
      <c r="A1808" s="647"/>
      <c r="B1808" s="651"/>
      <c r="C1808" s="603"/>
      <c r="D1808" s="581"/>
      <c r="E1808" s="581"/>
      <c r="F1808" s="582"/>
      <c r="G1808" s="603"/>
      <c r="H1808" s="581"/>
      <c r="I1808" s="627"/>
      <c r="J1808" s="860"/>
      <c r="K1808" s="660"/>
      <c r="L1808" s="662"/>
      <c r="M1808" s="660"/>
      <c r="N1808" s="660"/>
      <c r="O1808" s="649"/>
      <c r="P1808" s="660"/>
      <c r="Q1808" s="660"/>
      <c r="R1808" s="649"/>
      <c r="S1808" s="564"/>
      <c r="T1808" s="564"/>
      <c r="U1808" s="564"/>
      <c r="V1808" s="564"/>
      <c r="W1808" s="565"/>
      <c r="X1808" s="565"/>
      <c r="Y1808" s="565"/>
      <c r="Z1808" s="565"/>
    </row>
    <row r="1809" spans="1:26" s="639" customFormat="1" ht="14.25" customHeight="1" hidden="1">
      <c r="A1809" s="647"/>
      <c r="B1809" s="651"/>
      <c r="C1809" s="603"/>
      <c r="D1809" s="581"/>
      <c r="E1809" s="581"/>
      <c r="F1809" s="582"/>
      <c r="G1809" s="603"/>
      <c r="H1809" s="581"/>
      <c r="I1809" s="627"/>
      <c r="J1809" s="860"/>
      <c r="K1809" s="660"/>
      <c r="L1809" s="662"/>
      <c r="M1809" s="581"/>
      <c r="N1809" s="581"/>
      <c r="O1809" s="649"/>
      <c r="P1809" s="660"/>
      <c r="Q1809" s="660"/>
      <c r="R1809" s="649"/>
      <c r="S1809" s="564"/>
      <c r="T1809" s="564"/>
      <c r="U1809" s="564"/>
      <c r="V1809" s="564"/>
      <c r="W1809" s="565"/>
      <c r="X1809" s="565"/>
      <c r="Y1809" s="565"/>
      <c r="Z1809" s="565"/>
    </row>
    <row r="1810" spans="1:26" s="639" customFormat="1" ht="36.75" customHeight="1" hidden="1">
      <c r="A1810" s="672"/>
      <c r="B1810" s="877"/>
      <c r="C1810" s="674"/>
      <c r="D1810" s="675"/>
      <c r="E1810" s="675"/>
      <c r="F1810" s="643"/>
      <c r="G1810" s="674"/>
      <c r="H1810" s="675"/>
      <c r="I1810" s="644"/>
      <c r="J1810" s="940"/>
      <c r="K1810" s="642"/>
      <c r="L1810" s="763"/>
      <c r="M1810" s="675"/>
      <c r="N1810" s="675"/>
      <c r="O1810" s="689"/>
      <c r="P1810" s="642"/>
      <c r="Q1810" s="642"/>
      <c r="R1810" s="689"/>
      <c r="S1810" s="564"/>
      <c r="T1810" s="564"/>
      <c r="U1810" s="564"/>
      <c r="V1810" s="564"/>
      <c r="W1810" s="565"/>
      <c r="X1810" s="565"/>
      <c r="Y1810" s="565"/>
      <c r="Z1810" s="565"/>
    </row>
    <row r="1811" spans="1:26" s="639" customFormat="1" ht="18.75" customHeight="1" hidden="1">
      <c r="A1811" s="657"/>
      <c r="B1811" s="798" t="s">
        <v>841</v>
      </c>
      <c r="C1811" s="659">
        <f>SUM(C1812:C1818)</f>
        <v>0</v>
      </c>
      <c r="D1811" s="660">
        <f aca="true" t="shared" si="215" ref="D1811:E1859">G1811+J1811+P1811+M1811</f>
        <v>0</v>
      </c>
      <c r="E1811" s="660">
        <f aca="true" t="shared" si="216" ref="E1811:E1819">SUM(H1811+K1811+N1811+Q1811)</f>
        <v>0</v>
      </c>
      <c r="F1811" s="582" t="e">
        <f aca="true" t="shared" si="217" ref="F1811:F1874">E1811/D1811*100</f>
        <v>#DIV/0!</v>
      </c>
      <c r="G1811" s="659">
        <f>SUM(G1812:G1818)</f>
        <v>0</v>
      </c>
      <c r="H1811" s="660">
        <f>SUM(H1812:H1818)</f>
        <v>0</v>
      </c>
      <c r="I1811" s="627" t="e">
        <f aca="true" t="shared" si="218" ref="I1811:I1820">H1811/G1811*100</f>
        <v>#DIV/0!</v>
      </c>
      <c r="J1811" s="860"/>
      <c r="K1811" s="660"/>
      <c r="L1811" s="662"/>
      <c r="M1811" s="660"/>
      <c r="N1811" s="660"/>
      <c r="O1811" s="649"/>
      <c r="P1811" s="660"/>
      <c r="Q1811" s="660"/>
      <c r="R1811" s="649"/>
      <c r="S1811" s="564"/>
      <c r="T1811" s="564"/>
      <c r="U1811" s="564"/>
      <c r="V1811" s="564"/>
      <c r="W1811" s="565"/>
      <c r="X1811" s="565"/>
      <c r="Y1811" s="565"/>
      <c r="Z1811" s="565"/>
    </row>
    <row r="1812" spans="1:26" s="639" customFormat="1" ht="40.5" customHeight="1" hidden="1">
      <c r="A1812" s="647">
        <v>3020</v>
      </c>
      <c r="B1812" s="651" t="s">
        <v>680</v>
      </c>
      <c r="C1812" s="603"/>
      <c r="D1812" s="581">
        <f t="shared" si="215"/>
        <v>0</v>
      </c>
      <c r="E1812" s="581">
        <f t="shared" si="216"/>
        <v>0</v>
      </c>
      <c r="F1812" s="582" t="e">
        <f t="shared" si="217"/>
        <v>#DIV/0!</v>
      </c>
      <c r="G1812" s="603"/>
      <c r="H1812" s="581"/>
      <c r="I1812" s="627" t="e">
        <f t="shared" si="218"/>
        <v>#DIV/0!</v>
      </c>
      <c r="J1812" s="860"/>
      <c r="K1812" s="660"/>
      <c r="L1812" s="662"/>
      <c r="M1812" s="660"/>
      <c r="N1812" s="660"/>
      <c r="O1812" s="649"/>
      <c r="P1812" s="660"/>
      <c r="Q1812" s="660"/>
      <c r="R1812" s="649"/>
      <c r="S1812" s="564"/>
      <c r="T1812" s="564"/>
      <c r="U1812" s="564"/>
      <c r="V1812" s="564"/>
      <c r="W1812" s="565"/>
      <c r="X1812" s="565"/>
      <c r="Y1812" s="565"/>
      <c r="Z1812" s="565"/>
    </row>
    <row r="1813" spans="1:26" s="639" customFormat="1" ht="27" customHeight="1" hidden="1">
      <c r="A1813" s="647">
        <v>4010</v>
      </c>
      <c r="B1813" s="651" t="s">
        <v>181</v>
      </c>
      <c r="C1813" s="603"/>
      <c r="D1813" s="581">
        <f t="shared" si="215"/>
        <v>0</v>
      </c>
      <c r="E1813" s="581">
        <f t="shared" si="216"/>
        <v>0</v>
      </c>
      <c r="F1813" s="582" t="e">
        <f t="shared" si="217"/>
        <v>#DIV/0!</v>
      </c>
      <c r="G1813" s="603"/>
      <c r="H1813" s="581"/>
      <c r="I1813" s="627" t="e">
        <f t="shared" si="218"/>
        <v>#DIV/0!</v>
      </c>
      <c r="J1813" s="860"/>
      <c r="K1813" s="660"/>
      <c r="L1813" s="662"/>
      <c r="M1813" s="660"/>
      <c r="N1813" s="660"/>
      <c r="O1813" s="649"/>
      <c r="P1813" s="660"/>
      <c r="Q1813" s="660"/>
      <c r="R1813" s="649"/>
      <c r="S1813" s="564"/>
      <c r="T1813" s="564"/>
      <c r="U1813" s="564"/>
      <c r="V1813" s="564"/>
      <c r="W1813" s="565"/>
      <c r="X1813" s="565"/>
      <c r="Y1813" s="565"/>
      <c r="Z1813" s="565"/>
    </row>
    <row r="1814" spans="1:26" s="639" customFormat="1" ht="29.25" customHeight="1" hidden="1">
      <c r="A1814" s="647">
        <v>4040</v>
      </c>
      <c r="B1814" s="651" t="s">
        <v>249</v>
      </c>
      <c r="C1814" s="603"/>
      <c r="D1814" s="581">
        <f t="shared" si="215"/>
        <v>0</v>
      </c>
      <c r="E1814" s="581">
        <f t="shared" si="216"/>
        <v>0</v>
      </c>
      <c r="F1814" s="582" t="e">
        <f t="shared" si="217"/>
        <v>#DIV/0!</v>
      </c>
      <c r="G1814" s="603"/>
      <c r="H1814" s="581"/>
      <c r="I1814" s="627" t="e">
        <f t="shared" si="218"/>
        <v>#DIV/0!</v>
      </c>
      <c r="J1814" s="860"/>
      <c r="K1814" s="660"/>
      <c r="L1814" s="662"/>
      <c r="M1814" s="660"/>
      <c r="N1814" s="660"/>
      <c r="O1814" s="649"/>
      <c r="P1814" s="660"/>
      <c r="Q1814" s="660"/>
      <c r="R1814" s="649"/>
      <c r="S1814" s="564"/>
      <c r="T1814" s="564"/>
      <c r="U1814" s="564"/>
      <c r="V1814" s="564"/>
      <c r="W1814" s="565"/>
      <c r="X1814" s="565"/>
      <c r="Y1814" s="565"/>
      <c r="Z1814" s="565"/>
    </row>
    <row r="1815" spans="1:26" s="639" customFormat="1" ht="36" hidden="1">
      <c r="A1815" s="647">
        <v>4110</v>
      </c>
      <c r="B1815" s="651" t="s">
        <v>187</v>
      </c>
      <c r="C1815" s="603"/>
      <c r="D1815" s="581">
        <f t="shared" si="215"/>
        <v>0</v>
      </c>
      <c r="E1815" s="581">
        <f t="shared" si="216"/>
        <v>0</v>
      </c>
      <c r="F1815" s="582" t="e">
        <f t="shared" si="217"/>
        <v>#DIV/0!</v>
      </c>
      <c r="G1815" s="603"/>
      <c r="H1815" s="581"/>
      <c r="I1815" s="627" t="e">
        <f t="shared" si="218"/>
        <v>#DIV/0!</v>
      </c>
      <c r="J1815" s="860"/>
      <c r="K1815" s="660"/>
      <c r="L1815" s="662"/>
      <c r="M1815" s="660"/>
      <c r="N1815" s="660"/>
      <c r="O1815" s="649"/>
      <c r="P1815" s="660"/>
      <c r="Q1815" s="660"/>
      <c r="R1815" s="649"/>
      <c r="S1815" s="564"/>
      <c r="T1815" s="564"/>
      <c r="U1815" s="564"/>
      <c r="V1815" s="564"/>
      <c r="W1815" s="565"/>
      <c r="X1815" s="565"/>
      <c r="Y1815" s="565"/>
      <c r="Z1815" s="565"/>
    </row>
    <row r="1816" spans="1:26" s="639" customFormat="1" ht="15.75" customHeight="1" hidden="1">
      <c r="A1816" s="647">
        <v>4120</v>
      </c>
      <c r="B1816" s="651" t="s">
        <v>619</v>
      </c>
      <c r="C1816" s="603"/>
      <c r="D1816" s="581">
        <f t="shared" si="215"/>
        <v>0</v>
      </c>
      <c r="E1816" s="581">
        <f t="shared" si="216"/>
        <v>0</v>
      </c>
      <c r="F1816" s="582" t="e">
        <f t="shared" si="217"/>
        <v>#DIV/0!</v>
      </c>
      <c r="G1816" s="603"/>
      <c r="H1816" s="581"/>
      <c r="I1816" s="627" t="e">
        <f t="shared" si="218"/>
        <v>#DIV/0!</v>
      </c>
      <c r="J1816" s="860"/>
      <c r="K1816" s="660"/>
      <c r="L1816" s="662"/>
      <c r="M1816" s="660"/>
      <c r="N1816" s="660"/>
      <c r="O1816" s="649"/>
      <c r="P1816" s="660"/>
      <c r="Q1816" s="660"/>
      <c r="R1816" s="649"/>
      <c r="S1816" s="564"/>
      <c r="T1816" s="564"/>
      <c r="U1816" s="564"/>
      <c r="V1816" s="564"/>
      <c r="W1816" s="565"/>
      <c r="X1816" s="565"/>
      <c r="Y1816" s="565"/>
      <c r="Z1816" s="565"/>
    </row>
    <row r="1817" spans="1:26" s="639" customFormat="1" ht="15" customHeight="1" hidden="1">
      <c r="A1817" s="647">
        <v>4140</v>
      </c>
      <c r="B1817" s="651" t="s">
        <v>252</v>
      </c>
      <c r="C1817" s="603"/>
      <c r="D1817" s="581">
        <f t="shared" si="215"/>
        <v>0</v>
      </c>
      <c r="E1817" s="581">
        <f t="shared" si="216"/>
        <v>0</v>
      </c>
      <c r="F1817" s="582" t="e">
        <f t="shared" si="217"/>
        <v>#DIV/0!</v>
      </c>
      <c r="G1817" s="603"/>
      <c r="H1817" s="581"/>
      <c r="I1817" s="627" t="e">
        <f t="shared" si="218"/>
        <v>#DIV/0!</v>
      </c>
      <c r="J1817" s="860"/>
      <c r="K1817" s="660"/>
      <c r="L1817" s="662"/>
      <c r="M1817" s="660"/>
      <c r="N1817" s="660"/>
      <c r="O1817" s="649"/>
      <c r="P1817" s="660"/>
      <c r="Q1817" s="660"/>
      <c r="R1817" s="649"/>
      <c r="S1817" s="564"/>
      <c r="T1817" s="564"/>
      <c r="U1817" s="564"/>
      <c r="V1817" s="564"/>
      <c r="W1817" s="565"/>
      <c r="X1817" s="565"/>
      <c r="Y1817" s="565"/>
      <c r="Z1817" s="565"/>
    </row>
    <row r="1818" spans="1:26" s="639" customFormat="1" ht="18" customHeight="1" hidden="1">
      <c r="A1818" s="672">
        <v>4440</v>
      </c>
      <c r="B1818" s="687" t="s">
        <v>203</v>
      </c>
      <c r="C1818" s="674"/>
      <c r="D1818" s="675">
        <f t="shared" si="215"/>
        <v>0</v>
      </c>
      <c r="E1818" s="675">
        <f t="shared" si="216"/>
        <v>0</v>
      </c>
      <c r="F1818" s="643" t="e">
        <f t="shared" si="217"/>
        <v>#DIV/0!</v>
      </c>
      <c r="G1818" s="674"/>
      <c r="H1818" s="675"/>
      <c r="I1818" s="644" t="e">
        <f t="shared" si="218"/>
        <v>#DIV/0!</v>
      </c>
      <c r="J1818" s="940"/>
      <c r="K1818" s="642"/>
      <c r="L1818" s="763"/>
      <c r="M1818" s="642"/>
      <c r="N1818" s="642"/>
      <c r="O1818" s="689"/>
      <c r="P1818" s="642"/>
      <c r="Q1818" s="642"/>
      <c r="R1818" s="689"/>
      <c r="S1818" s="564"/>
      <c r="T1818" s="564"/>
      <c r="U1818" s="564"/>
      <c r="V1818" s="564"/>
      <c r="W1818" s="565"/>
      <c r="X1818" s="565"/>
      <c r="Y1818" s="565"/>
      <c r="Z1818" s="565"/>
    </row>
    <row r="1819" spans="1:26" s="639" customFormat="1" ht="30.75" customHeight="1" hidden="1">
      <c r="A1819" s="719"/>
      <c r="B1819" s="720" t="s">
        <v>842</v>
      </c>
      <c r="C1819" s="721">
        <f>SUM(C1820:C1833)</f>
        <v>733550</v>
      </c>
      <c r="D1819" s="642">
        <f t="shared" si="215"/>
        <v>734550</v>
      </c>
      <c r="E1819" s="642">
        <f t="shared" si="216"/>
        <v>6577</v>
      </c>
      <c r="F1819" s="643">
        <f t="shared" si="217"/>
        <v>0.8953781226601321</v>
      </c>
      <c r="G1819" s="721">
        <f>SUM(G1820:G1833)</f>
        <v>53850</v>
      </c>
      <c r="H1819" s="642">
        <f>SUM(H1820:H1833)</f>
        <v>3982</v>
      </c>
      <c r="I1819" s="644">
        <f t="shared" si="218"/>
        <v>7.394614670380687</v>
      </c>
      <c r="J1819" s="940"/>
      <c r="K1819" s="642"/>
      <c r="L1819" s="763"/>
      <c r="M1819" s="642">
        <f>SUM(M1820:M1833)</f>
        <v>680700</v>
      </c>
      <c r="N1819" s="642">
        <f>SUM(N1820:N1833)</f>
        <v>2595</v>
      </c>
      <c r="O1819" s="679">
        <f>N1819/M1819*100</f>
        <v>0.38122520934332305</v>
      </c>
      <c r="P1819" s="642"/>
      <c r="Q1819" s="642"/>
      <c r="R1819" s="689"/>
      <c r="S1819" s="564"/>
      <c r="T1819" s="564"/>
      <c r="U1819" s="564"/>
      <c r="V1819" s="564"/>
      <c r="W1819" s="565"/>
      <c r="X1819" s="565"/>
      <c r="Y1819" s="565"/>
      <c r="Z1819" s="565"/>
    </row>
    <row r="1820" spans="1:26" s="639" customFormat="1" ht="60.75" customHeight="1">
      <c r="A1820" s="667">
        <v>2820</v>
      </c>
      <c r="B1820" s="668" t="s">
        <v>547</v>
      </c>
      <c r="C1820" s="606">
        <v>31000</v>
      </c>
      <c r="D1820" s="615">
        <f t="shared" si="215"/>
        <v>31000</v>
      </c>
      <c r="E1820" s="615">
        <f>H1820+K1820+Q1820+N1820</f>
        <v>2000</v>
      </c>
      <c r="F1820" s="604">
        <f t="shared" si="217"/>
        <v>6.451612903225806</v>
      </c>
      <c r="G1820" s="606">
        <v>31000</v>
      </c>
      <c r="H1820" s="615">
        <v>2000</v>
      </c>
      <c r="I1820" s="669">
        <f t="shared" si="218"/>
        <v>6.451612903225806</v>
      </c>
      <c r="J1820" s="618"/>
      <c r="K1820" s="615"/>
      <c r="L1820" s="619"/>
      <c r="M1820" s="615"/>
      <c r="N1820" s="615"/>
      <c r="O1820" s="686"/>
      <c r="P1820" s="615"/>
      <c r="Q1820" s="615"/>
      <c r="R1820" s="686"/>
      <c r="S1820" s="564"/>
      <c r="T1820" s="564"/>
      <c r="U1820" s="564"/>
      <c r="V1820" s="564"/>
      <c r="W1820" s="565"/>
      <c r="X1820" s="565"/>
      <c r="Y1820" s="565"/>
      <c r="Z1820" s="565"/>
    </row>
    <row r="1821" spans="1:26" s="639" customFormat="1" ht="39.75" customHeight="1">
      <c r="A1821" s="647">
        <v>3040</v>
      </c>
      <c r="B1821" s="651" t="s">
        <v>775</v>
      </c>
      <c r="C1821" s="603">
        <v>2000</v>
      </c>
      <c r="D1821" s="581">
        <f t="shared" si="215"/>
        <v>3000</v>
      </c>
      <c r="E1821" s="581">
        <f>H1821+K1821+Q1821+N1821</f>
        <v>0</v>
      </c>
      <c r="F1821" s="582">
        <f>E1821/D1821*100</f>
        <v>0</v>
      </c>
      <c r="G1821" s="603"/>
      <c r="H1821" s="581"/>
      <c r="I1821" s="627"/>
      <c r="J1821" s="772"/>
      <c r="K1821" s="581"/>
      <c r="L1821" s="587"/>
      <c r="M1821" s="581">
        <f>2000+1000</f>
        <v>3000</v>
      </c>
      <c r="N1821" s="581"/>
      <c r="O1821" s="627">
        <f>N1821/M1821*100</f>
        <v>0</v>
      </c>
      <c r="P1821" s="581"/>
      <c r="Q1821" s="581"/>
      <c r="R1821" s="649"/>
      <c r="S1821" s="564"/>
      <c r="T1821" s="564"/>
      <c r="U1821" s="564"/>
      <c r="V1821" s="564"/>
      <c r="W1821" s="565"/>
      <c r="X1821" s="565"/>
      <c r="Y1821" s="565"/>
      <c r="Z1821" s="565"/>
    </row>
    <row r="1822" spans="1:26" s="639" customFormat="1" ht="60" hidden="1">
      <c r="A1822" s="647">
        <v>4010</v>
      </c>
      <c r="B1822" s="651" t="s">
        <v>548</v>
      </c>
      <c r="C1822" s="603"/>
      <c r="D1822" s="581">
        <f t="shared" si="215"/>
        <v>0</v>
      </c>
      <c r="E1822" s="581">
        <f>H1822+K1822+Q1822+N1822</f>
        <v>0</v>
      </c>
      <c r="F1822" s="582"/>
      <c r="G1822" s="603"/>
      <c r="H1822" s="581"/>
      <c r="I1822" s="627"/>
      <c r="J1822" s="772"/>
      <c r="K1822" s="581"/>
      <c r="L1822" s="587"/>
      <c r="M1822" s="581"/>
      <c r="N1822" s="581"/>
      <c r="O1822" s="627"/>
      <c r="P1822" s="581"/>
      <c r="Q1822" s="581"/>
      <c r="R1822" s="649"/>
      <c r="S1822" s="700"/>
      <c r="T1822" s="700"/>
      <c r="U1822" s="700"/>
      <c r="V1822" s="700"/>
      <c r="W1822" s="565"/>
      <c r="X1822" s="565"/>
      <c r="Y1822" s="565"/>
      <c r="Z1822" s="565"/>
    </row>
    <row r="1823" spans="1:26" s="639" customFormat="1" ht="28.5" customHeight="1">
      <c r="A1823" s="647">
        <v>4110</v>
      </c>
      <c r="B1823" s="651" t="s">
        <v>187</v>
      </c>
      <c r="C1823" s="603">
        <v>1000</v>
      </c>
      <c r="D1823" s="581">
        <f t="shared" si="215"/>
        <v>1000</v>
      </c>
      <c r="E1823" s="581">
        <f>H1823+K1823+Q1823+N1823</f>
        <v>0</v>
      </c>
      <c r="F1823" s="582">
        <f>E1823/D1823*100</f>
        <v>0</v>
      </c>
      <c r="G1823" s="603"/>
      <c r="H1823" s="581"/>
      <c r="I1823" s="627"/>
      <c r="J1823" s="772"/>
      <c r="K1823" s="581"/>
      <c r="L1823" s="587"/>
      <c r="M1823" s="581">
        <v>1000</v>
      </c>
      <c r="N1823" s="581"/>
      <c r="O1823" s="627">
        <f aca="true" t="shared" si="219" ref="O1823:O1833">N1823/M1823*100</f>
        <v>0</v>
      </c>
      <c r="P1823" s="581"/>
      <c r="Q1823" s="581"/>
      <c r="R1823" s="649"/>
      <c r="S1823" s="700"/>
      <c r="T1823" s="700"/>
      <c r="U1823" s="700"/>
      <c r="V1823" s="700"/>
      <c r="W1823" s="565"/>
      <c r="X1823" s="565"/>
      <c r="Y1823" s="565"/>
      <c r="Z1823" s="565"/>
    </row>
    <row r="1824" spans="1:26" s="639" customFormat="1" ht="24">
      <c r="A1824" s="647">
        <v>4170</v>
      </c>
      <c r="B1824" s="651" t="s">
        <v>221</v>
      </c>
      <c r="C1824" s="603">
        <v>15000</v>
      </c>
      <c r="D1824" s="581">
        <f t="shared" si="215"/>
        <v>15000</v>
      </c>
      <c r="E1824" s="581">
        <f>H1824+K1824+Q1824+N1824</f>
        <v>0</v>
      </c>
      <c r="F1824" s="582">
        <f>E1824/D1824*100</f>
        <v>0</v>
      </c>
      <c r="G1824" s="603"/>
      <c r="H1824" s="581"/>
      <c r="I1824" s="627"/>
      <c r="J1824" s="772"/>
      <c r="K1824" s="581"/>
      <c r="L1824" s="587"/>
      <c r="M1824" s="581">
        <v>15000</v>
      </c>
      <c r="N1824" s="581"/>
      <c r="O1824" s="627">
        <f t="shared" si="219"/>
        <v>0</v>
      </c>
      <c r="P1824" s="581"/>
      <c r="Q1824" s="581"/>
      <c r="R1824" s="649"/>
      <c r="S1824" s="700"/>
      <c r="T1824" s="700"/>
      <c r="U1824" s="700"/>
      <c r="V1824" s="700"/>
      <c r="W1824" s="565"/>
      <c r="X1824" s="565"/>
      <c r="Y1824" s="565"/>
      <c r="Z1824" s="565"/>
    </row>
    <row r="1825" spans="1:26" s="639" customFormat="1" ht="23.25" customHeight="1">
      <c r="A1825" s="647">
        <v>4210</v>
      </c>
      <c r="B1825" s="651" t="s">
        <v>549</v>
      </c>
      <c r="C1825" s="603">
        <v>12650</v>
      </c>
      <c r="D1825" s="581">
        <f t="shared" si="215"/>
        <v>12650</v>
      </c>
      <c r="E1825" s="581">
        <f aca="true" t="shared" si="220" ref="E1825:E1833">SUM(H1825+K1825+N1825+Q1825)</f>
        <v>1732</v>
      </c>
      <c r="F1825" s="582">
        <f t="shared" si="217"/>
        <v>13.691699604743082</v>
      </c>
      <c r="G1825" s="603">
        <v>12650</v>
      </c>
      <c r="H1825" s="581">
        <v>1732</v>
      </c>
      <c r="I1825" s="627">
        <f>H1825/G1825*100</f>
        <v>13.691699604743082</v>
      </c>
      <c r="J1825" s="772"/>
      <c r="K1825" s="581"/>
      <c r="L1825" s="587"/>
      <c r="M1825" s="581"/>
      <c r="N1825" s="581"/>
      <c r="O1825" s="627"/>
      <c r="P1825" s="581"/>
      <c r="Q1825" s="581"/>
      <c r="R1825" s="649"/>
      <c r="S1825" s="564"/>
      <c r="T1825" s="564"/>
      <c r="U1825" s="564"/>
      <c r="V1825" s="564"/>
      <c r="W1825" s="565"/>
      <c r="X1825" s="565"/>
      <c r="Y1825" s="565"/>
      <c r="Z1825" s="565"/>
    </row>
    <row r="1826" spans="1:26" s="639" customFormat="1" ht="23.25" customHeight="1">
      <c r="A1826" s="647">
        <v>4210</v>
      </c>
      <c r="B1826" s="651" t="s">
        <v>843</v>
      </c>
      <c r="C1826" s="603">
        <v>20000</v>
      </c>
      <c r="D1826" s="581">
        <f t="shared" si="215"/>
        <v>20000</v>
      </c>
      <c r="E1826" s="581">
        <f t="shared" si="220"/>
        <v>531</v>
      </c>
      <c r="F1826" s="582">
        <f>E1826/D1826*100</f>
        <v>2.6550000000000002</v>
      </c>
      <c r="G1826" s="603"/>
      <c r="H1826" s="581"/>
      <c r="I1826" s="627"/>
      <c r="J1826" s="772"/>
      <c r="K1826" s="581"/>
      <c r="L1826" s="587"/>
      <c r="M1826" s="581">
        <f>20000</f>
        <v>20000</v>
      </c>
      <c r="N1826" s="581">
        <v>531</v>
      </c>
      <c r="O1826" s="627">
        <f t="shared" si="219"/>
        <v>2.6550000000000002</v>
      </c>
      <c r="P1826" s="581"/>
      <c r="Q1826" s="581"/>
      <c r="R1826" s="649"/>
      <c r="S1826" s="564"/>
      <c r="T1826" s="564"/>
      <c r="U1826" s="564"/>
      <c r="V1826" s="564"/>
      <c r="W1826" s="565"/>
      <c r="X1826" s="565"/>
      <c r="Y1826" s="565"/>
      <c r="Z1826" s="565"/>
    </row>
    <row r="1827" spans="1:26" s="639" customFormat="1" ht="18" customHeight="1">
      <c r="A1827" s="647">
        <v>4300</v>
      </c>
      <c r="B1827" s="651" t="s">
        <v>199</v>
      </c>
      <c r="C1827" s="603">
        <v>30000</v>
      </c>
      <c r="D1827" s="581">
        <f t="shared" si="215"/>
        <v>30000</v>
      </c>
      <c r="E1827" s="581">
        <f t="shared" si="220"/>
        <v>1880</v>
      </c>
      <c r="F1827" s="582">
        <f t="shared" si="217"/>
        <v>6.266666666666667</v>
      </c>
      <c r="G1827" s="603"/>
      <c r="H1827" s="581"/>
      <c r="I1827" s="627"/>
      <c r="J1827" s="772"/>
      <c r="K1827" s="581"/>
      <c r="L1827" s="587"/>
      <c r="M1827" s="581">
        <f>30000</f>
        <v>30000</v>
      </c>
      <c r="N1827" s="581">
        <v>1880</v>
      </c>
      <c r="O1827" s="627">
        <f t="shared" si="219"/>
        <v>6.266666666666667</v>
      </c>
      <c r="P1827" s="581"/>
      <c r="Q1827" s="581"/>
      <c r="R1827" s="649"/>
      <c r="S1827" s="564"/>
      <c r="T1827" s="564"/>
      <c r="U1827" s="564"/>
      <c r="V1827" s="564"/>
      <c r="W1827" s="565"/>
      <c r="X1827" s="565"/>
      <c r="Y1827" s="565"/>
      <c r="Z1827" s="565"/>
    </row>
    <row r="1828" spans="1:26" s="639" customFormat="1" ht="23.25" customHeight="1">
      <c r="A1828" s="647">
        <v>4300</v>
      </c>
      <c r="B1828" s="651" t="s">
        <v>550</v>
      </c>
      <c r="C1828" s="603">
        <v>10200</v>
      </c>
      <c r="D1828" s="581">
        <f t="shared" si="215"/>
        <v>10200</v>
      </c>
      <c r="E1828" s="581">
        <f t="shared" si="220"/>
        <v>250</v>
      </c>
      <c r="F1828" s="582">
        <f t="shared" si="217"/>
        <v>2.450980392156863</v>
      </c>
      <c r="G1828" s="603">
        <v>10200</v>
      </c>
      <c r="H1828" s="581">
        <v>250</v>
      </c>
      <c r="I1828" s="627">
        <f>H1828/G1828*100</f>
        <v>2.450980392156863</v>
      </c>
      <c r="J1828" s="772"/>
      <c r="K1828" s="581"/>
      <c r="L1828" s="587"/>
      <c r="M1828" s="581"/>
      <c r="N1828" s="581"/>
      <c r="O1828" s="627"/>
      <c r="P1828" s="581"/>
      <c r="Q1828" s="581"/>
      <c r="R1828" s="649"/>
      <c r="S1828" s="564"/>
      <c r="T1828" s="564"/>
      <c r="U1828" s="564"/>
      <c r="V1828" s="564"/>
      <c r="W1828" s="565"/>
      <c r="X1828" s="565"/>
      <c r="Y1828" s="565"/>
      <c r="Z1828" s="565"/>
    </row>
    <row r="1829" spans="1:26" s="639" customFormat="1" ht="16.5" customHeight="1">
      <c r="A1829" s="647">
        <v>4410</v>
      </c>
      <c r="B1829" s="651" t="s">
        <v>173</v>
      </c>
      <c r="C1829" s="603">
        <v>1200</v>
      </c>
      <c r="D1829" s="581">
        <f t="shared" si="215"/>
        <v>1200</v>
      </c>
      <c r="E1829" s="581">
        <f t="shared" si="220"/>
        <v>184</v>
      </c>
      <c r="F1829" s="582">
        <f t="shared" si="217"/>
        <v>15.333333333333332</v>
      </c>
      <c r="G1829" s="603"/>
      <c r="H1829" s="581"/>
      <c r="I1829" s="627"/>
      <c r="J1829" s="772"/>
      <c r="K1829" s="581"/>
      <c r="L1829" s="587"/>
      <c r="M1829" s="581">
        <f>1200</f>
        <v>1200</v>
      </c>
      <c r="N1829" s="581">
        <v>184</v>
      </c>
      <c r="O1829" s="627">
        <f t="shared" si="219"/>
        <v>15.333333333333332</v>
      </c>
      <c r="P1829" s="581"/>
      <c r="Q1829" s="581"/>
      <c r="R1829" s="649"/>
      <c r="S1829" s="564"/>
      <c r="T1829" s="564"/>
      <c r="U1829" s="564"/>
      <c r="V1829" s="564"/>
      <c r="W1829" s="565"/>
      <c r="X1829" s="565"/>
      <c r="Y1829" s="565"/>
      <c r="Z1829" s="565"/>
    </row>
    <row r="1830" spans="1:26" s="639" customFormat="1" ht="24" hidden="1">
      <c r="A1830" s="647">
        <v>4420</v>
      </c>
      <c r="B1830" s="651" t="s">
        <v>596</v>
      </c>
      <c r="C1830" s="603"/>
      <c r="D1830" s="581">
        <f t="shared" si="215"/>
        <v>0</v>
      </c>
      <c r="E1830" s="581">
        <f>SUM(H1830+K1830+N1830+Q1830)</f>
        <v>0</v>
      </c>
      <c r="F1830" s="582" t="e">
        <f>E1830/D1830*100</f>
        <v>#DIV/0!</v>
      </c>
      <c r="G1830" s="603"/>
      <c r="H1830" s="581"/>
      <c r="I1830" s="627"/>
      <c r="J1830" s="772"/>
      <c r="K1830" s="581"/>
      <c r="L1830" s="587"/>
      <c r="M1830" s="581"/>
      <c r="N1830" s="581"/>
      <c r="O1830" s="627" t="e">
        <f t="shared" si="219"/>
        <v>#DIV/0!</v>
      </c>
      <c r="P1830" s="581"/>
      <c r="Q1830" s="581"/>
      <c r="R1830" s="649"/>
      <c r="S1830" s="564"/>
      <c r="T1830" s="564"/>
      <c r="U1830" s="564"/>
      <c r="V1830" s="564"/>
      <c r="W1830" s="565"/>
      <c r="X1830" s="565"/>
      <c r="Y1830" s="565"/>
      <c r="Z1830" s="565"/>
    </row>
    <row r="1831" spans="1:26" s="639" customFormat="1" ht="12.75">
      <c r="A1831" s="647">
        <v>4440</v>
      </c>
      <c r="B1831" s="651" t="s">
        <v>203</v>
      </c>
      <c r="C1831" s="603">
        <v>610000</v>
      </c>
      <c r="D1831" s="581">
        <f t="shared" si="215"/>
        <v>610000</v>
      </c>
      <c r="E1831" s="581">
        <f>H1831+K1831+Q1831+N1831</f>
        <v>0</v>
      </c>
      <c r="F1831" s="582">
        <f>E1831/D1831*100</f>
        <v>0</v>
      </c>
      <c r="G1831" s="603"/>
      <c r="H1831" s="581"/>
      <c r="I1831" s="627"/>
      <c r="J1831" s="772"/>
      <c r="K1831" s="581"/>
      <c r="L1831" s="587"/>
      <c r="M1831" s="581">
        <v>610000</v>
      </c>
      <c r="N1831" s="581"/>
      <c r="O1831" s="627">
        <f t="shared" si="219"/>
        <v>0</v>
      </c>
      <c r="P1831" s="581"/>
      <c r="Q1831" s="581"/>
      <c r="R1831" s="649"/>
      <c r="S1831" s="564"/>
      <c r="T1831" s="564"/>
      <c r="U1831" s="564"/>
      <c r="V1831" s="564"/>
      <c r="W1831" s="565"/>
      <c r="X1831" s="565"/>
      <c r="Y1831" s="565"/>
      <c r="Z1831" s="565"/>
    </row>
    <row r="1832" spans="1:26" s="639" customFormat="1" ht="48.75" customHeight="1" thickBot="1">
      <c r="A1832" s="647">
        <v>4740</v>
      </c>
      <c r="B1832" s="712" t="s">
        <v>215</v>
      </c>
      <c r="C1832" s="603">
        <v>500</v>
      </c>
      <c r="D1832" s="581">
        <f t="shared" si="215"/>
        <v>500</v>
      </c>
      <c r="E1832" s="581">
        <f>H1832+K1832+Q1832+N1832</f>
        <v>0</v>
      </c>
      <c r="F1832" s="582">
        <f>E1832/D1832*100</f>
        <v>0</v>
      </c>
      <c r="G1832" s="603"/>
      <c r="H1832" s="581"/>
      <c r="I1832" s="627"/>
      <c r="J1832" s="772"/>
      <c r="K1832" s="581"/>
      <c r="L1832" s="587"/>
      <c r="M1832" s="581">
        <v>500</v>
      </c>
      <c r="N1832" s="581"/>
      <c r="O1832" s="627">
        <f t="shared" si="219"/>
        <v>0</v>
      </c>
      <c r="P1832" s="581"/>
      <c r="Q1832" s="581"/>
      <c r="R1832" s="649"/>
      <c r="S1832" s="564"/>
      <c r="T1832" s="564"/>
      <c r="U1832" s="564"/>
      <c r="V1832" s="564"/>
      <c r="W1832" s="565"/>
      <c r="X1832" s="565"/>
      <c r="Y1832" s="565"/>
      <c r="Z1832" s="565"/>
    </row>
    <row r="1833" spans="1:26" s="639" customFormat="1" ht="36.75" hidden="1" thickBot="1">
      <c r="A1833" s="647">
        <v>6050</v>
      </c>
      <c r="B1833" s="651" t="s">
        <v>225</v>
      </c>
      <c r="C1833" s="603"/>
      <c r="D1833" s="581">
        <f t="shared" si="215"/>
        <v>0</v>
      </c>
      <c r="E1833" s="581">
        <f t="shared" si="220"/>
        <v>0</v>
      </c>
      <c r="F1833" s="582" t="e">
        <f t="shared" si="217"/>
        <v>#DIV/0!</v>
      </c>
      <c r="G1833" s="603"/>
      <c r="H1833" s="581"/>
      <c r="I1833" s="585"/>
      <c r="J1833" s="772"/>
      <c r="K1833" s="581"/>
      <c r="L1833" s="587"/>
      <c r="M1833" s="581"/>
      <c r="N1833" s="581"/>
      <c r="O1833" s="627" t="e">
        <f t="shared" si="219"/>
        <v>#DIV/0!</v>
      </c>
      <c r="P1833" s="581"/>
      <c r="Q1833" s="581"/>
      <c r="R1833" s="649"/>
      <c r="S1833" s="564"/>
      <c r="T1833" s="564"/>
      <c r="U1833" s="564"/>
      <c r="V1833" s="564"/>
      <c r="W1833" s="565"/>
      <c r="X1833" s="565"/>
      <c r="Y1833" s="565"/>
      <c r="Z1833" s="565"/>
    </row>
    <row r="1834" spans="1:26" s="639" customFormat="1" ht="40.5" customHeight="1" thickBot="1" thickTop="1">
      <c r="A1834" s="632">
        <v>900</v>
      </c>
      <c r="B1834" s="633" t="s">
        <v>844</v>
      </c>
      <c r="C1834" s="634">
        <f>C1855+C1860+C1869+C1880+C1864+C1835+C1853</f>
        <v>33836960</v>
      </c>
      <c r="D1834" s="556">
        <f t="shared" si="215"/>
        <v>36824646</v>
      </c>
      <c r="E1834" s="556">
        <f>H1834+K1834+Q1834+N1834</f>
        <v>4552328</v>
      </c>
      <c r="F1834" s="557">
        <f t="shared" si="217"/>
        <v>12.362177222287487</v>
      </c>
      <c r="G1834" s="634">
        <f>G1855+G1860+G1869+G1880+G1864+G1835+G1853+G1875</f>
        <v>30067796</v>
      </c>
      <c r="H1834" s="556">
        <f>H1855+H1860+H1869+H1880+H1864+H1835+H1853+H1875</f>
        <v>2522711</v>
      </c>
      <c r="I1834" s="635">
        <f aca="true" t="shared" si="221" ref="I1834:I1897">H1834/G1834*100</f>
        <v>8.390076213101885</v>
      </c>
      <c r="J1834" s="556"/>
      <c r="K1834" s="556"/>
      <c r="L1834" s="655"/>
      <c r="M1834" s="556">
        <f>M1855+M1860+M1869+M1880+M1864+M1835+M1875</f>
        <v>6756850</v>
      </c>
      <c r="N1834" s="556">
        <f>N1855+N1860+N1869+N1880+N1864+N1835+N1875</f>
        <v>2029617</v>
      </c>
      <c r="O1834" s="635">
        <f>N1834/M1834*100</f>
        <v>30.037917076744343</v>
      </c>
      <c r="P1834" s="556"/>
      <c r="Q1834" s="556"/>
      <c r="R1834" s="637"/>
      <c r="S1834" s="564"/>
      <c r="T1834" s="564"/>
      <c r="U1834" s="564"/>
      <c r="V1834" s="564"/>
      <c r="W1834" s="565"/>
      <c r="X1834" s="565"/>
      <c r="Y1834" s="565"/>
      <c r="Z1834" s="565"/>
    </row>
    <row r="1835" spans="1:26" s="639" customFormat="1" ht="30" customHeight="1" thickTop="1">
      <c r="A1835" s="640">
        <v>90001</v>
      </c>
      <c r="B1835" s="742" t="s">
        <v>845</v>
      </c>
      <c r="C1835" s="608">
        <f>SUM(C1836:C1842)</f>
        <v>18643470</v>
      </c>
      <c r="D1835" s="642">
        <f t="shared" si="215"/>
        <v>17793470</v>
      </c>
      <c r="E1835" s="642">
        <f>H1835+K1835+Q1835+N1835</f>
        <v>1141895</v>
      </c>
      <c r="F1835" s="643">
        <f t="shared" si="217"/>
        <v>6.417494732618202</v>
      </c>
      <c r="G1835" s="608">
        <f>SUM(G1836:G1842)</f>
        <v>15862470</v>
      </c>
      <c r="H1835" s="595">
        <f>SUM(H1836:H1842)</f>
        <v>622642</v>
      </c>
      <c r="I1835" s="874">
        <f t="shared" si="221"/>
        <v>3.9252524985074833</v>
      </c>
      <c r="J1835" s="600"/>
      <c r="K1835" s="595"/>
      <c r="L1835" s="679"/>
      <c r="M1835" s="595">
        <f>SUM(M1836:M1841)</f>
        <v>1931000</v>
      </c>
      <c r="N1835" s="595">
        <f>SUM(N1836:N1841)</f>
        <v>519253</v>
      </c>
      <c r="O1835" s="644">
        <f>N1835/M1835*100</f>
        <v>26.890367685137235</v>
      </c>
      <c r="P1835" s="595"/>
      <c r="Q1835" s="595"/>
      <c r="R1835" s="645"/>
      <c r="S1835" s="564"/>
      <c r="T1835" s="564"/>
      <c r="U1835" s="564"/>
      <c r="V1835" s="564"/>
      <c r="W1835" s="565"/>
      <c r="X1835" s="565"/>
      <c r="Y1835" s="565"/>
      <c r="Z1835" s="565"/>
    </row>
    <row r="1836" spans="1:18" ht="16.5" customHeight="1">
      <c r="A1836" s="647">
        <v>4300</v>
      </c>
      <c r="B1836" s="668" t="s">
        <v>199</v>
      </c>
      <c r="C1836" s="606">
        <v>4200000</v>
      </c>
      <c r="D1836" s="581">
        <f t="shared" si="215"/>
        <v>4200000</v>
      </c>
      <c r="E1836" s="581">
        <f aca="true" t="shared" si="222" ref="E1836:E1854">SUM(H1836+K1836+N1836+Q1836)</f>
        <v>1128811</v>
      </c>
      <c r="F1836" s="582">
        <f t="shared" si="217"/>
        <v>26.876452380952383</v>
      </c>
      <c r="G1836" s="606">
        <v>2269000</v>
      </c>
      <c r="H1836" s="581">
        <v>609558</v>
      </c>
      <c r="I1836" s="627">
        <f t="shared" si="221"/>
        <v>26.864609960334953</v>
      </c>
      <c r="J1836" s="618"/>
      <c r="K1836" s="581"/>
      <c r="L1836" s="585"/>
      <c r="M1836" s="581">
        <v>1931000</v>
      </c>
      <c r="N1836" s="581">
        <v>519253</v>
      </c>
      <c r="O1836" s="627">
        <f>N1836/M1836*100</f>
        <v>26.890367685137235</v>
      </c>
      <c r="P1836" s="581"/>
      <c r="Q1836" s="581"/>
      <c r="R1836" s="649"/>
    </row>
    <row r="1837" spans="1:18" ht="24" hidden="1">
      <c r="A1837" s="647">
        <v>4270</v>
      </c>
      <c r="B1837" s="651" t="s">
        <v>197</v>
      </c>
      <c r="C1837" s="603"/>
      <c r="D1837" s="581">
        <f t="shared" si="215"/>
        <v>0</v>
      </c>
      <c r="E1837" s="581">
        <f t="shared" si="222"/>
        <v>0</v>
      </c>
      <c r="F1837" s="582" t="e">
        <f>E1837/D1837*100</f>
        <v>#DIV/0!</v>
      </c>
      <c r="G1837" s="603"/>
      <c r="H1837" s="581"/>
      <c r="I1837" s="627" t="e">
        <f t="shared" si="221"/>
        <v>#DIV/0!</v>
      </c>
      <c r="J1837" s="586"/>
      <c r="K1837" s="581"/>
      <c r="L1837" s="585"/>
      <c r="M1837" s="581"/>
      <c r="N1837" s="581"/>
      <c r="O1837" s="627"/>
      <c r="P1837" s="581"/>
      <c r="Q1837" s="581"/>
      <c r="R1837" s="649"/>
    </row>
    <row r="1838" spans="1:18" ht="14.25" customHeight="1">
      <c r="A1838" s="647">
        <v>4430</v>
      </c>
      <c r="B1838" s="651" t="s">
        <v>201</v>
      </c>
      <c r="C1838" s="603">
        <v>5000</v>
      </c>
      <c r="D1838" s="581">
        <f t="shared" si="215"/>
        <v>5000</v>
      </c>
      <c r="E1838" s="581">
        <f t="shared" si="222"/>
        <v>990</v>
      </c>
      <c r="F1838" s="582">
        <f t="shared" si="217"/>
        <v>19.8</v>
      </c>
      <c r="G1838" s="603">
        <v>5000</v>
      </c>
      <c r="H1838" s="581">
        <v>990</v>
      </c>
      <c r="I1838" s="627">
        <f t="shared" si="221"/>
        <v>19.8</v>
      </c>
      <c r="J1838" s="586"/>
      <c r="K1838" s="581"/>
      <c r="L1838" s="585"/>
      <c r="M1838" s="581"/>
      <c r="N1838" s="581"/>
      <c r="O1838" s="627"/>
      <c r="P1838" s="581"/>
      <c r="Q1838" s="581"/>
      <c r="R1838" s="649"/>
    </row>
    <row r="1839" spans="1:18" ht="29.25" customHeight="1">
      <c r="A1839" s="647">
        <v>6058</v>
      </c>
      <c r="B1839" s="651" t="s">
        <v>245</v>
      </c>
      <c r="C1839" s="603"/>
      <c r="D1839" s="581">
        <f t="shared" si="215"/>
        <v>3971312</v>
      </c>
      <c r="E1839" s="581">
        <f t="shared" si="222"/>
        <v>0</v>
      </c>
      <c r="F1839" s="582">
        <f t="shared" si="217"/>
        <v>0</v>
      </c>
      <c r="G1839" s="603">
        <v>3971312</v>
      </c>
      <c r="H1839" s="581"/>
      <c r="I1839" s="627">
        <f t="shared" si="221"/>
        <v>0</v>
      </c>
      <c r="J1839" s="586"/>
      <c r="K1839" s="581"/>
      <c r="L1839" s="585"/>
      <c r="M1839" s="581"/>
      <c r="N1839" s="581"/>
      <c r="O1839" s="627"/>
      <c r="P1839" s="581"/>
      <c r="Q1839" s="581"/>
      <c r="R1839" s="649"/>
    </row>
    <row r="1840" spans="1:18" ht="27.75" customHeight="1">
      <c r="A1840" s="647">
        <v>6059</v>
      </c>
      <c r="B1840" s="651" t="s">
        <v>245</v>
      </c>
      <c r="C1840" s="603"/>
      <c r="D1840" s="581">
        <f t="shared" si="215"/>
        <v>700819</v>
      </c>
      <c r="E1840" s="581">
        <f t="shared" si="222"/>
        <v>0</v>
      </c>
      <c r="F1840" s="582">
        <f>E1840/D1840*100</f>
        <v>0</v>
      </c>
      <c r="G1840" s="603">
        <v>700819</v>
      </c>
      <c r="H1840" s="581"/>
      <c r="I1840" s="627">
        <f t="shared" si="221"/>
        <v>0</v>
      </c>
      <c r="J1840" s="586"/>
      <c r="K1840" s="581"/>
      <c r="L1840" s="585"/>
      <c r="M1840" s="581"/>
      <c r="N1840" s="581"/>
      <c r="O1840" s="627"/>
      <c r="P1840" s="581"/>
      <c r="Q1840" s="581"/>
      <c r="R1840" s="649"/>
    </row>
    <row r="1841" spans="1:18" ht="28.5" customHeight="1">
      <c r="A1841" s="853">
        <v>6050</v>
      </c>
      <c r="B1841" s="651" t="s">
        <v>245</v>
      </c>
      <c r="C1841" s="603">
        <v>13700000</v>
      </c>
      <c r="D1841" s="581">
        <f t="shared" si="215"/>
        <v>8177869</v>
      </c>
      <c r="E1841" s="581">
        <f t="shared" si="222"/>
        <v>0</v>
      </c>
      <c r="F1841" s="582">
        <f t="shared" si="217"/>
        <v>0</v>
      </c>
      <c r="G1841" s="603">
        <f>13700000-850000-4672131</f>
        <v>8177869</v>
      </c>
      <c r="H1841" s="581"/>
      <c r="I1841" s="627">
        <f t="shared" si="221"/>
        <v>0</v>
      </c>
      <c r="J1841" s="586"/>
      <c r="K1841" s="581"/>
      <c r="L1841" s="585"/>
      <c r="M1841" s="581"/>
      <c r="N1841" s="581"/>
      <c r="O1841" s="627"/>
      <c r="P1841" s="581"/>
      <c r="Q1841" s="581"/>
      <c r="R1841" s="649"/>
    </row>
    <row r="1842" spans="1:26" s="639" customFormat="1" ht="72">
      <c r="A1842" s="942"/>
      <c r="B1842" s="943" t="s">
        <v>551</v>
      </c>
      <c r="C1842" s="659">
        <f>SUM(C1843:C1852)</f>
        <v>738470</v>
      </c>
      <c r="D1842" s="660">
        <f t="shared" si="215"/>
        <v>738470</v>
      </c>
      <c r="E1842" s="660">
        <f t="shared" si="222"/>
        <v>12094</v>
      </c>
      <c r="F1842" s="944">
        <f t="shared" si="217"/>
        <v>1.6377104012349857</v>
      </c>
      <c r="G1842" s="659">
        <f>SUM(G1843:G1852)</f>
        <v>738470</v>
      </c>
      <c r="H1842" s="945">
        <f>SUM(H1843:H1852)</f>
        <v>12094</v>
      </c>
      <c r="I1842" s="946">
        <f t="shared" si="221"/>
        <v>1.6377104012349857</v>
      </c>
      <c r="J1842" s="661"/>
      <c r="K1842" s="660"/>
      <c r="L1842" s="801"/>
      <c r="M1842" s="660"/>
      <c r="N1842" s="660"/>
      <c r="O1842" s="801"/>
      <c r="P1842" s="660"/>
      <c r="Q1842" s="660"/>
      <c r="R1842" s="800"/>
      <c r="S1842" s="564"/>
      <c r="T1842" s="564"/>
      <c r="U1842" s="564"/>
      <c r="V1842" s="564"/>
      <c r="W1842" s="565"/>
      <c r="X1842" s="565"/>
      <c r="Y1842" s="565"/>
      <c r="Z1842" s="565"/>
    </row>
    <row r="1843" spans="1:18" ht="25.5" customHeight="1">
      <c r="A1843" s="853">
        <v>4010</v>
      </c>
      <c r="B1843" s="828" t="s">
        <v>181</v>
      </c>
      <c r="C1843" s="603">
        <v>62870</v>
      </c>
      <c r="D1843" s="581">
        <f t="shared" si="215"/>
        <v>0</v>
      </c>
      <c r="E1843" s="581">
        <f t="shared" si="222"/>
        <v>0</v>
      </c>
      <c r="F1843" s="761"/>
      <c r="G1843" s="603">
        <f>62870-62870</f>
        <v>0</v>
      </c>
      <c r="H1843" s="947"/>
      <c r="I1843" s="863"/>
      <c r="J1843" s="586"/>
      <c r="K1843" s="581"/>
      <c r="L1843" s="692"/>
      <c r="M1843" s="581"/>
      <c r="N1843" s="581"/>
      <c r="O1843" s="692"/>
      <c r="P1843" s="581"/>
      <c r="Q1843" s="581"/>
      <c r="R1843" s="649"/>
    </row>
    <row r="1844" spans="1:18" ht="26.25" customHeight="1">
      <c r="A1844" s="853">
        <v>4110</v>
      </c>
      <c r="B1844" s="828" t="s">
        <v>187</v>
      </c>
      <c r="C1844" s="603">
        <v>9580</v>
      </c>
      <c r="D1844" s="581">
        <f t="shared" si="215"/>
        <v>0</v>
      </c>
      <c r="E1844" s="581">
        <f t="shared" si="222"/>
        <v>0</v>
      </c>
      <c r="F1844" s="761"/>
      <c r="G1844" s="603">
        <f>9580-9580</f>
        <v>0</v>
      </c>
      <c r="H1844" s="947"/>
      <c r="I1844" s="863"/>
      <c r="J1844" s="586"/>
      <c r="K1844" s="581"/>
      <c r="L1844" s="692"/>
      <c r="M1844" s="581"/>
      <c r="N1844" s="581"/>
      <c r="O1844" s="692"/>
      <c r="P1844" s="581"/>
      <c r="Q1844" s="581"/>
      <c r="R1844" s="649"/>
    </row>
    <row r="1845" spans="1:18" ht="12.75">
      <c r="A1845" s="853">
        <v>4120</v>
      </c>
      <c r="B1845" s="828" t="s">
        <v>619</v>
      </c>
      <c r="C1845" s="603">
        <v>1560</v>
      </c>
      <c r="D1845" s="581">
        <f t="shared" si="215"/>
        <v>0</v>
      </c>
      <c r="E1845" s="581">
        <f t="shared" si="222"/>
        <v>0</v>
      </c>
      <c r="F1845" s="761"/>
      <c r="G1845" s="603">
        <f>1560-1560</f>
        <v>0</v>
      </c>
      <c r="H1845" s="947"/>
      <c r="I1845" s="863"/>
      <c r="J1845" s="586"/>
      <c r="K1845" s="581"/>
      <c r="L1845" s="692"/>
      <c r="M1845" s="581"/>
      <c r="N1845" s="581"/>
      <c r="O1845" s="692"/>
      <c r="P1845" s="581"/>
      <c r="Q1845" s="581"/>
      <c r="R1845" s="649"/>
    </row>
    <row r="1846" spans="1:18" ht="24">
      <c r="A1846" s="647">
        <v>4210</v>
      </c>
      <c r="B1846" s="828" t="s">
        <v>191</v>
      </c>
      <c r="C1846" s="603">
        <v>4700</v>
      </c>
      <c r="D1846" s="581">
        <f t="shared" si="215"/>
        <v>0</v>
      </c>
      <c r="E1846" s="581">
        <f t="shared" si="222"/>
        <v>0</v>
      </c>
      <c r="F1846" s="761"/>
      <c r="G1846" s="603">
        <f>4700-4700</f>
        <v>0</v>
      </c>
      <c r="H1846" s="581"/>
      <c r="I1846" s="863"/>
      <c r="J1846" s="586"/>
      <c r="K1846" s="581"/>
      <c r="L1846" s="692"/>
      <c r="M1846" s="581"/>
      <c r="N1846" s="581"/>
      <c r="O1846" s="692"/>
      <c r="P1846" s="581"/>
      <c r="Q1846" s="581"/>
      <c r="R1846" s="653"/>
    </row>
    <row r="1847" spans="1:18" ht="15.75" customHeight="1">
      <c r="A1847" s="647">
        <v>4300</v>
      </c>
      <c r="B1847" s="828" t="s">
        <v>199</v>
      </c>
      <c r="C1847" s="603">
        <v>649760</v>
      </c>
      <c r="D1847" s="581">
        <f t="shared" si="215"/>
        <v>0</v>
      </c>
      <c r="E1847" s="581">
        <f t="shared" si="222"/>
        <v>0</v>
      </c>
      <c r="F1847" s="761"/>
      <c r="G1847" s="603">
        <f>649760-649760</f>
        <v>0</v>
      </c>
      <c r="H1847" s="581"/>
      <c r="I1847" s="863"/>
      <c r="J1847" s="586"/>
      <c r="K1847" s="581"/>
      <c r="L1847" s="692"/>
      <c r="M1847" s="581"/>
      <c r="N1847" s="581"/>
      <c r="O1847" s="692"/>
      <c r="P1847" s="581"/>
      <c r="Q1847" s="581"/>
      <c r="R1847" s="653"/>
    </row>
    <row r="1848" spans="1:18" ht="60.75" customHeight="1">
      <c r="A1848" s="647">
        <v>4360</v>
      </c>
      <c r="B1848" s="712" t="s">
        <v>431</v>
      </c>
      <c r="C1848" s="603">
        <v>4000</v>
      </c>
      <c r="D1848" s="581">
        <f t="shared" si="215"/>
        <v>0</v>
      </c>
      <c r="E1848" s="581">
        <f t="shared" si="222"/>
        <v>0</v>
      </c>
      <c r="F1848" s="761"/>
      <c r="G1848" s="603">
        <f>4000-4000</f>
        <v>0</v>
      </c>
      <c r="H1848" s="581"/>
      <c r="I1848" s="863"/>
      <c r="J1848" s="586"/>
      <c r="K1848" s="581"/>
      <c r="L1848" s="692"/>
      <c r="M1848" s="581"/>
      <c r="N1848" s="581"/>
      <c r="O1848" s="692"/>
      <c r="P1848" s="581"/>
      <c r="Q1848" s="581"/>
      <c r="R1848" s="653"/>
    </row>
    <row r="1849" spans="1:18" ht="60.75" customHeight="1">
      <c r="A1849" s="647">
        <v>4400</v>
      </c>
      <c r="B1849" s="948" t="s">
        <v>552</v>
      </c>
      <c r="C1849" s="603">
        <v>6000</v>
      </c>
      <c r="D1849" s="581">
        <f t="shared" si="215"/>
        <v>0</v>
      </c>
      <c r="E1849" s="581">
        <f>SUM(H1849+K1849+N1849+Q1849)</f>
        <v>0</v>
      </c>
      <c r="F1849" s="761"/>
      <c r="G1849" s="603">
        <f>6000-6000</f>
        <v>0</v>
      </c>
      <c r="H1849" s="581"/>
      <c r="I1849" s="863"/>
      <c r="J1849" s="586"/>
      <c r="K1849" s="581"/>
      <c r="L1849" s="692"/>
      <c r="M1849" s="581"/>
      <c r="N1849" s="581"/>
      <c r="O1849" s="692"/>
      <c r="P1849" s="581"/>
      <c r="Q1849" s="581"/>
      <c r="R1849" s="653"/>
    </row>
    <row r="1850" spans="1:18" ht="36">
      <c r="A1850" s="853">
        <v>6050</v>
      </c>
      <c r="B1850" s="651" t="s">
        <v>245</v>
      </c>
      <c r="C1850" s="603"/>
      <c r="D1850" s="581">
        <f t="shared" si="215"/>
        <v>119820</v>
      </c>
      <c r="E1850" s="581">
        <f>SUM(H1850+K1850+N1850+Q1850)</f>
        <v>0</v>
      </c>
      <c r="F1850" s="761">
        <f>E1850/D1850*100</f>
        <v>0</v>
      </c>
      <c r="G1850" s="603">
        <v>119820</v>
      </c>
      <c r="H1850" s="581"/>
      <c r="I1850" s="863">
        <f t="shared" si="221"/>
        <v>0</v>
      </c>
      <c r="J1850" s="586"/>
      <c r="K1850" s="581"/>
      <c r="L1850" s="692"/>
      <c r="M1850" s="581"/>
      <c r="N1850" s="581"/>
      <c r="O1850" s="692"/>
      <c r="P1850" s="581"/>
      <c r="Q1850" s="581"/>
      <c r="R1850" s="653"/>
    </row>
    <row r="1851" spans="1:18" ht="36">
      <c r="A1851" s="853">
        <v>6058</v>
      </c>
      <c r="B1851" s="651" t="s">
        <v>245</v>
      </c>
      <c r="C1851" s="603"/>
      <c r="D1851" s="581">
        <f t="shared" si="215"/>
        <v>525852</v>
      </c>
      <c r="E1851" s="581">
        <f>SUM(H1851+K1851+N1851+Q1851)</f>
        <v>12094</v>
      </c>
      <c r="F1851" s="761">
        <f>E1851/D1851*100</f>
        <v>2.2998866601249017</v>
      </c>
      <c r="G1851" s="603">
        <v>525852</v>
      </c>
      <c r="H1851" s="581">
        <v>12094</v>
      </c>
      <c r="I1851" s="863">
        <f t="shared" si="221"/>
        <v>2.2998866601249017</v>
      </c>
      <c r="J1851" s="586"/>
      <c r="K1851" s="581"/>
      <c r="L1851" s="692"/>
      <c r="M1851" s="581"/>
      <c r="N1851" s="581"/>
      <c r="O1851" s="692"/>
      <c r="P1851" s="581"/>
      <c r="Q1851" s="581"/>
      <c r="R1851" s="653"/>
    </row>
    <row r="1852" spans="1:18" ht="33.75" customHeight="1">
      <c r="A1852" s="647">
        <v>6059</v>
      </c>
      <c r="B1852" s="651" t="s">
        <v>245</v>
      </c>
      <c r="C1852" s="603"/>
      <c r="D1852" s="581">
        <f t="shared" si="215"/>
        <v>92798</v>
      </c>
      <c r="E1852" s="581">
        <f t="shared" si="222"/>
        <v>0</v>
      </c>
      <c r="F1852" s="761">
        <f t="shared" si="217"/>
        <v>0</v>
      </c>
      <c r="G1852" s="603">
        <v>92798</v>
      </c>
      <c r="H1852" s="581"/>
      <c r="I1852" s="863">
        <f t="shared" si="221"/>
        <v>0</v>
      </c>
      <c r="J1852" s="586"/>
      <c r="K1852" s="581"/>
      <c r="L1852" s="692"/>
      <c r="M1852" s="581"/>
      <c r="N1852" s="581"/>
      <c r="O1852" s="692"/>
      <c r="P1852" s="581"/>
      <c r="Q1852" s="581"/>
      <c r="R1852" s="653"/>
    </row>
    <row r="1853" spans="1:26" s="702" customFormat="1" ht="17.25" customHeight="1">
      <c r="A1853" s="640">
        <v>90002</v>
      </c>
      <c r="B1853" s="949" t="s">
        <v>553</v>
      </c>
      <c r="C1853" s="608">
        <f>SUM(C1854)</f>
        <v>2200000</v>
      </c>
      <c r="D1853" s="595">
        <f t="shared" si="215"/>
        <v>2200000</v>
      </c>
      <c r="E1853" s="595">
        <f t="shared" si="222"/>
        <v>0</v>
      </c>
      <c r="F1853" s="609">
        <f t="shared" si="217"/>
        <v>0</v>
      </c>
      <c r="G1853" s="600">
        <f>SUM(G1854)</f>
        <v>2200000</v>
      </c>
      <c r="H1853" s="600">
        <f>SUM(H1854)</f>
        <v>0</v>
      </c>
      <c r="I1853" s="624">
        <f t="shared" si="221"/>
        <v>0</v>
      </c>
      <c r="J1853" s="600"/>
      <c r="K1853" s="595"/>
      <c r="L1853" s="820"/>
      <c r="M1853" s="595"/>
      <c r="N1853" s="595"/>
      <c r="O1853" s="820"/>
      <c r="P1853" s="595"/>
      <c r="Q1853" s="595"/>
      <c r="R1853" s="685"/>
      <c r="S1853" s="700"/>
      <c r="T1853" s="700"/>
      <c r="U1853" s="700"/>
      <c r="V1853" s="700"/>
      <c r="W1853" s="701"/>
      <c r="X1853" s="701"/>
      <c r="Y1853" s="701"/>
      <c r="Z1853" s="701"/>
    </row>
    <row r="1854" spans="1:26" s="702" customFormat="1" ht="97.5" customHeight="1">
      <c r="A1854" s="647">
        <v>6050</v>
      </c>
      <c r="B1854" s="651" t="s">
        <v>554</v>
      </c>
      <c r="C1854" s="603">
        <v>2200000</v>
      </c>
      <c r="D1854" s="581">
        <f t="shared" si="215"/>
        <v>2200000</v>
      </c>
      <c r="E1854" s="581">
        <f t="shared" si="222"/>
        <v>0</v>
      </c>
      <c r="F1854" s="582">
        <f t="shared" si="217"/>
        <v>0</v>
      </c>
      <c r="G1854" s="676">
        <v>2200000</v>
      </c>
      <c r="H1854" s="708"/>
      <c r="I1854" s="627">
        <f t="shared" si="221"/>
        <v>0</v>
      </c>
      <c r="J1854" s="698"/>
      <c r="K1854" s="697"/>
      <c r="L1854" s="585"/>
      <c r="M1854" s="697"/>
      <c r="N1854" s="697"/>
      <c r="O1854" s="585"/>
      <c r="P1854" s="697"/>
      <c r="Q1854" s="697"/>
      <c r="R1854" s="715"/>
      <c r="S1854" s="700"/>
      <c r="T1854" s="700"/>
      <c r="U1854" s="700"/>
      <c r="V1854" s="700"/>
      <c r="W1854" s="701"/>
      <c r="X1854" s="701"/>
      <c r="Y1854" s="701"/>
      <c r="Z1854" s="701"/>
    </row>
    <row r="1855" spans="1:26" s="639" customFormat="1" ht="12.75">
      <c r="A1855" s="640">
        <v>90003</v>
      </c>
      <c r="B1855" s="742" t="s">
        <v>846</v>
      </c>
      <c r="C1855" s="608">
        <f>SUM(C1856:C1859)</f>
        <v>3770000</v>
      </c>
      <c r="D1855" s="595">
        <f t="shared" si="215"/>
        <v>4570000</v>
      </c>
      <c r="E1855" s="595">
        <f>H1855+K1855+Q1855+N1855</f>
        <v>1700115</v>
      </c>
      <c r="F1855" s="596">
        <f t="shared" si="217"/>
        <v>37.20164113785558</v>
      </c>
      <c r="G1855" s="595">
        <f>SUM(G1856:G1859)</f>
        <v>2300000</v>
      </c>
      <c r="H1855" s="600">
        <f>SUM(H1856:H1859)</f>
        <v>831079</v>
      </c>
      <c r="I1855" s="624">
        <f t="shared" si="221"/>
        <v>36.13386956521739</v>
      </c>
      <c r="J1855" s="600"/>
      <c r="K1855" s="595"/>
      <c r="L1855" s="602"/>
      <c r="M1855" s="595">
        <f>SUM(M1856:M1859)</f>
        <v>2270000</v>
      </c>
      <c r="N1855" s="595">
        <f>SUM(N1856:N1859)</f>
        <v>869036</v>
      </c>
      <c r="O1855" s="624">
        <f aca="true" t="shared" si="223" ref="O1855:O1861">N1855/M1855*100</f>
        <v>38.28352422907489</v>
      </c>
      <c r="P1855" s="595"/>
      <c r="Q1855" s="595"/>
      <c r="R1855" s="731"/>
      <c r="S1855" s="564"/>
      <c r="T1855" s="564"/>
      <c r="U1855" s="564"/>
      <c r="V1855" s="564"/>
      <c r="W1855" s="565"/>
      <c r="X1855" s="565"/>
      <c r="Y1855" s="565"/>
      <c r="Z1855" s="565"/>
    </row>
    <row r="1856" spans="1:18" ht="24" hidden="1">
      <c r="A1856" s="667">
        <v>4210</v>
      </c>
      <c r="B1856" s="668" t="s">
        <v>191</v>
      </c>
      <c r="C1856" s="606"/>
      <c r="D1856" s="581">
        <f t="shared" si="215"/>
        <v>0</v>
      </c>
      <c r="E1856" s="581">
        <f>H1856+K1856+Q1856+N1856</f>
        <v>0</v>
      </c>
      <c r="F1856" s="582" t="e">
        <f>E1856/D1856*100</f>
        <v>#DIV/0!</v>
      </c>
      <c r="G1856" s="615"/>
      <c r="H1856" s="618"/>
      <c r="I1856" s="669"/>
      <c r="J1856" s="618"/>
      <c r="K1856" s="615"/>
      <c r="L1856" s="590"/>
      <c r="M1856" s="615"/>
      <c r="N1856" s="615"/>
      <c r="O1856" s="627" t="e">
        <f t="shared" si="223"/>
        <v>#DIV/0!</v>
      </c>
      <c r="P1856" s="615"/>
      <c r="Q1856" s="615"/>
      <c r="R1856" s="671"/>
    </row>
    <row r="1857" spans="1:18" ht="17.25" customHeight="1">
      <c r="A1857" s="647">
        <v>4270</v>
      </c>
      <c r="B1857" s="651" t="s">
        <v>197</v>
      </c>
      <c r="C1857" s="603">
        <v>70000</v>
      </c>
      <c r="D1857" s="581">
        <f t="shared" si="215"/>
        <v>70000</v>
      </c>
      <c r="E1857" s="581">
        <f>H1857+K1857+Q1857+N1857</f>
        <v>7274</v>
      </c>
      <c r="F1857" s="582">
        <f>E1857/D1857*100</f>
        <v>10.391428571428571</v>
      </c>
      <c r="G1857" s="581"/>
      <c r="H1857" s="586"/>
      <c r="I1857" s="585"/>
      <c r="J1857" s="586"/>
      <c r="K1857" s="581"/>
      <c r="L1857" s="585"/>
      <c r="M1857" s="581">
        <v>70000</v>
      </c>
      <c r="N1857" s="581">
        <v>7274</v>
      </c>
      <c r="O1857" s="627">
        <f t="shared" si="223"/>
        <v>10.391428571428571</v>
      </c>
      <c r="P1857" s="581"/>
      <c r="Q1857" s="581"/>
      <c r="R1857" s="653"/>
    </row>
    <row r="1858" spans="1:18" ht="24" customHeight="1">
      <c r="A1858" s="647">
        <v>4300</v>
      </c>
      <c r="B1858" s="651" t="s">
        <v>555</v>
      </c>
      <c r="C1858" s="603">
        <v>300000</v>
      </c>
      <c r="D1858" s="581">
        <f t="shared" si="215"/>
        <v>300000</v>
      </c>
      <c r="E1858" s="581">
        <f>H1858+K1858+Q1858+N1858</f>
        <v>0</v>
      </c>
      <c r="F1858" s="582">
        <f>E1858/D1858*100</f>
        <v>0</v>
      </c>
      <c r="G1858" s="581">
        <v>300000</v>
      </c>
      <c r="H1858" s="586"/>
      <c r="I1858" s="627">
        <f t="shared" si="221"/>
        <v>0</v>
      </c>
      <c r="J1858" s="586"/>
      <c r="K1858" s="581"/>
      <c r="L1858" s="585"/>
      <c r="M1858" s="581"/>
      <c r="N1858" s="581"/>
      <c r="O1858" s="627"/>
      <c r="P1858" s="581"/>
      <c r="Q1858" s="581"/>
      <c r="R1858" s="653"/>
    </row>
    <row r="1859" spans="1:18" ht="16.5" customHeight="1">
      <c r="A1859" s="647">
        <v>4300</v>
      </c>
      <c r="B1859" s="651" t="s">
        <v>199</v>
      </c>
      <c r="C1859" s="603">
        <v>3400000</v>
      </c>
      <c r="D1859" s="581">
        <f t="shared" si="215"/>
        <v>4200000</v>
      </c>
      <c r="E1859" s="675">
        <f t="shared" si="215"/>
        <v>1692841</v>
      </c>
      <c r="F1859" s="582">
        <f t="shared" si="217"/>
        <v>40.3057380952381</v>
      </c>
      <c r="G1859" s="581">
        <f>1700000+300000</f>
        <v>2000000</v>
      </c>
      <c r="H1859" s="586">
        <f>831078+1</f>
        <v>831079</v>
      </c>
      <c r="I1859" s="627">
        <f t="shared" si="221"/>
        <v>41.55395</v>
      </c>
      <c r="J1859" s="586"/>
      <c r="K1859" s="581"/>
      <c r="L1859" s="585"/>
      <c r="M1859" s="581">
        <f>1700000+500000</f>
        <v>2200000</v>
      </c>
      <c r="N1859" s="581">
        <v>861762</v>
      </c>
      <c r="O1859" s="627">
        <f t="shared" si="223"/>
        <v>39.171</v>
      </c>
      <c r="P1859" s="581"/>
      <c r="Q1859" s="581"/>
      <c r="R1859" s="653"/>
    </row>
    <row r="1860" spans="1:26" s="639" customFormat="1" ht="28.5" customHeight="1">
      <c r="A1860" s="640">
        <v>90004</v>
      </c>
      <c r="B1860" s="742" t="s">
        <v>847</v>
      </c>
      <c r="C1860" s="608">
        <f>SUM(C1861:C1863)</f>
        <v>2206000</v>
      </c>
      <c r="D1860" s="595">
        <f aca="true" t="shared" si="224" ref="D1860:E1875">G1860+J1860+P1860+M1860</f>
        <v>2206000</v>
      </c>
      <c r="E1860" s="595">
        <f t="shared" si="224"/>
        <v>20788</v>
      </c>
      <c r="F1860" s="596">
        <f t="shared" si="217"/>
        <v>0.94233907524932</v>
      </c>
      <c r="G1860" s="595">
        <f>SUM(G1861:G1863)</f>
        <v>1366000</v>
      </c>
      <c r="H1860" s="600">
        <f>SUM(H1861:H1863)</f>
        <v>15401</v>
      </c>
      <c r="I1860" s="624">
        <f t="shared" si="221"/>
        <v>1.1274524158125914</v>
      </c>
      <c r="J1860" s="600"/>
      <c r="K1860" s="595"/>
      <c r="L1860" s="602"/>
      <c r="M1860" s="595">
        <f>SUM(M1861:M1861)</f>
        <v>840000</v>
      </c>
      <c r="N1860" s="595">
        <f>SUM(N1861:N1861)</f>
        <v>5387</v>
      </c>
      <c r="O1860" s="624">
        <f t="shared" si="223"/>
        <v>0.6413095238095238</v>
      </c>
      <c r="P1860" s="595"/>
      <c r="Q1860" s="595"/>
      <c r="R1860" s="731"/>
      <c r="S1860" s="564"/>
      <c r="T1860" s="564"/>
      <c r="U1860" s="564"/>
      <c r="V1860" s="564"/>
      <c r="W1860" s="565"/>
      <c r="X1860" s="565"/>
      <c r="Y1860" s="565"/>
      <c r="Z1860" s="565"/>
    </row>
    <row r="1861" spans="1:18" ht="16.5" customHeight="1">
      <c r="A1861" s="667">
        <v>4300</v>
      </c>
      <c r="B1861" s="668" t="s">
        <v>199</v>
      </c>
      <c r="C1861" s="606">
        <v>2000000</v>
      </c>
      <c r="D1861" s="615">
        <f t="shared" si="224"/>
        <v>2000000</v>
      </c>
      <c r="E1861" s="615">
        <f>SUM(H1861+K1861+N1861+Q1861)</f>
        <v>20788</v>
      </c>
      <c r="F1861" s="604">
        <f t="shared" si="217"/>
        <v>1.0394</v>
      </c>
      <c r="G1861" s="615">
        <v>1160000</v>
      </c>
      <c r="H1861" s="618">
        <v>15401</v>
      </c>
      <c r="I1861" s="669">
        <f t="shared" si="221"/>
        <v>1.3276724137931035</v>
      </c>
      <c r="J1861" s="618"/>
      <c r="K1861" s="615"/>
      <c r="L1861" s="590"/>
      <c r="M1861" s="615">
        <v>840000</v>
      </c>
      <c r="N1861" s="615">
        <v>5387</v>
      </c>
      <c r="O1861" s="669">
        <f t="shared" si="223"/>
        <v>0.6413095238095238</v>
      </c>
      <c r="P1861" s="615"/>
      <c r="Q1861" s="615"/>
      <c r="R1861" s="671"/>
    </row>
    <row r="1862" spans="1:18" ht="24">
      <c r="A1862" s="647">
        <v>4210</v>
      </c>
      <c r="B1862" s="651" t="s">
        <v>299</v>
      </c>
      <c r="C1862" s="603">
        <v>6000</v>
      </c>
      <c r="D1862" s="581">
        <f t="shared" si="224"/>
        <v>6000</v>
      </c>
      <c r="E1862" s="581">
        <f>SUM(H1862+K1862+N1862+Q1862)</f>
        <v>0</v>
      </c>
      <c r="F1862" s="582">
        <f>E1862/D1862*100</f>
        <v>0</v>
      </c>
      <c r="G1862" s="581">
        <v>6000</v>
      </c>
      <c r="H1862" s="586"/>
      <c r="I1862" s="627">
        <f t="shared" si="221"/>
        <v>0</v>
      </c>
      <c r="J1862" s="586"/>
      <c r="K1862" s="581"/>
      <c r="L1862" s="585"/>
      <c r="M1862" s="581"/>
      <c r="N1862" s="581"/>
      <c r="O1862" s="627"/>
      <c r="P1862" s="581"/>
      <c r="Q1862" s="581"/>
      <c r="R1862" s="653"/>
    </row>
    <row r="1863" spans="1:18" ht="27" customHeight="1">
      <c r="A1863" s="853">
        <v>6050</v>
      </c>
      <c r="B1863" s="651" t="s">
        <v>245</v>
      </c>
      <c r="C1863" s="674">
        <v>200000</v>
      </c>
      <c r="D1863" s="675">
        <f t="shared" si="224"/>
        <v>200000</v>
      </c>
      <c r="E1863" s="581">
        <f>SUM(H1863+K1863+N1863+Q1863)</f>
        <v>0</v>
      </c>
      <c r="F1863" s="582">
        <f t="shared" si="217"/>
        <v>0</v>
      </c>
      <c r="G1863" s="675">
        <v>200000</v>
      </c>
      <c r="H1863" s="676"/>
      <c r="I1863" s="627">
        <f t="shared" si="221"/>
        <v>0</v>
      </c>
      <c r="J1863" s="676"/>
      <c r="K1863" s="675"/>
      <c r="L1863" s="679"/>
      <c r="M1863" s="675"/>
      <c r="N1863" s="675"/>
      <c r="O1863" s="679"/>
      <c r="P1863" s="675"/>
      <c r="Q1863" s="675"/>
      <c r="R1863" s="680"/>
    </row>
    <row r="1864" spans="1:26" s="639" customFormat="1" ht="12.75">
      <c r="A1864" s="640">
        <v>90013</v>
      </c>
      <c r="B1864" s="742" t="s">
        <v>848</v>
      </c>
      <c r="C1864" s="608">
        <f>SUM(C1865:C1868)</f>
        <v>1370000</v>
      </c>
      <c r="D1864" s="595">
        <f t="shared" si="224"/>
        <v>1305000</v>
      </c>
      <c r="E1864" s="595">
        <f>H1864+K1864+Q1864+N1864</f>
        <v>142500</v>
      </c>
      <c r="F1864" s="596">
        <f t="shared" si="217"/>
        <v>10.919540229885058</v>
      </c>
      <c r="G1864" s="595">
        <f>SUM(G1865:G1868)</f>
        <v>1305000</v>
      </c>
      <c r="H1864" s="595">
        <f>SUM(H1865:H1868)</f>
        <v>142500</v>
      </c>
      <c r="I1864" s="624">
        <f t="shared" si="221"/>
        <v>10.919540229885058</v>
      </c>
      <c r="J1864" s="600"/>
      <c r="K1864" s="595"/>
      <c r="L1864" s="682"/>
      <c r="M1864" s="595"/>
      <c r="N1864" s="595"/>
      <c r="O1864" s="602"/>
      <c r="P1864" s="595"/>
      <c r="Q1864" s="595"/>
      <c r="R1864" s="731"/>
      <c r="S1864" s="564"/>
      <c r="T1864" s="564"/>
      <c r="U1864" s="564"/>
      <c r="V1864" s="564"/>
      <c r="W1864" s="565"/>
      <c r="X1864" s="565"/>
      <c r="Y1864" s="565"/>
      <c r="Z1864" s="565"/>
    </row>
    <row r="1865" spans="1:18" ht="63" customHeight="1">
      <c r="A1865" s="647">
        <v>2820</v>
      </c>
      <c r="B1865" s="651" t="s">
        <v>668</v>
      </c>
      <c r="C1865" s="603">
        <v>570000</v>
      </c>
      <c r="D1865" s="581">
        <f t="shared" si="224"/>
        <v>570000</v>
      </c>
      <c r="E1865" s="581">
        <f>SUM(H1865+K1865+N1865+Q1865)</f>
        <v>142500</v>
      </c>
      <c r="F1865" s="582">
        <f t="shared" si="217"/>
        <v>25</v>
      </c>
      <c r="G1865" s="581">
        <v>570000</v>
      </c>
      <c r="H1865" s="586">
        <v>142500</v>
      </c>
      <c r="I1865" s="627">
        <f t="shared" si="221"/>
        <v>25</v>
      </c>
      <c r="J1865" s="586"/>
      <c r="K1865" s="581"/>
      <c r="L1865" s="585"/>
      <c r="M1865" s="581"/>
      <c r="N1865" s="581"/>
      <c r="O1865" s="585"/>
      <c r="P1865" s="581"/>
      <c r="Q1865" s="581"/>
      <c r="R1865" s="653"/>
    </row>
    <row r="1866" spans="1:18" ht="24" hidden="1">
      <c r="A1866" s="647">
        <v>4270</v>
      </c>
      <c r="B1866" s="651" t="s">
        <v>197</v>
      </c>
      <c r="C1866" s="603"/>
      <c r="D1866" s="581">
        <f t="shared" si="224"/>
        <v>0</v>
      </c>
      <c r="E1866" s="581">
        <f>SUM(H1866+K1866+N1866+Q1866)</f>
        <v>0</v>
      </c>
      <c r="F1866" s="582"/>
      <c r="G1866" s="581"/>
      <c r="H1866" s="586"/>
      <c r="I1866" s="627"/>
      <c r="J1866" s="586"/>
      <c r="K1866" s="581"/>
      <c r="L1866" s="585"/>
      <c r="M1866" s="581"/>
      <c r="N1866" s="581"/>
      <c r="O1866" s="585"/>
      <c r="P1866" s="581"/>
      <c r="Q1866" s="581"/>
      <c r="R1866" s="653"/>
    </row>
    <row r="1867" spans="1:18" ht="30.75" customHeight="1" hidden="1">
      <c r="A1867" s="647">
        <v>4300</v>
      </c>
      <c r="B1867" s="651" t="s">
        <v>556</v>
      </c>
      <c r="C1867" s="603"/>
      <c r="D1867" s="581">
        <f t="shared" si="224"/>
        <v>0</v>
      </c>
      <c r="E1867" s="581">
        <f>SUM(H1867+K1867+N1867+Q1867)</f>
        <v>0</v>
      </c>
      <c r="F1867" s="582" t="e">
        <f t="shared" si="217"/>
        <v>#DIV/0!</v>
      </c>
      <c r="G1867" s="581"/>
      <c r="H1867" s="586"/>
      <c r="I1867" s="627" t="e">
        <f t="shared" si="221"/>
        <v>#DIV/0!</v>
      </c>
      <c r="J1867" s="586"/>
      <c r="K1867" s="581"/>
      <c r="L1867" s="585"/>
      <c r="M1867" s="581"/>
      <c r="N1867" s="581"/>
      <c r="O1867" s="585"/>
      <c r="P1867" s="581"/>
      <c r="Q1867" s="581"/>
      <c r="R1867" s="653"/>
    </row>
    <row r="1868" spans="1:18" ht="38.25" customHeight="1">
      <c r="A1868" s="647">
        <v>6050</v>
      </c>
      <c r="B1868" s="651" t="s">
        <v>557</v>
      </c>
      <c r="C1868" s="603">
        <v>800000</v>
      </c>
      <c r="D1868" s="581">
        <f t="shared" si="224"/>
        <v>735000</v>
      </c>
      <c r="E1868" s="581">
        <f>H1868+K1868+Q1868+N1868</f>
        <v>0</v>
      </c>
      <c r="F1868" s="582">
        <f t="shared" si="217"/>
        <v>0</v>
      </c>
      <c r="G1868" s="603">
        <f>800000-65000</f>
        <v>735000</v>
      </c>
      <c r="H1868" s="772"/>
      <c r="I1868" s="627">
        <f t="shared" si="221"/>
        <v>0</v>
      </c>
      <c r="J1868" s="586"/>
      <c r="K1868" s="581"/>
      <c r="L1868" s="585"/>
      <c r="M1868" s="586"/>
      <c r="N1868" s="675"/>
      <c r="O1868" s="585"/>
      <c r="P1868" s="586"/>
      <c r="Q1868" s="581"/>
      <c r="R1868" s="653"/>
    </row>
    <row r="1869" spans="1:26" s="639" customFormat="1" ht="27" customHeight="1">
      <c r="A1869" s="640">
        <v>90015</v>
      </c>
      <c r="B1869" s="742" t="s">
        <v>849</v>
      </c>
      <c r="C1869" s="608">
        <f>SUM(C1870:C1874)</f>
        <v>3670000</v>
      </c>
      <c r="D1869" s="595">
        <f t="shared" si="224"/>
        <v>3670000</v>
      </c>
      <c r="E1869" s="595">
        <f>H1869+K1869+Q1869+N1869</f>
        <v>1486007</v>
      </c>
      <c r="F1869" s="596">
        <f t="shared" si="217"/>
        <v>40.49065395095368</v>
      </c>
      <c r="G1869" s="595">
        <f>SUM(G1870:G1874)</f>
        <v>2124150</v>
      </c>
      <c r="H1869" s="600">
        <f>SUM(H1870:H1874)</f>
        <v>850066</v>
      </c>
      <c r="I1869" s="624">
        <f t="shared" si="221"/>
        <v>40.01911352776404</v>
      </c>
      <c r="J1869" s="600"/>
      <c r="K1869" s="595"/>
      <c r="L1869" s="602"/>
      <c r="M1869" s="595">
        <f>SUM(M1870:M1874)</f>
        <v>1545850</v>
      </c>
      <c r="N1869" s="642">
        <f>SUM(N1870:N1874)</f>
        <v>635941</v>
      </c>
      <c r="O1869" s="624">
        <f>N1869/M1869*100</f>
        <v>41.13859688844325</v>
      </c>
      <c r="P1869" s="595"/>
      <c r="Q1869" s="595"/>
      <c r="R1869" s="731"/>
      <c r="S1869" s="564"/>
      <c r="T1869" s="564"/>
      <c r="U1869" s="564"/>
      <c r="V1869" s="564"/>
      <c r="W1869" s="565"/>
      <c r="X1869" s="565"/>
      <c r="Y1869" s="565"/>
      <c r="Z1869" s="565"/>
    </row>
    <row r="1870" spans="1:18" ht="15" customHeight="1">
      <c r="A1870" s="667">
        <v>4260</v>
      </c>
      <c r="B1870" s="950" t="s">
        <v>195</v>
      </c>
      <c r="C1870" s="606">
        <v>2270000</v>
      </c>
      <c r="D1870" s="615">
        <f t="shared" si="224"/>
        <v>2270000</v>
      </c>
      <c r="E1870" s="615">
        <f aca="true" t="shared" si="225" ref="E1870:E1907">SUM(H1870+K1870+N1870+Q1870)</f>
        <v>998018</v>
      </c>
      <c r="F1870" s="604">
        <f t="shared" si="217"/>
        <v>43.96555066079295</v>
      </c>
      <c r="G1870" s="615">
        <v>1324150</v>
      </c>
      <c r="H1870" s="618">
        <v>571401</v>
      </c>
      <c r="I1870" s="669">
        <f t="shared" si="221"/>
        <v>43.15228637238984</v>
      </c>
      <c r="J1870" s="618"/>
      <c r="K1870" s="615"/>
      <c r="L1870" s="590"/>
      <c r="M1870" s="615">
        <v>945850</v>
      </c>
      <c r="N1870" s="615">
        <v>426617</v>
      </c>
      <c r="O1870" s="627">
        <f>N1870/M1870*100</f>
        <v>45.10408627160755</v>
      </c>
      <c r="P1870" s="615"/>
      <c r="Q1870" s="615"/>
      <c r="R1870" s="671"/>
    </row>
    <row r="1871" spans="1:18" ht="17.25" customHeight="1">
      <c r="A1871" s="647">
        <v>4270</v>
      </c>
      <c r="B1871" s="651" t="s">
        <v>197</v>
      </c>
      <c r="C1871" s="603">
        <v>1400000</v>
      </c>
      <c r="D1871" s="581">
        <f t="shared" si="224"/>
        <v>1400000</v>
      </c>
      <c r="E1871" s="581">
        <f t="shared" si="225"/>
        <v>487989</v>
      </c>
      <c r="F1871" s="582">
        <f t="shared" si="217"/>
        <v>34.85635714285714</v>
      </c>
      <c r="G1871" s="581">
        <v>800000</v>
      </c>
      <c r="H1871" s="586">
        <v>278665</v>
      </c>
      <c r="I1871" s="627">
        <f t="shared" si="221"/>
        <v>34.833124999999995</v>
      </c>
      <c r="J1871" s="586"/>
      <c r="K1871" s="581"/>
      <c r="L1871" s="585"/>
      <c r="M1871" s="581">
        <v>600000</v>
      </c>
      <c r="N1871" s="581">
        <v>209324</v>
      </c>
      <c r="O1871" s="627">
        <f>N1871/M1871*100</f>
        <v>34.88733333333333</v>
      </c>
      <c r="P1871" s="581"/>
      <c r="Q1871" s="581"/>
      <c r="R1871" s="653"/>
    </row>
    <row r="1872" spans="1:18" ht="24" hidden="1">
      <c r="A1872" s="647">
        <v>4300</v>
      </c>
      <c r="B1872" s="651" t="s">
        <v>199</v>
      </c>
      <c r="C1872" s="603"/>
      <c r="D1872" s="581">
        <f t="shared" si="224"/>
        <v>0</v>
      </c>
      <c r="E1872" s="581">
        <f t="shared" si="225"/>
        <v>0</v>
      </c>
      <c r="F1872" s="582" t="e">
        <f t="shared" si="217"/>
        <v>#DIV/0!</v>
      </c>
      <c r="G1872" s="581"/>
      <c r="H1872" s="586"/>
      <c r="I1872" s="627" t="e">
        <f t="shared" si="221"/>
        <v>#DIV/0!</v>
      </c>
      <c r="J1872" s="586"/>
      <c r="K1872" s="581"/>
      <c r="L1872" s="585"/>
      <c r="M1872" s="581"/>
      <c r="N1872" s="581"/>
      <c r="O1872" s="627" t="e">
        <f aca="true" t="shared" si="226" ref="O1872:O1877">N1872/M1872*100</f>
        <v>#DIV/0!</v>
      </c>
      <c r="P1872" s="581"/>
      <c r="Q1872" s="581"/>
      <c r="R1872" s="653"/>
    </row>
    <row r="1873" spans="1:18" ht="48" hidden="1">
      <c r="A1873" s="647">
        <v>4390</v>
      </c>
      <c r="B1873" s="651" t="s">
        <v>222</v>
      </c>
      <c r="C1873" s="603"/>
      <c r="D1873" s="581">
        <f t="shared" si="224"/>
        <v>0</v>
      </c>
      <c r="E1873" s="581">
        <f t="shared" si="225"/>
        <v>0</v>
      </c>
      <c r="F1873" s="582" t="e">
        <f t="shared" si="217"/>
        <v>#DIV/0!</v>
      </c>
      <c r="G1873" s="581"/>
      <c r="H1873" s="586"/>
      <c r="I1873" s="627" t="e">
        <f t="shared" si="221"/>
        <v>#DIV/0!</v>
      </c>
      <c r="J1873" s="586"/>
      <c r="K1873" s="581"/>
      <c r="L1873" s="585"/>
      <c r="M1873" s="581"/>
      <c r="N1873" s="581"/>
      <c r="O1873" s="627" t="e">
        <f t="shared" si="226"/>
        <v>#DIV/0!</v>
      </c>
      <c r="P1873" s="581"/>
      <c r="Q1873" s="581"/>
      <c r="R1873" s="653"/>
    </row>
    <row r="1874" spans="1:18" ht="36" hidden="1">
      <c r="A1874" s="647">
        <v>6050</v>
      </c>
      <c r="B1874" s="651" t="s">
        <v>245</v>
      </c>
      <c r="C1874" s="603"/>
      <c r="D1874" s="581">
        <f t="shared" si="224"/>
        <v>0</v>
      </c>
      <c r="E1874" s="581">
        <f t="shared" si="225"/>
        <v>0</v>
      </c>
      <c r="F1874" s="582" t="e">
        <f t="shared" si="217"/>
        <v>#DIV/0!</v>
      </c>
      <c r="G1874" s="581"/>
      <c r="H1874" s="586"/>
      <c r="I1874" s="627" t="e">
        <f t="shared" si="221"/>
        <v>#DIV/0!</v>
      </c>
      <c r="J1874" s="586"/>
      <c r="K1874" s="581"/>
      <c r="L1874" s="585"/>
      <c r="M1874" s="581"/>
      <c r="N1874" s="581"/>
      <c r="O1874" s="627" t="e">
        <f t="shared" si="226"/>
        <v>#DIV/0!</v>
      </c>
      <c r="P1874" s="581"/>
      <c r="Q1874" s="581"/>
      <c r="R1874" s="653"/>
    </row>
    <row r="1875" spans="1:26" s="639" customFormat="1" ht="56.25" customHeight="1">
      <c r="A1875" s="640">
        <v>90019</v>
      </c>
      <c r="B1875" s="742" t="s">
        <v>0</v>
      </c>
      <c r="C1875" s="730"/>
      <c r="D1875" s="595">
        <f t="shared" si="224"/>
        <v>2770000</v>
      </c>
      <c r="E1875" s="595">
        <f t="shared" si="225"/>
        <v>6528</v>
      </c>
      <c r="F1875" s="609">
        <f aca="true" t="shared" si="227" ref="F1875:F1938">E1875/D1875*100</f>
        <v>0.2356678700361011</v>
      </c>
      <c r="G1875" s="595">
        <f>SUM(G1876:G1879)</f>
        <v>2600000</v>
      </c>
      <c r="H1875" s="600">
        <f>SUM(H1876:H1879)</f>
        <v>6528</v>
      </c>
      <c r="I1875" s="624">
        <f t="shared" si="221"/>
        <v>0.2510769230769231</v>
      </c>
      <c r="J1875" s="773"/>
      <c r="K1875" s="595"/>
      <c r="L1875" s="682"/>
      <c r="M1875" s="595">
        <f>SUM(M1876:M1879)</f>
        <v>170000</v>
      </c>
      <c r="N1875" s="595">
        <f>SUM(N1876:N1879)</f>
        <v>0</v>
      </c>
      <c r="O1875" s="624">
        <f t="shared" si="226"/>
        <v>0</v>
      </c>
      <c r="P1875" s="595"/>
      <c r="Q1875" s="595"/>
      <c r="R1875" s="685"/>
      <c r="S1875" s="564"/>
      <c r="T1875" s="564"/>
      <c r="U1875" s="564"/>
      <c r="V1875" s="564"/>
      <c r="W1875" s="565"/>
      <c r="X1875" s="565"/>
      <c r="Y1875" s="565"/>
      <c r="Z1875" s="565"/>
    </row>
    <row r="1876" spans="1:18" ht="24">
      <c r="A1876" s="647">
        <v>4210</v>
      </c>
      <c r="B1876" s="651" t="s">
        <v>191</v>
      </c>
      <c r="C1876" s="693"/>
      <c r="D1876" s="581">
        <f aca="true" t="shared" si="228" ref="D1876:D1908">G1876+J1876+P1876+M1876</f>
        <v>350000</v>
      </c>
      <c r="E1876" s="581">
        <f t="shared" si="225"/>
        <v>5528</v>
      </c>
      <c r="F1876" s="582">
        <f t="shared" si="227"/>
        <v>1.5794285714285716</v>
      </c>
      <c r="G1876" s="581">
        <v>350000</v>
      </c>
      <c r="H1876" s="586">
        <v>5528</v>
      </c>
      <c r="I1876" s="627">
        <f t="shared" si="221"/>
        <v>1.5794285714285716</v>
      </c>
      <c r="J1876" s="772"/>
      <c r="K1876" s="581"/>
      <c r="L1876" s="585"/>
      <c r="M1876" s="581"/>
      <c r="N1876" s="581"/>
      <c r="O1876" s="627"/>
      <c r="P1876" s="581"/>
      <c r="Q1876" s="581"/>
      <c r="R1876" s="653"/>
    </row>
    <row r="1877" spans="1:18" ht="13.5" customHeight="1">
      <c r="A1877" s="647">
        <v>4300</v>
      </c>
      <c r="B1877" s="712" t="s">
        <v>199</v>
      </c>
      <c r="C1877" s="693"/>
      <c r="D1877" s="581">
        <f t="shared" si="228"/>
        <v>1925000</v>
      </c>
      <c r="E1877" s="581">
        <f t="shared" si="225"/>
        <v>1000</v>
      </c>
      <c r="F1877" s="582">
        <f t="shared" si="227"/>
        <v>0.05194805194805195</v>
      </c>
      <c r="G1877" s="581">
        <v>1755000</v>
      </c>
      <c r="H1877" s="586">
        <v>1000</v>
      </c>
      <c r="I1877" s="627">
        <f t="shared" si="221"/>
        <v>0.056980056980056974</v>
      </c>
      <c r="J1877" s="772"/>
      <c r="K1877" s="581"/>
      <c r="L1877" s="585"/>
      <c r="M1877" s="581">
        <v>170000</v>
      </c>
      <c r="N1877" s="581"/>
      <c r="O1877" s="627">
        <f t="shared" si="226"/>
        <v>0</v>
      </c>
      <c r="P1877" s="581"/>
      <c r="Q1877" s="581"/>
      <c r="R1877" s="653"/>
    </row>
    <row r="1878" spans="1:18" ht="26.25" customHeight="1">
      <c r="A1878" s="647">
        <v>6050</v>
      </c>
      <c r="B1878" s="712" t="s">
        <v>245</v>
      </c>
      <c r="C1878" s="693"/>
      <c r="D1878" s="581">
        <f t="shared" si="228"/>
        <v>475000</v>
      </c>
      <c r="E1878" s="581">
        <f t="shared" si="225"/>
        <v>0</v>
      </c>
      <c r="F1878" s="582">
        <f t="shared" si="227"/>
        <v>0</v>
      </c>
      <c r="G1878" s="581">
        <v>475000</v>
      </c>
      <c r="H1878" s="586"/>
      <c r="I1878" s="627">
        <f t="shared" si="221"/>
        <v>0</v>
      </c>
      <c r="J1878" s="772"/>
      <c r="K1878" s="581"/>
      <c r="L1878" s="585"/>
      <c r="M1878" s="581"/>
      <c r="N1878" s="581"/>
      <c r="O1878" s="627"/>
      <c r="P1878" s="581"/>
      <c r="Q1878" s="581"/>
      <c r="R1878" s="653"/>
    </row>
    <row r="1879" spans="1:18" ht="39.75" customHeight="1">
      <c r="A1879" s="672">
        <v>6060</v>
      </c>
      <c r="B1879" s="651" t="s">
        <v>590</v>
      </c>
      <c r="C1879" s="728"/>
      <c r="D1879" s="581">
        <f t="shared" si="228"/>
        <v>20000</v>
      </c>
      <c r="E1879" s="581">
        <f t="shared" si="225"/>
        <v>0</v>
      </c>
      <c r="F1879" s="582">
        <f t="shared" si="227"/>
        <v>0</v>
      </c>
      <c r="G1879" s="675">
        <v>20000</v>
      </c>
      <c r="H1879" s="676"/>
      <c r="I1879" s="627">
        <f t="shared" si="221"/>
        <v>0</v>
      </c>
      <c r="J1879" s="796"/>
      <c r="K1879" s="675"/>
      <c r="L1879" s="679"/>
      <c r="M1879" s="675"/>
      <c r="N1879" s="675"/>
      <c r="O1879" s="627"/>
      <c r="P1879" s="675"/>
      <c r="Q1879" s="675"/>
      <c r="R1879" s="680"/>
    </row>
    <row r="1880" spans="1:18" ht="24" customHeight="1">
      <c r="A1880" s="640">
        <v>90095</v>
      </c>
      <c r="B1880" s="742" t="s">
        <v>213</v>
      </c>
      <c r="C1880" s="730">
        <f>SUM(C1881:C1895)</f>
        <v>1977490</v>
      </c>
      <c r="D1880" s="595">
        <f t="shared" si="228"/>
        <v>2310176</v>
      </c>
      <c r="E1880" s="595">
        <f t="shared" si="225"/>
        <v>54495</v>
      </c>
      <c r="F1880" s="596">
        <f t="shared" si="227"/>
        <v>2.3589111825246216</v>
      </c>
      <c r="G1880" s="595">
        <f>SUM(G1881:G1893)+G1895</f>
        <v>2310176</v>
      </c>
      <c r="H1880" s="595">
        <f>SUM(H1881:H1893)+H1895</f>
        <v>54495</v>
      </c>
      <c r="I1880" s="624">
        <f t="shared" si="221"/>
        <v>2.3589111825246216</v>
      </c>
      <c r="J1880" s="683"/>
      <c r="K1880" s="595"/>
      <c r="L1880" s="602"/>
      <c r="M1880" s="595"/>
      <c r="N1880" s="595"/>
      <c r="O1880" s="602"/>
      <c r="P1880" s="595"/>
      <c r="Q1880" s="595"/>
      <c r="R1880" s="645"/>
    </row>
    <row r="1881" spans="1:18" ht="36" hidden="1">
      <c r="A1881" s="647">
        <v>4110</v>
      </c>
      <c r="B1881" s="651" t="s">
        <v>187</v>
      </c>
      <c r="C1881" s="951"/>
      <c r="D1881" s="581">
        <f t="shared" si="228"/>
        <v>0</v>
      </c>
      <c r="E1881" s="581">
        <f t="shared" si="225"/>
        <v>0</v>
      </c>
      <c r="F1881" s="582" t="e">
        <f t="shared" si="227"/>
        <v>#DIV/0!</v>
      </c>
      <c r="G1881" s="951"/>
      <c r="H1881" s="586"/>
      <c r="I1881" s="627" t="e">
        <f>H1881/G1881*100</f>
        <v>#DIV/0!</v>
      </c>
      <c r="J1881" s="586"/>
      <c r="K1881" s="581"/>
      <c r="L1881" s="585"/>
      <c r="M1881" s="581"/>
      <c r="N1881" s="581"/>
      <c r="O1881" s="585"/>
      <c r="P1881" s="581"/>
      <c r="Q1881" s="581"/>
      <c r="R1881" s="653"/>
    </row>
    <row r="1882" spans="1:18" ht="12.75" hidden="1">
      <c r="A1882" s="647">
        <v>4120</v>
      </c>
      <c r="B1882" s="651" t="s">
        <v>619</v>
      </c>
      <c r="C1882" s="951"/>
      <c r="D1882" s="581">
        <f t="shared" si="228"/>
        <v>0</v>
      </c>
      <c r="E1882" s="581">
        <f>SUM(H1882+K1882+N1882+Q1882)</f>
        <v>0</v>
      </c>
      <c r="F1882" s="582" t="e">
        <f t="shared" si="227"/>
        <v>#DIV/0!</v>
      </c>
      <c r="G1882" s="951"/>
      <c r="H1882" s="586"/>
      <c r="I1882" s="627" t="e">
        <f>H1882/G1882*100</f>
        <v>#DIV/0!</v>
      </c>
      <c r="J1882" s="586"/>
      <c r="K1882" s="581"/>
      <c r="L1882" s="585"/>
      <c r="M1882" s="581"/>
      <c r="N1882" s="581"/>
      <c r="O1882" s="585"/>
      <c r="P1882" s="581"/>
      <c r="Q1882" s="581"/>
      <c r="R1882" s="653"/>
    </row>
    <row r="1883" spans="1:18" ht="24" hidden="1">
      <c r="A1883" s="647">
        <v>4170</v>
      </c>
      <c r="B1883" s="651" t="s">
        <v>221</v>
      </c>
      <c r="C1883" s="951"/>
      <c r="D1883" s="581">
        <f t="shared" si="228"/>
        <v>0</v>
      </c>
      <c r="E1883" s="581">
        <f>SUM(H1883+K1883+N1883+Q1883)</f>
        <v>0</v>
      </c>
      <c r="F1883" s="582" t="e">
        <f t="shared" si="227"/>
        <v>#DIV/0!</v>
      </c>
      <c r="G1883" s="951"/>
      <c r="H1883" s="586"/>
      <c r="I1883" s="627" t="e">
        <f>H1883/G1883*100</f>
        <v>#DIV/0!</v>
      </c>
      <c r="J1883" s="586"/>
      <c r="K1883" s="581"/>
      <c r="L1883" s="585"/>
      <c r="M1883" s="581"/>
      <c r="N1883" s="581"/>
      <c r="O1883" s="585"/>
      <c r="P1883" s="581"/>
      <c r="Q1883" s="581"/>
      <c r="R1883" s="653"/>
    </row>
    <row r="1884" spans="1:18" ht="24" hidden="1">
      <c r="A1884" s="647">
        <v>4210</v>
      </c>
      <c r="B1884" s="651" t="s">
        <v>191</v>
      </c>
      <c r="C1884" s="951"/>
      <c r="D1884" s="581">
        <f t="shared" si="228"/>
        <v>0</v>
      </c>
      <c r="E1884" s="581">
        <f>SUM(H1884+K1884+N1884+Q1884)</f>
        <v>0</v>
      </c>
      <c r="F1884" s="582" t="e">
        <f t="shared" si="227"/>
        <v>#DIV/0!</v>
      </c>
      <c r="G1884" s="951"/>
      <c r="H1884" s="586"/>
      <c r="I1884" s="627" t="e">
        <f>H1884/G1884*100</f>
        <v>#DIV/0!</v>
      </c>
      <c r="J1884" s="586"/>
      <c r="K1884" s="581"/>
      <c r="L1884" s="585"/>
      <c r="M1884" s="581"/>
      <c r="N1884" s="581"/>
      <c r="O1884" s="585"/>
      <c r="P1884" s="581"/>
      <c r="Q1884" s="581"/>
      <c r="R1884" s="653"/>
    </row>
    <row r="1885" spans="1:18" ht="26.25" customHeight="1">
      <c r="A1885" s="647">
        <v>4270</v>
      </c>
      <c r="B1885" s="651" t="s">
        <v>1</v>
      </c>
      <c r="C1885" s="951">
        <f>374500+250</f>
        <v>374750</v>
      </c>
      <c r="D1885" s="581">
        <f t="shared" si="228"/>
        <v>349750</v>
      </c>
      <c r="E1885" s="581">
        <f t="shared" si="225"/>
        <v>610</v>
      </c>
      <c r="F1885" s="582">
        <f t="shared" si="227"/>
        <v>0.17441029306647604</v>
      </c>
      <c r="G1885" s="951">
        <f>374750+60000-20000-65000</f>
        <v>349750</v>
      </c>
      <c r="H1885" s="586">
        <v>610</v>
      </c>
      <c r="I1885" s="627">
        <f>H1885/G1885*100</f>
        <v>0.17441029306647604</v>
      </c>
      <c r="J1885" s="586"/>
      <c r="K1885" s="581"/>
      <c r="L1885" s="585"/>
      <c r="M1885" s="581"/>
      <c r="N1885" s="581"/>
      <c r="O1885" s="585"/>
      <c r="P1885" s="581"/>
      <c r="Q1885" s="581"/>
      <c r="R1885" s="653"/>
    </row>
    <row r="1886" spans="1:18" ht="16.5" customHeight="1">
      <c r="A1886" s="647">
        <v>4300</v>
      </c>
      <c r="B1886" s="651" t="s">
        <v>199</v>
      </c>
      <c r="C1886" s="786">
        <v>314000</v>
      </c>
      <c r="D1886" s="581">
        <f t="shared" si="228"/>
        <v>494000</v>
      </c>
      <c r="E1886" s="581">
        <f t="shared" si="225"/>
        <v>30633</v>
      </c>
      <c r="F1886" s="582">
        <f t="shared" si="227"/>
        <v>6.201012145748988</v>
      </c>
      <c r="G1886" s="786">
        <f>314000+140000+20000+20000</f>
        <v>494000</v>
      </c>
      <c r="H1886" s="586">
        <v>30633</v>
      </c>
      <c r="I1886" s="627">
        <f t="shared" si="221"/>
        <v>6.201012145748988</v>
      </c>
      <c r="J1886" s="586"/>
      <c r="K1886" s="581"/>
      <c r="L1886" s="585"/>
      <c r="M1886" s="581"/>
      <c r="N1886" s="581"/>
      <c r="O1886" s="585"/>
      <c r="P1886" s="581"/>
      <c r="Q1886" s="581"/>
      <c r="R1886" s="653"/>
    </row>
    <row r="1887" spans="1:18" ht="12.75" hidden="1">
      <c r="A1887" s="647">
        <v>4430</v>
      </c>
      <c r="B1887" s="651" t="s">
        <v>201</v>
      </c>
      <c r="C1887" s="786"/>
      <c r="D1887" s="581">
        <f t="shared" si="228"/>
        <v>0</v>
      </c>
      <c r="E1887" s="581">
        <f>SUM(H1887+K1887+N1887+Q1887)</f>
        <v>0</v>
      </c>
      <c r="F1887" s="582" t="e">
        <f t="shared" si="227"/>
        <v>#DIV/0!</v>
      </c>
      <c r="G1887" s="786"/>
      <c r="H1887" s="586"/>
      <c r="I1887" s="627" t="e">
        <f t="shared" si="221"/>
        <v>#DIV/0!</v>
      </c>
      <c r="J1887" s="586"/>
      <c r="K1887" s="581"/>
      <c r="L1887" s="585"/>
      <c r="M1887" s="581"/>
      <c r="N1887" s="581"/>
      <c r="O1887" s="585"/>
      <c r="P1887" s="581"/>
      <c r="Q1887" s="581"/>
      <c r="R1887" s="653"/>
    </row>
    <row r="1888" spans="1:18" ht="12.75" hidden="1">
      <c r="A1888" s="647">
        <v>4580</v>
      </c>
      <c r="B1888" s="651" t="s">
        <v>223</v>
      </c>
      <c r="C1888" s="951"/>
      <c r="D1888" s="581">
        <f t="shared" si="228"/>
        <v>0</v>
      </c>
      <c r="E1888" s="581">
        <f t="shared" si="225"/>
        <v>0</v>
      </c>
      <c r="F1888" s="582" t="e">
        <f t="shared" si="227"/>
        <v>#DIV/0!</v>
      </c>
      <c r="G1888" s="951"/>
      <c r="H1888" s="586"/>
      <c r="I1888" s="627" t="e">
        <f t="shared" si="221"/>
        <v>#DIV/0!</v>
      </c>
      <c r="J1888" s="586"/>
      <c r="K1888" s="581"/>
      <c r="L1888" s="585"/>
      <c r="M1888" s="581"/>
      <c r="N1888" s="581"/>
      <c r="O1888" s="692"/>
      <c r="P1888" s="581"/>
      <c r="Q1888" s="581"/>
      <c r="R1888" s="653"/>
    </row>
    <row r="1889" spans="1:18" ht="36" hidden="1">
      <c r="A1889" s="647">
        <v>4590</v>
      </c>
      <c r="B1889" s="651" t="s">
        <v>613</v>
      </c>
      <c r="C1889" s="951"/>
      <c r="D1889" s="581">
        <f t="shared" si="228"/>
        <v>0</v>
      </c>
      <c r="E1889" s="581">
        <f>SUM(H1889+K1889+N1889+Q1889)</f>
        <v>0</v>
      </c>
      <c r="F1889" s="582" t="e">
        <f t="shared" si="227"/>
        <v>#DIV/0!</v>
      </c>
      <c r="G1889" s="951"/>
      <c r="H1889" s="586"/>
      <c r="I1889" s="627" t="e">
        <f t="shared" si="221"/>
        <v>#DIV/0!</v>
      </c>
      <c r="J1889" s="586"/>
      <c r="K1889" s="581"/>
      <c r="L1889" s="585"/>
      <c r="M1889" s="581"/>
      <c r="N1889" s="581"/>
      <c r="O1889" s="692"/>
      <c r="P1889" s="581"/>
      <c r="Q1889" s="581"/>
      <c r="R1889" s="653"/>
    </row>
    <row r="1890" spans="1:18" ht="36" hidden="1">
      <c r="A1890" s="647">
        <v>4610</v>
      </c>
      <c r="B1890" s="651" t="s">
        <v>224</v>
      </c>
      <c r="C1890" s="951"/>
      <c r="D1890" s="581">
        <f t="shared" si="228"/>
        <v>0</v>
      </c>
      <c r="E1890" s="581">
        <f>SUM(H1890+K1890+N1890+Q1890)</f>
        <v>0</v>
      </c>
      <c r="F1890" s="582" t="e">
        <f t="shared" si="227"/>
        <v>#DIV/0!</v>
      </c>
      <c r="G1890" s="951"/>
      <c r="H1890" s="586"/>
      <c r="I1890" s="627" t="e">
        <f t="shared" si="221"/>
        <v>#DIV/0!</v>
      </c>
      <c r="J1890" s="586"/>
      <c r="K1890" s="581"/>
      <c r="L1890" s="585"/>
      <c r="M1890" s="581"/>
      <c r="N1890" s="581"/>
      <c r="O1890" s="692"/>
      <c r="P1890" s="581"/>
      <c r="Q1890" s="581"/>
      <c r="R1890" s="653"/>
    </row>
    <row r="1891" spans="1:18" ht="25.5" customHeight="1">
      <c r="A1891" s="853">
        <v>6050</v>
      </c>
      <c r="B1891" s="651" t="s">
        <v>225</v>
      </c>
      <c r="C1891" s="951">
        <v>1275000</v>
      </c>
      <c r="D1891" s="581">
        <f t="shared" si="228"/>
        <v>1452686</v>
      </c>
      <c r="E1891" s="581">
        <f t="shared" si="225"/>
        <v>23252</v>
      </c>
      <c r="F1891" s="582">
        <f t="shared" si="227"/>
        <v>1.600621194119032</v>
      </c>
      <c r="G1891" s="951">
        <f>1275000+32300+135386+10000</f>
        <v>1452686</v>
      </c>
      <c r="H1891" s="835">
        <v>23252</v>
      </c>
      <c r="I1891" s="627">
        <f t="shared" si="221"/>
        <v>1.600621194119032</v>
      </c>
      <c r="J1891" s="698"/>
      <c r="K1891" s="697"/>
      <c r="L1891" s="585"/>
      <c r="M1891" s="581"/>
      <c r="N1891" s="581"/>
      <c r="O1891" s="585"/>
      <c r="P1891" s="581"/>
      <c r="Q1891" s="581"/>
      <c r="R1891" s="653"/>
    </row>
    <row r="1892" spans="1:18" ht="48" hidden="1">
      <c r="A1892" s="853">
        <v>6060</v>
      </c>
      <c r="B1892" s="651" t="s">
        <v>628</v>
      </c>
      <c r="C1892" s="951"/>
      <c r="D1892" s="581">
        <f t="shared" si="228"/>
        <v>0</v>
      </c>
      <c r="E1892" s="581">
        <f>SUM(H1892+K1892+N1892+Q1892)</f>
        <v>0</v>
      </c>
      <c r="F1892" s="582" t="e">
        <f>E1892/D1892*100</f>
        <v>#DIV/0!</v>
      </c>
      <c r="G1892" s="951"/>
      <c r="H1892" s="952"/>
      <c r="I1892" s="627" t="e">
        <f t="shared" si="221"/>
        <v>#DIV/0!</v>
      </c>
      <c r="J1892" s="698"/>
      <c r="K1892" s="697"/>
      <c r="L1892" s="585"/>
      <c r="M1892" s="581"/>
      <c r="N1892" s="581"/>
      <c r="O1892" s="585"/>
      <c r="P1892" s="581"/>
      <c r="Q1892" s="581"/>
      <c r="R1892" s="653"/>
    </row>
    <row r="1893" spans="1:26" s="702" customFormat="1" ht="132" hidden="1">
      <c r="A1893" s="647">
        <v>6300</v>
      </c>
      <c r="B1893" s="651" t="s">
        <v>2</v>
      </c>
      <c r="C1893" s="951"/>
      <c r="D1893" s="581">
        <f t="shared" si="228"/>
        <v>0</v>
      </c>
      <c r="E1893" s="581">
        <f t="shared" si="225"/>
        <v>0</v>
      </c>
      <c r="F1893" s="582" t="e">
        <f t="shared" si="227"/>
        <v>#DIV/0!</v>
      </c>
      <c r="G1893" s="951"/>
      <c r="H1893" s="953"/>
      <c r="I1893" s="627" t="e">
        <f t="shared" si="221"/>
        <v>#DIV/0!</v>
      </c>
      <c r="J1893" s="698"/>
      <c r="K1893" s="697"/>
      <c r="L1893" s="585"/>
      <c r="M1893" s="697"/>
      <c r="N1893" s="697"/>
      <c r="O1893" s="585"/>
      <c r="P1893" s="697"/>
      <c r="Q1893" s="697"/>
      <c r="R1893" s="715"/>
      <c r="S1893" s="700"/>
      <c r="T1893" s="700"/>
      <c r="U1893" s="700"/>
      <c r="V1893" s="700"/>
      <c r="W1893" s="701"/>
      <c r="X1893" s="701"/>
      <c r="Y1893" s="701"/>
      <c r="Z1893" s="701"/>
    </row>
    <row r="1894" spans="1:18" ht="60" customHeight="1" hidden="1">
      <c r="A1894" s="647">
        <v>6010</v>
      </c>
      <c r="B1894" s="651" t="s">
        <v>850</v>
      </c>
      <c r="C1894" s="603">
        <v>0</v>
      </c>
      <c r="D1894" s="581">
        <f t="shared" si="228"/>
        <v>0</v>
      </c>
      <c r="E1894" s="581">
        <f t="shared" si="225"/>
        <v>0</v>
      </c>
      <c r="F1894" s="582" t="e">
        <f t="shared" si="227"/>
        <v>#DIV/0!</v>
      </c>
      <c r="G1894" s="581">
        <v>0</v>
      </c>
      <c r="H1894" s="586">
        <v>0</v>
      </c>
      <c r="I1894" s="627" t="e">
        <f t="shared" si="221"/>
        <v>#DIV/0!</v>
      </c>
      <c r="J1894" s="586"/>
      <c r="K1894" s="581"/>
      <c r="L1894" s="585"/>
      <c r="M1894" s="581"/>
      <c r="N1894" s="581"/>
      <c r="O1894" s="585"/>
      <c r="P1894" s="581"/>
      <c r="Q1894" s="581"/>
      <c r="R1894" s="653"/>
    </row>
    <row r="1895" spans="1:26" s="639" customFormat="1" ht="12.75">
      <c r="A1895" s="657"/>
      <c r="B1895" s="798" t="s">
        <v>851</v>
      </c>
      <c r="C1895" s="659">
        <f>SUM(C1896:C1907)</f>
        <v>13740</v>
      </c>
      <c r="D1895" s="660">
        <f t="shared" si="228"/>
        <v>13740</v>
      </c>
      <c r="E1895" s="660">
        <f t="shared" si="225"/>
        <v>0</v>
      </c>
      <c r="F1895" s="630">
        <f t="shared" si="227"/>
        <v>0</v>
      </c>
      <c r="G1895" s="661">
        <f>SUM(G1896:G1907)</f>
        <v>13740</v>
      </c>
      <c r="H1895" s="661">
        <f>SUM(H1896:H1907)</f>
        <v>0</v>
      </c>
      <c r="I1895" s="627">
        <f t="shared" si="221"/>
        <v>0</v>
      </c>
      <c r="J1895" s="661"/>
      <c r="K1895" s="660"/>
      <c r="L1895" s="665"/>
      <c r="M1895" s="661"/>
      <c r="N1895" s="661"/>
      <c r="O1895" s="926"/>
      <c r="P1895" s="661"/>
      <c r="Q1895" s="660"/>
      <c r="R1895" s="666"/>
      <c r="S1895" s="564"/>
      <c r="T1895" s="564"/>
      <c r="U1895" s="564"/>
      <c r="V1895" s="564"/>
      <c r="W1895" s="565"/>
      <c r="X1895" s="565"/>
      <c r="Y1895" s="565"/>
      <c r="Z1895" s="565"/>
    </row>
    <row r="1896" spans="1:18" ht="24">
      <c r="A1896" s="647">
        <v>4178</v>
      </c>
      <c r="B1896" s="651" t="s">
        <v>852</v>
      </c>
      <c r="C1896" s="603">
        <v>2000</v>
      </c>
      <c r="D1896" s="581">
        <f t="shared" si="228"/>
        <v>2000</v>
      </c>
      <c r="E1896" s="581">
        <f t="shared" si="225"/>
        <v>0</v>
      </c>
      <c r="F1896" s="582">
        <f t="shared" si="227"/>
        <v>0</v>
      </c>
      <c r="G1896" s="586">
        <v>2000</v>
      </c>
      <c r="H1896" s="586"/>
      <c r="I1896" s="627">
        <f t="shared" si="221"/>
        <v>0</v>
      </c>
      <c r="J1896" s="586"/>
      <c r="K1896" s="581"/>
      <c r="L1896" s="585"/>
      <c r="M1896" s="586"/>
      <c r="N1896" s="586"/>
      <c r="O1896" s="629"/>
      <c r="P1896" s="586"/>
      <c r="Q1896" s="581"/>
      <c r="R1896" s="653"/>
    </row>
    <row r="1897" spans="1:18" ht="24">
      <c r="A1897" s="647">
        <v>4210</v>
      </c>
      <c r="B1897" s="651" t="s">
        <v>191</v>
      </c>
      <c r="C1897" s="603">
        <v>100</v>
      </c>
      <c r="D1897" s="581">
        <f>G1897+J1897+P1897+M1897</f>
        <v>100</v>
      </c>
      <c r="E1897" s="581">
        <f>SUM(H1897+K1897+N1897+Q1897)</f>
        <v>0</v>
      </c>
      <c r="F1897" s="582">
        <f t="shared" si="227"/>
        <v>0</v>
      </c>
      <c r="G1897" s="586">
        <v>100</v>
      </c>
      <c r="H1897" s="586"/>
      <c r="I1897" s="627">
        <f t="shared" si="221"/>
        <v>0</v>
      </c>
      <c r="J1897" s="586"/>
      <c r="K1897" s="581"/>
      <c r="L1897" s="585"/>
      <c r="M1897" s="586"/>
      <c r="N1897" s="586"/>
      <c r="O1897" s="629"/>
      <c r="P1897" s="586"/>
      <c r="Q1897" s="581"/>
      <c r="R1897" s="653"/>
    </row>
    <row r="1898" spans="1:18" ht="24">
      <c r="A1898" s="647">
        <v>4218</v>
      </c>
      <c r="B1898" s="651" t="s">
        <v>191</v>
      </c>
      <c r="C1898" s="603">
        <v>1000</v>
      </c>
      <c r="D1898" s="581">
        <f t="shared" si="228"/>
        <v>1000</v>
      </c>
      <c r="E1898" s="581">
        <f t="shared" si="225"/>
        <v>0</v>
      </c>
      <c r="F1898" s="582">
        <f t="shared" si="227"/>
        <v>0</v>
      </c>
      <c r="G1898" s="586">
        <v>1000</v>
      </c>
      <c r="H1898" s="586"/>
      <c r="I1898" s="627">
        <f aca="true" t="shared" si="229" ref="I1898:I1911">H1898/G1898*100</f>
        <v>0</v>
      </c>
      <c r="J1898" s="586"/>
      <c r="K1898" s="581"/>
      <c r="L1898" s="585"/>
      <c r="M1898" s="586"/>
      <c r="N1898" s="586"/>
      <c r="O1898" s="629"/>
      <c r="P1898" s="586"/>
      <c r="Q1898" s="581"/>
      <c r="R1898" s="653"/>
    </row>
    <row r="1899" spans="1:18" ht="24">
      <c r="A1899" s="647">
        <v>4219</v>
      </c>
      <c r="B1899" s="651" t="s">
        <v>191</v>
      </c>
      <c r="C1899" s="603">
        <v>220</v>
      </c>
      <c r="D1899" s="581">
        <f t="shared" si="228"/>
        <v>220</v>
      </c>
      <c r="E1899" s="581">
        <f t="shared" si="225"/>
        <v>0</v>
      </c>
      <c r="F1899" s="582">
        <f t="shared" si="227"/>
        <v>0</v>
      </c>
      <c r="G1899" s="586">
        <v>220</v>
      </c>
      <c r="H1899" s="586"/>
      <c r="I1899" s="627">
        <f t="shared" si="229"/>
        <v>0</v>
      </c>
      <c r="J1899" s="586"/>
      <c r="K1899" s="581"/>
      <c r="L1899" s="585"/>
      <c r="M1899" s="586"/>
      <c r="N1899" s="586"/>
      <c r="O1899" s="629"/>
      <c r="P1899" s="586"/>
      <c r="Q1899" s="581"/>
      <c r="R1899" s="653"/>
    </row>
    <row r="1900" spans="1:18" ht="24" hidden="1">
      <c r="A1900" s="647">
        <v>4300</v>
      </c>
      <c r="B1900" s="651" t="s">
        <v>216</v>
      </c>
      <c r="C1900" s="603"/>
      <c r="D1900" s="581">
        <f t="shared" si="228"/>
        <v>0</v>
      </c>
      <c r="E1900" s="581">
        <f>SUM(H1900+K1900+N1900+Q1900)</f>
        <v>0</v>
      </c>
      <c r="F1900" s="582" t="e">
        <f>E1900/D1900*100</f>
        <v>#DIV/0!</v>
      </c>
      <c r="G1900" s="586"/>
      <c r="H1900" s="586"/>
      <c r="I1900" s="627" t="e">
        <f t="shared" si="229"/>
        <v>#DIV/0!</v>
      </c>
      <c r="J1900" s="586"/>
      <c r="K1900" s="581"/>
      <c r="L1900" s="585"/>
      <c r="M1900" s="586"/>
      <c r="N1900" s="586"/>
      <c r="O1900" s="629"/>
      <c r="P1900" s="586"/>
      <c r="Q1900" s="581"/>
      <c r="R1900" s="653"/>
    </row>
    <row r="1901" spans="1:18" ht="15.75" customHeight="1">
      <c r="A1901" s="647">
        <v>4308</v>
      </c>
      <c r="B1901" s="651" t="s">
        <v>216</v>
      </c>
      <c r="C1901" s="603">
        <v>1000</v>
      </c>
      <c r="D1901" s="581">
        <f t="shared" si="228"/>
        <v>1000</v>
      </c>
      <c r="E1901" s="581">
        <f t="shared" si="225"/>
        <v>0</v>
      </c>
      <c r="F1901" s="582">
        <f t="shared" si="227"/>
        <v>0</v>
      </c>
      <c r="G1901" s="586">
        <v>1000</v>
      </c>
      <c r="H1901" s="586"/>
      <c r="I1901" s="627">
        <f t="shared" si="229"/>
        <v>0</v>
      </c>
      <c r="J1901" s="586"/>
      <c r="K1901" s="581"/>
      <c r="L1901" s="585"/>
      <c r="M1901" s="586"/>
      <c r="N1901" s="586"/>
      <c r="O1901" s="629"/>
      <c r="P1901" s="586"/>
      <c r="Q1901" s="581"/>
      <c r="R1901" s="653"/>
    </row>
    <row r="1902" spans="1:18" ht="15.75" customHeight="1">
      <c r="A1902" s="647">
        <v>4309</v>
      </c>
      <c r="B1902" s="651" t="s">
        <v>216</v>
      </c>
      <c r="C1902" s="603">
        <v>220</v>
      </c>
      <c r="D1902" s="581">
        <f t="shared" si="228"/>
        <v>220</v>
      </c>
      <c r="E1902" s="581">
        <f t="shared" si="225"/>
        <v>0</v>
      </c>
      <c r="F1902" s="582">
        <f t="shared" si="227"/>
        <v>0</v>
      </c>
      <c r="G1902" s="586">
        <v>220</v>
      </c>
      <c r="H1902" s="586"/>
      <c r="I1902" s="627">
        <f t="shared" si="229"/>
        <v>0</v>
      </c>
      <c r="J1902" s="586"/>
      <c r="K1902" s="581"/>
      <c r="L1902" s="585"/>
      <c r="M1902" s="586"/>
      <c r="N1902" s="586"/>
      <c r="O1902" s="629"/>
      <c r="P1902" s="586"/>
      <c r="Q1902" s="581"/>
      <c r="R1902" s="653"/>
    </row>
    <row r="1903" spans="1:18" ht="25.5" customHeight="1">
      <c r="A1903" s="647">
        <v>4388</v>
      </c>
      <c r="B1903" s="651" t="s">
        <v>738</v>
      </c>
      <c r="C1903" s="603">
        <v>1000</v>
      </c>
      <c r="D1903" s="581">
        <f t="shared" si="228"/>
        <v>1000</v>
      </c>
      <c r="E1903" s="581">
        <f t="shared" si="225"/>
        <v>0</v>
      </c>
      <c r="F1903" s="582">
        <f t="shared" si="227"/>
        <v>0</v>
      </c>
      <c r="G1903" s="586">
        <v>1000</v>
      </c>
      <c r="H1903" s="586"/>
      <c r="I1903" s="627">
        <f t="shared" si="229"/>
        <v>0</v>
      </c>
      <c r="J1903" s="586"/>
      <c r="K1903" s="581"/>
      <c r="L1903" s="585"/>
      <c r="M1903" s="586"/>
      <c r="N1903" s="586"/>
      <c r="O1903" s="629"/>
      <c r="P1903" s="586"/>
      <c r="Q1903" s="581"/>
      <c r="R1903" s="653"/>
    </row>
    <row r="1904" spans="1:18" ht="48" hidden="1">
      <c r="A1904" s="647">
        <v>4398</v>
      </c>
      <c r="B1904" s="651" t="s">
        <v>222</v>
      </c>
      <c r="C1904" s="603"/>
      <c r="D1904" s="581">
        <f t="shared" si="228"/>
        <v>0</v>
      </c>
      <c r="E1904" s="581">
        <f t="shared" si="225"/>
        <v>0</v>
      </c>
      <c r="F1904" s="582" t="e">
        <f t="shared" si="227"/>
        <v>#DIV/0!</v>
      </c>
      <c r="G1904" s="586"/>
      <c r="H1904" s="586"/>
      <c r="I1904" s="627" t="e">
        <f t="shared" si="229"/>
        <v>#DIV/0!</v>
      </c>
      <c r="J1904" s="586"/>
      <c r="K1904" s="581"/>
      <c r="L1904" s="585"/>
      <c r="M1904" s="586"/>
      <c r="N1904" s="586"/>
      <c r="O1904" s="629"/>
      <c r="P1904" s="586"/>
      <c r="Q1904" s="581"/>
      <c r="R1904" s="653"/>
    </row>
    <row r="1905" spans="1:18" ht="48" hidden="1">
      <c r="A1905" s="647">
        <v>4399</v>
      </c>
      <c r="B1905" s="651" t="s">
        <v>222</v>
      </c>
      <c r="C1905" s="603"/>
      <c r="D1905" s="581">
        <f t="shared" si="228"/>
        <v>0</v>
      </c>
      <c r="E1905" s="581">
        <f t="shared" si="225"/>
        <v>0</v>
      </c>
      <c r="F1905" s="582" t="e">
        <f t="shared" si="227"/>
        <v>#DIV/0!</v>
      </c>
      <c r="G1905" s="586"/>
      <c r="H1905" s="586"/>
      <c r="I1905" s="627" t="e">
        <f t="shared" si="229"/>
        <v>#DIV/0!</v>
      </c>
      <c r="J1905" s="586"/>
      <c r="K1905" s="581"/>
      <c r="L1905" s="585"/>
      <c r="M1905" s="586"/>
      <c r="N1905" s="586"/>
      <c r="O1905" s="629"/>
      <c r="P1905" s="586"/>
      <c r="Q1905" s="581"/>
      <c r="R1905" s="653"/>
    </row>
    <row r="1906" spans="1:18" ht="24">
      <c r="A1906" s="647">
        <v>4420</v>
      </c>
      <c r="B1906" s="651" t="s">
        <v>596</v>
      </c>
      <c r="C1906" s="603">
        <v>200</v>
      </c>
      <c r="D1906" s="581">
        <f t="shared" si="228"/>
        <v>200</v>
      </c>
      <c r="E1906" s="581">
        <f t="shared" si="225"/>
        <v>0</v>
      </c>
      <c r="F1906" s="582">
        <f t="shared" si="227"/>
        <v>0</v>
      </c>
      <c r="G1906" s="586">
        <v>200</v>
      </c>
      <c r="H1906" s="586"/>
      <c r="I1906" s="627">
        <f t="shared" si="229"/>
        <v>0</v>
      </c>
      <c r="J1906" s="586"/>
      <c r="K1906" s="581"/>
      <c r="L1906" s="585"/>
      <c r="M1906" s="586"/>
      <c r="N1906" s="586"/>
      <c r="O1906" s="629"/>
      <c r="P1906" s="586"/>
      <c r="Q1906" s="581"/>
      <c r="R1906" s="653"/>
    </row>
    <row r="1907" spans="1:18" ht="24.75" thickBot="1">
      <c r="A1907" s="647">
        <v>4428</v>
      </c>
      <c r="B1907" s="651" t="s">
        <v>596</v>
      </c>
      <c r="C1907" s="603">
        <v>8000</v>
      </c>
      <c r="D1907" s="581">
        <f t="shared" si="228"/>
        <v>8000</v>
      </c>
      <c r="E1907" s="581">
        <f t="shared" si="225"/>
        <v>0</v>
      </c>
      <c r="F1907" s="582">
        <f t="shared" si="227"/>
        <v>0</v>
      </c>
      <c r="G1907" s="586">
        <v>8000</v>
      </c>
      <c r="H1907" s="586"/>
      <c r="I1907" s="627">
        <f t="shared" si="229"/>
        <v>0</v>
      </c>
      <c r="J1907" s="586"/>
      <c r="K1907" s="581"/>
      <c r="L1907" s="585"/>
      <c r="M1907" s="586"/>
      <c r="N1907" s="586"/>
      <c r="O1907" s="629"/>
      <c r="P1907" s="586"/>
      <c r="Q1907" s="581"/>
      <c r="R1907" s="653"/>
    </row>
    <row r="1908" spans="1:26" s="639" customFormat="1" ht="46.5" customHeight="1" thickBot="1" thickTop="1">
      <c r="A1908" s="632">
        <v>921</v>
      </c>
      <c r="B1908" s="633" t="s">
        <v>853</v>
      </c>
      <c r="C1908" s="634">
        <f>C1955+C1911+C1929+C1945+C1990+C2006+C2033+C2042+C1909</f>
        <v>23301580</v>
      </c>
      <c r="D1908" s="556">
        <f>D1955+D1911+D1929+D1945+D1990+D2006+D2033+D2042+D1909</f>
        <v>23438780</v>
      </c>
      <c r="E1908" s="556">
        <f>E1955+E1911+E1929+E1945+E1990+E2006+E2033+E2042+E1909</f>
        <v>5276911</v>
      </c>
      <c r="F1908" s="635">
        <f t="shared" si="227"/>
        <v>22.513590724431904</v>
      </c>
      <c r="G1908" s="634">
        <f>G1955+G1911+G1929+G1945+G1990+G2006+G2033+G2042+G1909</f>
        <v>5844100</v>
      </c>
      <c r="H1908" s="556">
        <f>H1955+H1911+H1929+H1945+H1990+H2006+H2033+H2042+H1909</f>
        <v>1393294</v>
      </c>
      <c r="I1908" s="635">
        <f t="shared" si="229"/>
        <v>23.84103625879092</v>
      </c>
      <c r="J1908" s="634">
        <f>J1945</f>
        <v>0</v>
      </c>
      <c r="K1908" s="556">
        <f>K1945</f>
        <v>0</v>
      </c>
      <c r="L1908" s="561"/>
      <c r="M1908" s="634">
        <f>M1955+M1911+M1929+M1945+M1990+M2006+M2033+M2042</f>
        <v>17594680</v>
      </c>
      <c r="N1908" s="560">
        <f>N1955+N1911+N1929+N1945+N1990+N2006+N2033+N2042</f>
        <v>3883617</v>
      </c>
      <c r="O1908" s="740">
        <f>N1908/M1908*100</f>
        <v>22.072677650289744</v>
      </c>
      <c r="P1908" s="634">
        <f>P1955+P1911+P1929+P1945+P1990+P2006+P2033+P2042</f>
        <v>0</v>
      </c>
      <c r="Q1908" s="560">
        <f>Q1955+Q1911+Q1929+Q1945+Q1990+Q2006+Q2033+Q2042</f>
        <v>0</v>
      </c>
      <c r="R1908" s="557"/>
      <c r="S1908" s="564"/>
      <c r="T1908" s="564"/>
      <c r="U1908" s="564"/>
      <c r="V1908" s="564"/>
      <c r="W1908" s="565"/>
      <c r="X1908" s="565"/>
      <c r="Y1908" s="565"/>
      <c r="Z1908" s="565"/>
    </row>
    <row r="1909" spans="1:26" s="639" customFormat="1" ht="24.75" hidden="1" thickTop="1">
      <c r="A1909" s="765">
        <v>92103</v>
      </c>
      <c r="B1909" s="766" t="s">
        <v>854</v>
      </c>
      <c r="C1909" s="767"/>
      <c r="D1909" s="569">
        <f aca="true" t="shared" si="230" ref="D1909:E1922">G1909+J1909+P1909+M1909</f>
        <v>0</v>
      </c>
      <c r="E1909" s="569">
        <f t="shared" si="230"/>
        <v>0</v>
      </c>
      <c r="F1909" s="570" t="e">
        <f t="shared" si="227"/>
        <v>#DIV/0!</v>
      </c>
      <c r="G1909" s="767">
        <f>G1910</f>
        <v>0</v>
      </c>
      <c r="H1909" s="954">
        <f>H1910</f>
        <v>0</v>
      </c>
      <c r="I1909" s="874" t="e">
        <f t="shared" si="229"/>
        <v>#DIV/0!</v>
      </c>
      <c r="J1909" s="574"/>
      <c r="K1909" s="569"/>
      <c r="L1909" s="575"/>
      <c r="M1909" s="574"/>
      <c r="N1909" s="569"/>
      <c r="O1909" s="743"/>
      <c r="P1909" s="574"/>
      <c r="Q1909" s="569"/>
      <c r="R1909" s="871"/>
      <c r="S1909" s="564"/>
      <c r="T1909" s="564"/>
      <c r="U1909" s="564"/>
      <c r="V1909" s="564"/>
      <c r="W1909" s="565"/>
      <c r="X1909" s="565"/>
      <c r="Y1909" s="565"/>
      <c r="Z1909" s="565"/>
    </row>
    <row r="1910" spans="1:18" ht="36.75" hidden="1" thickTop="1">
      <c r="A1910" s="647">
        <v>2550</v>
      </c>
      <c r="B1910" s="733" t="s">
        <v>855</v>
      </c>
      <c r="C1910" s="603"/>
      <c r="D1910" s="675">
        <f t="shared" si="230"/>
        <v>0</v>
      </c>
      <c r="E1910" s="675">
        <f t="shared" si="230"/>
        <v>0</v>
      </c>
      <c r="F1910" s="643" t="e">
        <f t="shared" si="227"/>
        <v>#DIV/0!</v>
      </c>
      <c r="G1910" s="772"/>
      <c r="H1910" s="581"/>
      <c r="I1910" s="644" t="e">
        <f t="shared" si="229"/>
        <v>#DIV/0!</v>
      </c>
      <c r="J1910" s="586"/>
      <c r="K1910" s="581"/>
      <c r="L1910" s="587"/>
      <c r="M1910" s="586"/>
      <c r="N1910" s="581"/>
      <c r="O1910" s="629"/>
      <c r="P1910" s="586"/>
      <c r="Q1910" s="581"/>
      <c r="R1910" s="653"/>
    </row>
    <row r="1911" spans="1:18" ht="24" customHeight="1" thickTop="1">
      <c r="A1911" s="640">
        <v>92105</v>
      </c>
      <c r="B1911" s="742" t="s">
        <v>856</v>
      </c>
      <c r="C1911" s="608">
        <f>SUM(C1912:C1917)</f>
        <v>388000</v>
      </c>
      <c r="D1911" s="595">
        <f t="shared" si="230"/>
        <v>373000</v>
      </c>
      <c r="E1911" s="595">
        <f t="shared" si="230"/>
        <v>141805</v>
      </c>
      <c r="F1911" s="596">
        <f t="shared" si="227"/>
        <v>38.01742627345844</v>
      </c>
      <c r="G1911" s="595">
        <f>SUM(G1912:G1918)</f>
        <v>373000</v>
      </c>
      <c r="H1911" s="595">
        <f>SUM(H1912:H1918)</f>
        <v>141805</v>
      </c>
      <c r="I1911" s="624">
        <f t="shared" si="229"/>
        <v>38.01742627345844</v>
      </c>
      <c r="J1911" s="600"/>
      <c r="K1911" s="595"/>
      <c r="L1911" s="601"/>
      <c r="M1911" s="595"/>
      <c r="N1911" s="595"/>
      <c r="O1911" s="645"/>
      <c r="P1911" s="595"/>
      <c r="Q1911" s="595"/>
      <c r="R1911" s="731"/>
    </row>
    <row r="1912" spans="1:18" ht="36" hidden="1">
      <c r="A1912" s="667">
        <v>3020</v>
      </c>
      <c r="B1912" s="668" t="s">
        <v>857</v>
      </c>
      <c r="C1912" s="606"/>
      <c r="D1912" s="615">
        <f t="shared" si="230"/>
        <v>0</v>
      </c>
      <c r="E1912" s="615">
        <f aca="true" t="shared" si="231" ref="E1912:E1928">SUM(H1912+K1912+N1912+Q1912)</f>
        <v>0</v>
      </c>
      <c r="F1912" s="604"/>
      <c r="G1912" s="606"/>
      <c r="H1912" s="615"/>
      <c r="I1912" s="669"/>
      <c r="J1912" s="618"/>
      <c r="K1912" s="615"/>
      <c r="L1912" s="619"/>
      <c r="M1912" s="615"/>
      <c r="N1912" s="615"/>
      <c r="O1912" s="686"/>
      <c r="P1912" s="615"/>
      <c r="Q1912" s="615"/>
      <c r="R1912" s="671"/>
    </row>
    <row r="1913" spans="1:18" ht="41.25" customHeight="1">
      <c r="A1913" s="647">
        <v>3040</v>
      </c>
      <c r="B1913" s="651" t="s">
        <v>775</v>
      </c>
      <c r="C1913" s="603">
        <v>55000</v>
      </c>
      <c r="D1913" s="581">
        <f t="shared" si="230"/>
        <v>55000</v>
      </c>
      <c r="E1913" s="581">
        <f t="shared" si="231"/>
        <v>55000</v>
      </c>
      <c r="F1913" s="582">
        <f t="shared" si="227"/>
        <v>100</v>
      </c>
      <c r="G1913" s="603">
        <v>55000</v>
      </c>
      <c r="H1913" s="581">
        <v>55000</v>
      </c>
      <c r="I1913" s="627">
        <f aca="true" t="shared" si="232" ref="I1913:I1927">H1913/G1913*100</f>
        <v>100</v>
      </c>
      <c r="J1913" s="586"/>
      <c r="K1913" s="581"/>
      <c r="L1913" s="587"/>
      <c r="M1913" s="581"/>
      <c r="N1913" s="581"/>
      <c r="O1913" s="649"/>
      <c r="P1913" s="581"/>
      <c r="Q1913" s="581"/>
      <c r="R1913" s="653"/>
    </row>
    <row r="1914" spans="1:18" ht="26.25" customHeight="1">
      <c r="A1914" s="647">
        <v>4210</v>
      </c>
      <c r="B1914" s="651" t="s">
        <v>191</v>
      </c>
      <c r="C1914" s="603">
        <v>18000</v>
      </c>
      <c r="D1914" s="581">
        <f t="shared" si="230"/>
        <v>11985</v>
      </c>
      <c r="E1914" s="581">
        <f t="shared" si="231"/>
        <v>1405</v>
      </c>
      <c r="F1914" s="582">
        <f t="shared" si="227"/>
        <v>11.722987067167292</v>
      </c>
      <c r="G1914" s="603">
        <f>18000-6000-15</f>
        <v>11985</v>
      </c>
      <c r="H1914" s="581">
        <v>1405</v>
      </c>
      <c r="I1914" s="627">
        <f t="shared" si="232"/>
        <v>11.722987067167292</v>
      </c>
      <c r="J1914" s="586"/>
      <c r="K1914" s="581"/>
      <c r="L1914" s="587"/>
      <c r="M1914" s="581"/>
      <c r="N1914" s="581"/>
      <c r="O1914" s="649"/>
      <c r="P1914" s="581"/>
      <c r="Q1914" s="581"/>
      <c r="R1914" s="653"/>
    </row>
    <row r="1915" spans="1:18" ht="12.75">
      <c r="A1915" s="647">
        <v>4430</v>
      </c>
      <c r="B1915" s="651" t="s">
        <v>201</v>
      </c>
      <c r="C1915" s="603"/>
      <c r="D1915" s="581">
        <f t="shared" si="230"/>
        <v>15</v>
      </c>
      <c r="E1915" s="581">
        <f t="shared" si="231"/>
        <v>0</v>
      </c>
      <c r="F1915" s="582">
        <f t="shared" si="227"/>
        <v>0</v>
      </c>
      <c r="G1915" s="603">
        <v>15</v>
      </c>
      <c r="H1915" s="581"/>
      <c r="I1915" s="627">
        <f t="shared" si="232"/>
        <v>0</v>
      </c>
      <c r="J1915" s="586"/>
      <c r="K1915" s="581"/>
      <c r="L1915" s="587"/>
      <c r="M1915" s="581"/>
      <c r="N1915" s="581"/>
      <c r="O1915" s="649"/>
      <c r="P1915" s="581"/>
      <c r="Q1915" s="581"/>
      <c r="R1915" s="653"/>
    </row>
    <row r="1916" spans="1:18" ht="16.5" customHeight="1">
      <c r="A1916" s="647">
        <v>4300</v>
      </c>
      <c r="B1916" s="651" t="s">
        <v>199</v>
      </c>
      <c r="C1916" s="603">
        <v>65000</v>
      </c>
      <c r="D1916" s="581">
        <f t="shared" si="230"/>
        <v>56000</v>
      </c>
      <c r="E1916" s="581">
        <f t="shared" si="231"/>
        <v>0</v>
      </c>
      <c r="F1916" s="582">
        <f t="shared" si="227"/>
        <v>0</v>
      </c>
      <c r="G1916" s="603">
        <f>65000-9000</f>
        <v>56000</v>
      </c>
      <c r="H1916" s="581"/>
      <c r="I1916" s="627">
        <f t="shared" si="232"/>
        <v>0</v>
      </c>
      <c r="J1916" s="586"/>
      <c r="K1916" s="581"/>
      <c r="L1916" s="587"/>
      <c r="M1916" s="581"/>
      <c r="N1916" s="581"/>
      <c r="O1916" s="649"/>
      <c r="P1916" s="581"/>
      <c r="Q1916" s="581"/>
      <c r="R1916" s="653"/>
    </row>
    <row r="1917" spans="1:18" ht="63.75" customHeight="1">
      <c r="A1917" s="647">
        <v>2820</v>
      </c>
      <c r="B1917" s="651" t="s">
        <v>593</v>
      </c>
      <c r="C1917" s="603">
        <v>250000</v>
      </c>
      <c r="D1917" s="581">
        <f t="shared" si="230"/>
        <v>250000</v>
      </c>
      <c r="E1917" s="581">
        <f t="shared" si="231"/>
        <v>85400</v>
      </c>
      <c r="F1917" s="582">
        <f t="shared" si="227"/>
        <v>34.160000000000004</v>
      </c>
      <c r="G1917" s="603">
        <v>250000</v>
      </c>
      <c r="H1917" s="581">
        <v>85400</v>
      </c>
      <c r="I1917" s="627">
        <f t="shared" si="232"/>
        <v>34.160000000000004</v>
      </c>
      <c r="J1917" s="586"/>
      <c r="K1917" s="581"/>
      <c r="L1917" s="587"/>
      <c r="M1917" s="581"/>
      <c r="N1917" s="581"/>
      <c r="O1917" s="649"/>
      <c r="P1917" s="581"/>
      <c r="Q1917" s="581"/>
      <c r="R1917" s="653"/>
    </row>
    <row r="1918" spans="1:26" s="639" customFormat="1" ht="48" hidden="1">
      <c r="A1918" s="657"/>
      <c r="B1918" s="798" t="s">
        <v>300</v>
      </c>
      <c r="C1918" s="659"/>
      <c r="D1918" s="660">
        <f t="shared" si="230"/>
        <v>0</v>
      </c>
      <c r="E1918" s="660">
        <f t="shared" si="231"/>
        <v>0</v>
      </c>
      <c r="F1918" s="582" t="e">
        <f t="shared" si="227"/>
        <v>#DIV/0!</v>
      </c>
      <c r="G1918" s="661">
        <f>SUM(G1919:G1928)</f>
        <v>0</v>
      </c>
      <c r="H1918" s="660">
        <f>SUM(H1919:H1928)</f>
        <v>0</v>
      </c>
      <c r="I1918" s="627" t="e">
        <f t="shared" si="232"/>
        <v>#DIV/0!</v>
      </c>
      <c r="J1918" s="661"/>
      <c r="K1918" s="660"/>
      <c r="L1918" s="800"/>
      <c r="M1918" s="660"/>
      <c r="N1918" s="660"/>
      <c r="O1918" s="800"/>
      <c r="P1918" s="660"/>
      <c r="Q1918" s="660"/>
      <c r="R1918" s="666"/>
      <c r="S1918" s="564"/>
      <c r="T1918" s="564"/>
      <c r="U1918" s="564"/>
      <c r="V1918" s="564"/>
      <c r="W1918" s="565"/>
      <c r="X1918" s="565"/>
      <c r="Y1918" s="565"/>
      <c r="Z1918" s="565"/>
    </row>
    <row r="1919" spans="1:18" ht="36" hidden="1">
      <c r="A1919" s="647">
        <v>4110</v>
      </c>
      <c r="B1919" s="651" t="s">
        <v>187</v>
      </c>
      <c r="C1919" s="603"/>
      <c r="D1919" s="581">
        <f t="shared" si="230"/>
        <v>0</v>
      </c>
      <c r="E1919" s="581">
        <f t="shared" si="231"/>
        <v>0</v>
      </c>
      <c r="F1919" s="582" t="e">
        <f t="shared" si="227"/>
        <v>#DIV/0!</v>
      </c>
      <c r="G1919" s="586"/>
      <c r="H1919" s="581"/>
      <c r="I1919" s="627" t="e">
        <f t="shared" si="232"/>
        <v>#DIV/0!</v>
      </c>
      <c r="J1919" s="586"/>
      <c r="K1919" s="581"/>
      <c r="L1919" s="587"/>
      <c r="M1919" s="581"/>
      <c r="N1919" s="581"/>
      <c r="O1919" s="649"/>
      <c r="P1919" s="581"/>
      <c r="Q1919" s="581"/>
      <c r="R1919" s="653"/>
    </row>
    <row r="1920" spans="1:18" ht="12.75" hidden="1">
      <c r="A1920" s="647">
        <v>4120</v>
      </c>
      <c r="B1920" s="651" t="s">
        <v>619</v>
      </c>
      <c r="C1920" s="603"/>
      <c r="D1920" s="581">
        <f t="shared" si="230"/>
        <v>0</v>
      </c>
      <c r="E1920" s="581">
        <f t="shared" si="231"/>
        <v>0</v>
      </c>
      <c r="F1920" s="582" t="e">
        <f t="shared" si="227"/>
        <v>#DIV/0!</v>
      </c>
      <c r="G1920" s="586"/>
      <c r="H1920" s="581"/>
      <c r="I1920" s="627" t="e">
        <f t="shared" si="232"/>
        <v>#DIV/0!</v>
      </c>
      <c r="J1920" s="586"/>
      <c r="K1920" s="581"/>
      <c r="L1920" s="587"/>
      <c r="M1920" s="581"/>
      <c r="N1920" s="581"/>
      <c r="O1920" s="649"/>
      <c r="P1920" s="581"/>
      <c r="Q1920" s="581"/>
      <c r="R1920" s="653"/>
    </row>
    <row r="1921" spans="1:18" ht="24" hidden="1">
      <c r="A1921" s="647">
        <v>4178</v>
      </c>
      <c r="B1921" s="651" t="s">
        <v>852</v>
      </c>
      <c r="C1921" s="603"/>
      <c r="D1921" s="581">
        <f t="shared" si="230"/>
        <v>0</v>
      </c>
      <c r="E1921" s="581">
        <f t="shared" si="231"/>
        <v>0</v>
      </c>
      <c r="F1921" s="582" t="e">
        <f t="shared" si="227"/>
        <v>#DIV/0!</v>
      </c>
      <c r="G1921" s="586"/>
      <c r="H1921" s="581"/>
      <c r="I1921" s="627" t="e">
        <f t="shared" si="232"/>
        <v>#DIV/0!</v>
      </c>
      <c r="J1921" s="586"/>
      <c r="K1921" s="581"/>
      <c r="L1921" s="587"/>
      <c r="M1921" s="581"/>
      <c r="N1921" s="581"/>
      <c r="O1921" s="649"/>
      <c r="P1921" s="581"/>
      <c r="Q1921" s="581"/>
      <c r="R1921" s="653"/>
    </row>
    <row r="1922" spans="1:18" ht="24" hidden="1">
      <c r="A1922" s="647">
        <v>4179</v>
      </c>
      <c r="B1922" s="651" t="s">
        <v>852</v>
      </c>
      <c r="C1922" s="603"/>
      <c r="D1922" s="581">
        <f t="shared" si="230"/>
        <v>0</v>
      </c>
      <c r="E1922" s="581">
        <f t="shared" si="231"/>
        <v>0</v>
      </c>
      <c r="F1922" s="582" t="e">
        <f t="shared" si="227"/>
        <v>#DIV/0!</v>
      </c>
      <c r="G1922" s="586"/>
      <c r="H1922" s="581"/>
      <c r="I1922" s="627" t="e">
        <f t="shared" si="232"/>
        <v>#DIV/0!</v>
      </c>
      <c r="J1922" s="586"/>
      <c r="K1922" s="581"/>
      <c r="L1922" s="587"/>
      <c r="M1922" s="581"/>
      <c r="N1922" s="581"/>
      <c r="O1922" s="649"/>
      <c r="P1922" s="581"/>
      <c r="Q1922" s="581"/>
      <c r="R1922" s="653"/>
    </row>
    <row r="1923" spans="1:18" ht="24" hidden="1">
      <c r="A1923" s="667">
        <v>4218</v>
      </c>
      <c r="B1923" s="668" t="s">
        <v>191</v>
      </c>
      <c r="C1923" s="606"/>
      <c r="D1923" s="615">
        <f>G1923+J1923+P1923+M1923</f>
        <v>0</v>
      </c>
      <c r="E1923" s="615">
        <f>SUM(H1923+K1923+N1923+Q1923)</f>
        <v>0</v>
      </c>
      <c r="F1923" s="604" t="e">
        <f>E1923/D1923*100</f>
        <v>#DIV/0!</v>
      </c>
      <c r="G1923" s="618"/>
      <c r="H1923" s="615"/>
      <c r="I1923" s="669" t="e">
        <f t="shared" si="232"/>
        <v>#DIV/0!</v>
      </c>
      <c r="J1923" s="618"/>
      <c r="K1923" s="615"/>
      <c r="L1923" s="619"/>
      <c r="M1923" s="615"/>
      <c r="N1923" s="615"/>
      <c r="O1923" s="686"/>
      <c r="P1923" s="615"/>
      <c r="Q1923" s="615"/>
      <c r="R1923" s="671"/>
    </row>
    <row r="1924" spans="1:18" ht="24" hidden="1">
      <c r="A1924" s="647">
        <v>4219</v>
      </c>
      <c r="B1924" s="651" t="s">
        <v>191</v>
      </c>
      <c r="C1924" s="603"/>
      <c r="D1924" s="581">
        <f>G1924+J1924+P1924+M1924</f>
        <v>0</v>
      </c>
      <c r="E1924" s="581">
        <f>SUM(H1924+K1924+N1924+Q1924)</f>
        <v>0</v>
      </c>
      <c r="F1924" s="582" t="e">
        <f>E1924/D1924*100</f>
        <v>#DIV/0!</v>
      </c>
      <c r="G1924" s="586"/>
      <c r="H1924" s="581"/>
      <c r="I1924" s="627" t="e">
        <f t="shared" si="232"/>
        <v>#DIV/0!</v>
      </c>
      <c r="J1924" s="586"/>
      <c r="K1924" s="581"/>
      <c r="L1924" s="587"/>
      <c r="M1924" s="581"/>
      <c r="N1924" s="581"/>
      <c r="O1924" s="649"/>
      <c r="P1924" s="581"/>
      <c r="Q1924" s="581"/>
      <c r="R1924" s="653"/>
    </row>
    <row r="1925" spans="1:18" ht="24" hidden="1">
      <c r="A1925" s="647">
        <v>4308</v>
      </c>
      <c r="B1925" s="651" t="s">
        <v>199</v>
      </c>
      <c r="C1925" s="603"/>
      <c r="D1925" s="581">
        <f>G1925+J1925+P1925+M1925</f>
        <v>0</v>
      </c>
      <c r="E1925" s="581">
        <f>SUM(H1925+K1925+N1925+Q1925)</f>
        <v>0</v>
      </c>
      <c r="F1925" s="582" t="e">
        <f>E1925/D1925*100</f>
        <v>#DIV/0!</v>
      </c>
      <c r="G1925" s="586"/>
      <c r="H1925" s="581"/>
      <c r="I1925" s="627" t="e">
        <f t="shared" si="232"/>
        <v>#DIV/0!</v>
      </c>
      <c r="J1925" s="586"/>
      <c r="K1925" s="581"/>
      <c r="L1925" s="587"/>
      <c r="M1925" s="581"/>
      <c r="N1925" s="581"/>
      <c r="O1925" s="649"/>
      <c r="P1925" s="581"/>
      <c r="Q1925" s="581"/>
      <c r="R1925" s="653"/>
    </row>
    <row r="1926" spans="1:18" ht="24" hidden="1">
      <c r="A1926" s="647">
        <v>4309</v>
      </c>
      <c r="B1926" s="651" t="s">
        <v>199</v>
      </c>
      <c r="C1926" s="603"/>
      <c r="D1926" s="581">
        <f>G1926+J1926+P1926+M1926</f>
        <v>0</v>
      </c>
      <c r="E1926" s="581">
        <f>SUM(H1926+K1926+N1926+Q1926)</f>
        <v>0</v>
      </c>
      <c r="F1926" s="582" t="e">
        <f>E1926/D1926*100</f>
        <v>#DIV/0!</v>
      </c>
      <c r="G1926" s="586"/>
      <c r="H1926" s="581"/>
      <c r="I1926" s="627" t="e">
        <f t="shared" si="232"/>
        <v>#DIV/0!</v>
      </c>
      <c r="J1926" s="586"/>
      <c r="K1926" s="581"/>
      <c r="L1926" s="587"/>
      <c r="M1926" s="581"/>
      <c r="N1926" s="581"/>
      <c r="O1926" s="649"/>
      <c r="P1926" s="581"/>
      <c r="Q1926" s="581"/>
      <c r="R1926" s="653"/>
    </row>
    <row r="1927" spans="1:18" ht="36" hidden="1">
      <c r="A1927" s="647">
        <v>4388</v>
      </c>
      <c r="B1927" s="651" t="s">
        <v>738</v>
      </c>
      <c r="C1927" s="603"/>
      <c r="D1927" s="581">
        <f aca="true" t="shared" si="233" ref="D1927:D1974">G1927+J1927+P1927+M1927</f>
        <v>0</v>
      </c>
      <c r="E1927" s="581">
        <f t="shared" si="231"/>
        <v>0</v>
      </c>
      <c r="F1927" s="582" t="e">
        <f t="shared" si="227"/>
        <v>#DIV/0!</v>
      </c>
      <c r="G1927" s="586"/>
      <c r="H1927" s="581"/>
      <c r="I1927" s="627" t="e">
        <f t="shared" si="232"/>
        <v>#DIV/0!</v>
      </c>
      <c r="J1927" s="586"/>
      <c r="K1927" s="581"/>
      <c r="L1927" s="587"/>
      <c r="M1927" s="581"/>
      <c r="N1927" s="581"/>
      <c r="O1927" s="649"/>
      <c r="P1927" s="581"/>
      <c r="Q1927" s="581"/>
      <c r="R1927" s="653"/>
    </row>
    <row r="1928" spans="1:18" ht="36" hidden="1">
      <c r="A1928" s="647">
        <v>4389</v>
      </c>
      <c r="B1928" s="651" t="s">
        <v>738</v>
      </c>
      <c r="C1928" s="603"/>
      <c r="D1928" s="581">
        <f t="shared" si="233"/>
        <v>0</v>
      </c>
      <c r="E1928" s="581">
        <f t="shared" si="231"/>
        <v>0</v>
      </c>
      <c r="F1928" s="582" t="e">
        <f t="shared" si="227"/>
        <v>#DIV/0!</v>
      </c>
      <c r="G1928" s="586">
        <f>1300-1300</f>
        <v>0</v>
      </c>
      <c r="H1928" s="675"/>
      <c r="I1928" s="627"/>
      <c r="J1928" s="586"/>
      <c r="K1928" s="581"/>
      <c r="L1928" s="587"/>
      <c r="M1928" s="581"/>
      <c r="N1928" s="581"/>
      <c r="O1928" s="649"/>
      <c r="P1928" s="581"/>
      <c r="Q1928" s="581"/>
      <c r="R1928" s="653"/>
    </row>
    <row r="1929" spans="1:26" s="639" customFormat="1" ht="17.25" customHeight="1">
      <c r="A1929" s="640">
        <v>92106</v>
      </c>
      <c r="B1929" s="742" t="s">
        <v>858</v>
      </c>
      <c r="C1929" s="608">
        <f>C1930+SUM(C1939:C1941)</f>
        <v>4375880</v>
      </c>
      <c r="D1929" s="595">
        <f t="shared" si="233"/>
        <v>4375880</v>
      </c>
      <c r="E1929" s="595">
        <f>H1929+K1929+Q1929+N1929</f>
        <v>647748</v>
      </c>
      <c r="F1929" s="609">
        <f t="shared" si="227"/>
        <v>14.802691115844127</v>
      </c>
      <c r="G1929" s="595"/>
      <c r="H1929" s="595"/>
      <c r="I1929" s="624"/>
      <c r="J1929" s="600"/>
      <c r="K1929" s="595"/>
      <c r="L1929" s="601"/>
      <c r="M1929" s="595">
        <f>SUM(M1930)+M1941+M1940+M1939+M1943+M1942</f>
        <v>4375880</v>
      </c>
      <c r="N1929" s="595">
        <f>SUM(N1930)+N1941+N1940+N1939+N1943+N1942</f>
        <v>647748</v>
      </c>
      <c r="O1929" s="819">
        <f aca="true" t="shared" si="234" ref="O1929:O1954">N1929/M1929*100</f>
        <v>14.802691115844127</v>
      </c>
      <c r="P1929" s="595">
        <f>P1930+P1943</f>
        <v>0</v>
      </c>
      <c r="Q1929" s="595">
        <f>Q1930+Q1943</f>
        <v>0</v>
      </c>
      <c r="R1929" s="931"/>
      <c r="S1929" s="564"/>
      <c r="T1929" s="564"/>
      <c r="U1929" s="564"/>
      <c r="V1929" s="564"/>
      <c r="W1929" s="565"/>
      <c r="X1929" s="565"/>
      <c r="Y1929" s="565"/>
      <c r="Z1929" s="565"/>
    </row>
    <row r="1930" spans="1:18" ht="39" customHeight="1">
      <c r="A1930" s="667">
        <v>2480</v>
      </c>
      <c r="B1930" s="668" t="s">
        <v>859</v>
      </c>
      <c r="C1930" s="606">
        <f>SUM(C1931:C1938)</f>
        <v>2591000</v>
      </c>
      <c r="D1930" s="615">
        <f t="shared" si="233"/>
        <v>2591000</v>
      </c>
      <c r="E1930" s="615">
        <f aca="true" t="shared" si="235" ref="E1930:E1941">SUM(H1930+K1930+N1930+Q1930)</f>
        <v>647748</v>
      </c>
      <c r="F1930" s="604">
        <f t="shared" si="227"/>
        <v>24.999922809725973</v>
      </c>
      <c r="G1930" s="615"/>
      <c r="H1930" s="618"/>
      <c r="I1930" s="669"/>
      <c r="J1930" s="618"/>
      <c r="K1930" s="615"/>
      <c r="L1930" s="619"/>
      <c r="M1930" s="606">
        <f>SUM(M1931:M1938)</f>
        <v>2591000</v>
      </c>
      <c r="N1930" s="615">
        <f>SUM(N1931:N1938)</f>
        <v>647748</v>
      </c>
      <c r="O1930" s="669">
        <f t="shared" si="234"/>
        <v>24.999922809725973</v>
      </c>
      <c r="P1930" s="615"/>
      <c r="Q1930" s="615"/>
      <c r="R1930" s="671"/>
    </row>
    <row r="1931" spans="1:26" s="702" customFormat="1" ht="12.75">
      <c r="A1931" s="694"/>
      <c r="B1931" s="695" t="s">
        <v>860</v>
      </c>
      <c r="C1931" s="699">
        <v>2591000</v>
      </c>
      <c r="D1931" s="697">
        <f t="shared" si="233"/>
        <v>2591000</v>
      </c>
      <c r="E1931" s="697">
        <f t="shared" si="235"/>
        <v>647748</v>
      </c>
      <c r="F1931" s="582">
        <f t="shared" si="227"/>
        <v>24.999922809725973</v>
      </c>
      <c r="G1931" s="697"/>
      <c r="H1931" s="698"/>
      <c r="I1931" s="627"/>
      <c r="J1931" s="698"/>
      <c r="K1931" s="697"/>
      <c r="L1931" s="587"/>
      <c r="M1931" s="699">
        <v>2591000</v>
      </c>
      <c r="N1931" s="697">
        <f>431832+115916+100000</f>
        <v>647748</v>
      </c>
      <c r="O1931" s="627">
        <f t="shared" si="234"/>
        <v>24.999922809725973</v>
      </c>
      <c r="P1931" s="697"/>
      <c r="Q1931" s="697"/>
      <c r="R1931" s="715"/>
      <c r="S1931" s="700"/>
      <c r="T1931" s="700"/>
      <c r="U1931" s="700"/>
      <c r="V1931" s="700"/>
      <c r="W1931" s="701"/>
      <c r="X1931" s="701"/>
      <c r="Y1931" s="701"/>
      <c r="Z1931" s="701"/>
    </row>
    <row r="1932" spans="1:26" s="702" customFormat="1" ht="12.75" hidden="1">
      <c r="A1932" s="694"/>
      <c r="B1932" s="695" t="s">
        <v>301</v>
      </c>
      <c r="C1932" s="699"/>
      <c r="D1932" s="697">
        <f t="shared" si="233"/>
        <v>0</v>
      </c>
      <c r="E1932" s="697">
        <f t="shared" si="235"/>
        <v>0</v>
      </c>
      <c r="F1932" s="582" t="e">
        <f t="shared" si="227"/>
        <v>#DIV/0!</v>
      </c>
      <c r="G1932" s="697"/>
      <c r="H1932" s="698"/>
      <c r="I1932" s="627"/>
      <c r="J1932" s="698"/>
      <c r="K1932" s="697"/>
      <c r="L1932" s="587"/>
      <c r="M1932" s="699"/>
      <c r="N1932" s="697"/>
      <c r="O1932" s="627" t="e">
        <f t="shared" si="234"/>
        <v>#DIV/0!</v>
      </c>
      <c r="P1932" s="697"/>
      <c r="Q1932" s="697"/>
      <c r="R1932" s="715"/>
      <c r="S1932" s="700"/>
      <c r="T1932" s="700"/>
      <c r="U1932" s="700"/>
      <c r="V1932" s="700"/>
      <c r="W1932" s="701"/>
      <c r="X1932" s="701"/>
      <c r="Y1932" s="701"/>
      <c r="Z1932" s="701"/>
    </row>
    <row r="1933" spans="1:26" s="702" customFormat="1" ht="12.75" hidden="1">
      <c r="A1933" s="694" t="s">
        <v>302</v>
      </c>
      <c r="B1933" s="695" t="s">
        <v>303</v>
      </c>
      <c r="C1933" s="699"/>
      <c r="D1933" s="697">
        <f>G1933+J1933+P1933+M1933</f>
        <v>0</v>
      </c>
      <c r="E1933" s="697">
        <f>SUM(H1933+K1933+N1933+Q1933)</f>
        <v>0</v>
      </c>
      <c r="F1933" s="582" t="e">
        <f t="shared" si="227"/>
        <v>#DIV/0!</v>
      </c>
      <c r="G1933" s="697"/>
      <c r="H1933" s="698"/>
      <c r="I1933" s="627"/>
      <c r="J1933" s="698"/>
      <c r="K1933" s="697"/>
      <c r="L1933" s="587"/>
      <c r="M1933" s="699"/>
      <c r="N1933" s="697"/>
      <c r="O1933" s="627" t="e">
        <f t="shared" si="234"/>
        <v>#DIV/0!</v>
      </c>
      <c r="P1933" s="697"/>
      <c r="Q1933" s="697"/>
      <c r="R1933" s="715"/>
      <c r="S1933" s="700"/>
      <c r="T1933" s="700"/>
      <c r="U1933" s="700"/>
      <c r="V1933" s="700"/>
      <c r="W1933" s="701"/>
      <c r="X1933" s="701"/>
      <c r="Y1933" s="701"/>
      <c r="Z1933" s="701"/>
    </row>
    <row r="1934" spans="1:26" s="702" customFormat="1" ht="27" customHeight="1" hidden="1" thickBot="1">
      <c r="A1934" s="694"/>
      <c r="B1934" s="695" t="s">
        <v>304</v>
      </c>
      <c r="C1934" s="699"/>
      <c r="D1934" s="697">
        <f>G1934+J1934+P1934+M1934</f>
        <v>0</v>
      </c>
      <c r="E1934" s="697">
        <f>SUM(H1934+K1934+N1934+Q1934)</f>
        <v>0</v>
      </c>
      <c r="F1934" s="582" t="e">
        <f t="shared" si="227"/>
        <v>#DIV/0!</v>
      </c>
      <c r="G1934" s="697"/>
      <c r="H1934" s="698"/>
      <c r="I1934" s="627"/>
      <c r="J1934" s="698"/>
      <c r="K1934" s="697"/>
      <c r="L1934" s="587"/>
      <c r="M1934" s="699"/>
      <c r="N1934" s="697"/>
      <c r="O1934" s="627" t="e">
        <f t="shared" si="234"/>
        <v>#DIV/0!</v>
      </c>
      <c r="P1934" s="697"/>
      <c r="Q1934" s="697"/>
      <c r="R1934" s="715"/>
      <c r="S1934" s="700"/>
      <c r="T1934" s="700"/>
      <c r="U1934" s="700"/>
      <c r="V1934" s="700"/>
      <c r="W1934" s="701"/>
      <c r="X1934" s="701"/>
      <c r="Y1934" s="701"/>
      <c r="Z1934" s="701"/>
    </row>
    <row r="1935" spans="1:26" s="702" customFormat="1" ht="36" hidden="1">
      <c r="A1935" s="694"/>
      <c r="B1935" s="695" t="s">
        <v>862</v>
      </c>
      <c r="C1935" s="699"/>
      <c r="D1935" s="697">
        <f t="shared" si="233"/>
        <v>0</v>
      </c>
      <c r="E1935" s="697">
        <f t="shared" si="235"/>
        <v>0</v>
      </c>
      <c r="F1935" s="582"/>
      <c r="G1935" s="697"/>
      <c r="H1935" s="698"/>
      <c r="I1935" s="627"/>
      <c r="J1935" s="698"/>
      <c r="K1935" s="697"/>
      <c r="L1935" s="587"/>
      <c r="M1935" s="699"/>
      <c r="N1935" s="697"/>
      <c r="O1935" s="627"/>
      <c r="P1935" s="697"/>
      <c r="Q1935" s="697"/>
      <c r="R1935" s="715"/>
      <c r="S1935" s="700"/>
      <c r="T1935" s="700"/>
      <c r="U1935" s="700"/>
      <c r="V1935" s="700"/>
      <c r="W1935" s="701"/>
      <c r="X1935" s="701"/>
      <c r="Y1935" s="701"/>
      <c r="Z1935" s="701"/>
    </row>
    <row r="1936" spans="1:26" s="702" customFormat="1" ht="36" hidden="1">
      <c r="A1936" s="694"/>
      <c r="B1936" s="695" t="s">
        <v>863</v>
      </c>
      <c r="C1936" s="699"/>
      <c r="D1936" s="697">
        <f t="shared" si="233"/>
        <v>0</v>
      </c>
      <c r="E1936" s="697">
        <f t="shared" si="235"/>
        <v>0</v>
      </c>
      <c r="F1936" s="582" t="e">
        <f t="shared" si="227"/>
        <v>#DIV/0!</v>
      </c>
      <c r="G1936" s="697"/>
      <c r="H1936" s="698"/>
      <c r="I1936" s="627"/>
      <c r="J1936" s="698"/>
      <c r="K1936" s="697"/>
      <c r="L1936" s="587"/>
      <c r="M1936" s="699"/>
      <c r="N1936" s="697"/>
      <c r="O1936" s="627" t="e">
        <f t="shared" si="234"/>
        <v>#DIV/0!</v>
      </c>
      <c r="P1936" s="697"/>
      <c r="Q1936" s="697"/>
      <c r="R1936" s="715"/>
      <c r="S1936" s="700"/>
      <c r="T1936" s="700"/>
      <c r="U1936" s="700"/>
      <c r="V1936" s="700"/>
      <c r="W1936" s="701"/>
      <c r="X1936" s="701"/>
      <c r="Y1936" s="701"/>
      <c r="Z1936" s="701"/>
    </row>
    <row r="1937" spans="1:26" s="702" customFormat="1" ht="12.75" hidden="1">
      <c r="A1937" s="694"/>
      <c r="B1937" s="695" t="s">
        <v>864</v>
      </c>
      <c r="C1937" s="699"/>
      <c r="D1937" s="697">
        <f t="shared" si="233"/>
        <v>0</v>
      </c>
      <c r="E1937" s="697">
        <f t="shared" si="235"/>
        <v>0</v>
      </c>
      <c r="F1937" s="582" t="e">
        <f t="shared" si="227"/>
        <v>#DIV/0!</v>
      </c>
      <c r="G1937" s="697"/>
      <c r="H1937" s="698"/>
      <c r="I1937" s="627"/>
      <c r="J1937" s="698"/>
      <c r="K1937" s="697"/>
      <c r="L1937" s="587"/>
      <c r="M1937" s="699"/>
      <c r="N1937" s="697"/>
      <c r="O1937" s="627" t="e">
        <f t="shared" si="234"/>
        <v>#DIV/0!</v>
      </c>
      <c r="P1937" s="697"/>
      <c r="Q1937" s="697"/>
      <c r="R1937" s="715"/>
      <c r="S1937" s="700"/>
      <c r="T1937" s="700"/>
      <c r="U1937" s="700"/>
      <c r="V1937" s="700"/>
      <c r="W1937" s="701"/>
      <c r="X1937" s="701"/>
      <c r="Y1937" s="701"/>
      <c r="Z1937" s="701"/>
    </row>
    <row r="1938" spans="1:26" s="702" customFormat="1" ht="36" hidden="1">
      <c r="A1938" s="694"/>
      <c r="B1938" s="695" t="s">
        <v>865</v>
      </c>
      <c r="C1938" s="699"/>
      <c r="D1938" s="697">
        <f t="shared" si="233"/>
        <v>0</v>
      </c>
      <c r="E1938" s="697">
        <f t="shared" si="235"/>
        <v>0</v>
      </c>
      <c r="F1938" s="582" t="e">
        <f t="shared" si="227"/>
        <v>#DIV/0!</v>
      </c>
      <c r="G1938" s="697"/>
      <c r="H1938" s="698"/>
      <c r="I1938" s="627"/>
      <c r="J1938" s="698"/>
      <c r="K1938" s="697"/>
      <c r="L1938" s="587"/>
      <c r="M1938" s="699"/>
      <c r="N1938" s="697"/>
      <c r="O1938" s="627" t="e">
        <f t="shared" si="234"/>
        <v>#DIV/0!</v>
      </c>
      <c r="P1938" s="697"/>
      <c r="Q1938" s="697"/>
      <c r="R1938" s="715"/>
      <c r="S1938" s="700"/>
      <c r="T1938" s="700"/>
      <c r="U1938" s="700"/>
      <c r="V1938" s="700"/>
      <c r="W1938" s="701"/>
      <c r="X1938" s="701"/>
      <c r="Y1938" s="701"/>
      <c r="Z1938" s="701"/>
    </row>
    <row r="1939" spans="1:18" ht="38.25" customHeight="1">
      <c r="A1939" s="647">
        <v>6050</v>
      </c>
      <c r="B1939" s="651" t="s">
        <v>3</v>
      </c>
      <c r="C1939" s="603">
        <v>1000000</v>
      </c>
      <c r="D1939" s="581">
        <f>G1939+J1939+P1939+M1939</f>
        <v>1000000</v>
      </c>
      <c r="E1939" s="581">
        <f>SUM(H1939+K1939+N1939+Q1939)</f>
        <v>0</v>
      </c>
      <c r="F1939" s="761">
        <f>E1939/D1939*100</f>
        <v>0</v>
      </c>
      <c r="G1939" s="581"/>
      <c r="H1939" s="586"/>
      <c r="I1939" s="863"/>
      <c r="J1939" s="586"/>
      <c r="K1939" s="581"/>
      <c r="L1939" s="587"/>
      <c r="M1939" s="603">
        <v>1000000</v>
      </c>
      <c r="N1939" s="581"/>
      <c r="O1939" s="627">
        <f t="shared" si="234"/>
        <v>0</v>
      </c>
      <c r="P1939" s="581"/>
      <c r="Q1939" s="581"/>
      <c r="R1939" s="653"/>
    </row>
    <row r="1940" spans="1:18" ht="59.25" customHeight="1">
      <c r="A1940" s="647">
        <v>6060</v>
      </c>
      <c r="B1940" s="651" t="s">
        <v>4</v>
      </c>
      <c r="C1940" s="603">
        <v>784880</v>
      </c>
      <c r="D1940" s="581">
        <f>G1940+J1940+P1940+M1940</f>
        <v>784880</v>
      </c>
      <c r="E1940" s="581">
        <f>SUM(H1940+K1940+N1940+Q1940)</f>
        <v>0</v>
      </c>
      <c r="F1940" s="761">
        <f>E1940/D1940*100</f>
        <v>0</v>
      </c>
      <c r="G1940" s="581"/>
      <c r="H1940" s="586"/>
      <c r="I1940" s="863"/>
      <c r="J1940" s="586"/>
      <c r="K1940" s="581"/>
      <c r="L1940" s="587"/>
      <c r="M1940" s="603">
        <v>784880</v>
      </c>
      <c r="N1940" s="581"/>
      <c r="O1940" s="627">
        <f t="shared" si="234"/>
        <v>0</v>
      </c>
      <c r="P1940" s="581"/>
      <c r="Q1940" s="581"/>
      <c r="R1940" s="653"/>
    </row>
    <row r="1941" spans="1:18" ht="36" hidden="1">
      <c r="A1941" s="647">
        <v>6059</v>
      </c>
      <c r="B1941" s="651" t="s">
        <v>225</v>
      </c>
      <c r="C1941" s="603"/>
      <c r="D1941" s="581">
        <f t="shared" si="233"/>
        <v>0</v>
      </c>
      <c r="E1941" s="581">
        <f t="shared" si="235"/>
        <v>0</v>
      </c>
      <c r="F1941" s="582" t="e">
        <f aca="true" t="shared" si="236" ref="F1941:F1956">E1941/D1941*100</f>
        <v>#DIV/0!</v>
      </c>
      <c r="G1941" s="581"/>
      <c r="H1941" s="586"/>
      <c r="I1941" s="627"/>
      <c r="J1941" s="586"/>
      <c r="K1941" s="581"/>
      <c r="L1941" s="587"/>
      <c r="M1941" s="603"/>
      <c r="N1941" s="581"/>
      <c r="O1941" s="627" t="e">
        <f t="shared" si="234"/>
        <v>#DIV/0!</v>
      </c>
      <c r="P1941" s="581"/>
      <c r="Q1941" s="581"/>
      <c r="R1941" s="653"/>
    </row>
    <row r="1942" spans="1:18" ht="24" hidden="1">
      <c r="A1942" s="647">
        <v>4270</v>
      </c>
      <c r="B1942" s="651" t="s">
        <v>197</v>
      </c>
      <c r="C1942" s="603"/>
      <c r="D1942" s="581">
        <f>G1942+J1942+P1942+M1942</f>
        <v>0</v>
      </c>
      <c r="E1942" s="581">
        <f>SUM(H1942+K1942+N1942+Q1942)</f>
        <v>0</v>
      </c>
      <c r="F1942" s="582" t="e">
        <f>E1942/D1942*100</f>
        <v>#DIV/0!</v>
      </c>
      <c r="G1942" s="581"/>
      <c r="H1942" s="586"/>
      <c r="I1942" s="627"/>
      <c r="J1942" s="586"/>
      <c r="K1942" s="581"/>
      <c r="L1942" s="587"/>
      <c r="M1942" s="586"/>
      <c r="N1942" s="581"/>
      <c r="O1942" s="627" t="e">
        <f t="shared" si="234"/>
        <v>#DIV/0!</v>
      </c>
      <c r="P1942" s="581"/>
      <c r="Q1942" s="581"/>
      <c r="R1942" s="653"/>
    </row>
    <row r="1943" spans="1:18" ht="108" hidden="1">
      <c r="A1943" s="647">
        <v>6220</v>
      </c>
      <c r="B1943" s="651" t="s">
        <v>765</v>
      </c>
      <c r="C1943" s="603"/>
      <c r="D1943" s="581">
        <f>G1943+J1943+P1943+M1943</f>
        <v>0</v>
      </c>
      <c r="E1943" s="581">
        <f>SUM(H1943+K1943+N1943+Q1943)</f>
        <v>0</v>
      </c>
      <c r="F1943" s="582" t="e">
        <f>E1943/D1943*100</f>
        <v>#DIV/0!</v>
      </c>
      <c r="G1943" s="581"/>
      <c r="H1943" s="586"/>
      <c r="I1943" s="627"/>
      <c r="J1943" s="586"/>
      <c r="K1943" s="581"/>
      <c r="L1943" s="587"/>
      <c r="M1943" s="586">
        <f>SUM(M1944)</f>
        <v>0</v>
      </c>
      <c r="N1943" s="581">
        <f>SUM(N1944)</f>
        <v>0</v>
      </c>
      <c r="O1943" s="627" t="e">
        <f t="shared" si="234"/>
        <v>#DIV/0!</v>
      </c>
      <c r="P1943" s="581">
        <f>SUM(P1944)</f>
        <v>0</v>
      </c>
      <c r="Q1943" s="581">
        <f>SUM(Q1944)</f>
        <v>0</v>
      </c>
      <c r="R1943" s="897" t="e">
        <f>Q1943/P1943*100</f>
        <v>#DIV/0!</v>
      </c>
    </row>
    <row r="1944" spans="1:26" s="702" customFormat="1" ht="60" hidden="1">
      <c r="A1944" s="704" t="s">
        <v>302</v>
      </c>
      <c r="B1944" s="705" t="s">
        <v>5</v>
      </c>
      <c r="C1944" s="709"/>
      <c r="D1944" s="697">
        <f>G1944+J1944+P1944+M1944</f>
        <v>0</v>
      </c>
      <c r="E1944" s="697">
        <f>SUM(H1944+K1944+N1944+Q1944)</f>
        <v>0</v>
      </c>
      <c r="F1944" s="582" t="e">
        <f>E1944/D1944*100</f>
        <v>#DIV/0!</v>
      </c>
      <c r="G1944" s="707"/>
      <c r="H1944" s="708"/>
      <c r="I1944" s="644"/>
      <c r="J1944" s="708"/>
      <c r="K1944" s="707"/>
      <c r="L1944" s="677"/>
      <c r="M1944" s="708"/>
      <c r="N1944" s="707"/>
      <c r="O1944" s="627" t="e">
        <f t="shared" si="234"/>
        <v>#DIV/0!</v>
      </c>
      <c r="P1944" s="707"/>
      <c r="Q1944" s="707"/>
      <c r="R1944" s="900" t="e">
        <f>Q1944/P1944*100</f>
        <v>#DIV/0!</v>
      </c>
      <c r="S1944" s="700"/>
      <c r="T1944" s="700"/>
      <c r="U1944" s="700"/>
      <c r="V1944" s="700"/>
      <c r="W1944" s="701"/>
      <c r="X1944" s="701"/>
      <c r="Y1944" s="701"/>
      <c r="Z1944" s="701"/>
    </row>
    <row r="1945" spans="1:18" ht="22.5" customHeight="1">
      <c r="A1945" s="640">
        <v>92108</v>
      </c>
      <c r="B1945" s="742" t="s">
        <v>866</v>
      </c>
      <c r="C1945" s="608">
        <f>SUM(C1946:C1946)+C1953</f>
        <v>5950600</v>
      </c>
      <c r="D1945" s="595">
        <f t="shared" si="233"/>
        <v>5950600</v>
      </c>
      <c r="E1945" s="595">
        <f>H1945+K1945+Q1945+N1945</f>
        <v>2066919</v>
      </c>
      <c r="F1945" s="596">
        <f t="shared" si="236"/>
        <v>34.73463180183511</v>
      </c>
      <c r="G1945" s="595"/>
      <c r="H1945" s="600"/>
      <c r="I1945" s="602"/>
      <c r="J1945" s="600">
        <f>J1946+J1952+J1953</f>
        <v>0</v>
      </c>
      <c r="K1945" s="600">
        <f>K1946+K1952+K1953</f>
        <v>0</v>
      </c>
      <c r="L1945" s="625"/>
      <c r="M1945" s="595">
        <f>SUM(M1946)+M1953+M1954</f>
        <v>5950600</v>
      </c>
      <c r="N1945" s="595">
        <f>SUM(N1946)+N1953+N1954</f>
        <v>2066919</v>
      </c>
      <c r="O1945" s="624">
        <f t="shared" si="234"/>
        <v>34.73463180183511</v>
      </c>
      <c r="P1945" s="595"/>
      <c r="Q1945" s="595"/>
      <c r="R1945" s="731"/>
    </row>
    <row r="1946" spans="1:18" ht="38.25" customHeight="1">
      <c r="A1946" s="667">
        <v>2480</v>
      </c>
      <c r="B1946" s="668" t="s">
        <v>867</v>
      </c>
      <c r="C1946" s="606">
        <f>SUM(C1947:C1951)</f>
        <v>3450600</v>
      </c>
      <c r="D1946" s="615">
        <f t="shared" si="233"/>
        <v>3450600</v>
      </c>
      <c r="E1946" s="615">
        <f aca="true" t="shared" si="237" ref="E1946:E1953">SUM(H1946+K1946+N1946+Q1946)</f>
        <v>815898</v>
      </c>
      <c r="F1946" s="604">
        <f t="shared" si="236"/>
        <v>23.64510519909581</v>
      </c>
      <c r="G1946" s="615"/>
      <c r="H1946" s="618"/>
      <c r="I1946" s="590"/>
      <c r="J1946" s="618"/>
      <c r="K1946" s="615"/>
      <c r="L1946" s="941"/>
      <c r="M1946" s="606">
        <f>SUM(M1947:M1951)</f>
        <v>3450600</v>
      </c>
      <c r="N1946" s="615">
        <f>SUM(N1947:N1951)</f>
        <v>815898</v>
      </c>
      <c r="O1946" s="669">
        <f t="shared" si="234"/>
        <v>23.64510519909581</v>
      </c>
      <c r="P1946" s="615"/>
      <c r="Q1946" s="615"/>
      <c r="R1946" s="671"/>
    </row>
    <row r="1947" spans="1:26" s="702" customFormat="1" ht="12.75">
      <c r="A1947" s="694"/>
      <c r="B1947" s="695" t="s">
        <v>860</v>
      </c>
      <c r="C1947" s="699">
        <v>3263600</v>
      </c>
      <c r="D1947" s="697">
        <f t="shared" si="233"/>
        <v>3263600</v>
      </c>
      <c r="E1947" s="697">
        <f t="shared" si="237"/>
        <v>815898</v>
      </c>
      <c r="F1947" s="582">
        <f t="shared" si="236"/>
        <v>24.999938717980143</v>
      </c>
      <c r="G1947" s="697"/>
      <c r="H1947" s="698"/>
      <c r="I1947" s="585"/>
      <c r="J1947" s="698"/>
      <c r="K1947" s="697"/>
      <c r="L1947" s="628"/>
      <c r="M1947" s="699">
        <v>3263600</v>
      </c>
      <c r="N1947" s="697">
        <f>271966+271966+100000+171966</f>
        <v>815898</v>
      </c>
      <c r="O1947" s="627">
        <f t="shared" si="234"/>
        <v>24.999938717980143</v>
      </c>
      <c r="P1947" s="697"/>
      <c r="Q1947" s="697"/>
      <c r="R1947" s="715"/>
      <c r="S1947" s="700"/>
      <c r="T1947" s="700"/>
      <c r="U1947" s="700"/>
      <c r="V1947" s="700"/>
      <c r="W1947" s="701"/>
      <c r="X1947" s="701"/>
      <c r="Y1947" s="701"/>
      <c r="Z1947" s="701"/>
    </row>
    <row r="1948" spans="1:26" s="702" customFormat="1" ht="12.75">
      <c r="A1948" s="694"/>
      <c r="B1948" s="695" t="s">
        <v>305</v>
      </c>
      <c r="C1948" s="699">
        <v>60000</v>
      </c>
      <c r="D1948" s="697">
        <f t="shared" si="233"/>
        <v>60000</v>
      </c>
      <c r="E1948" s="697">
        <f t="shared" si="237"/>
        <v>0</v>
      </c>
      <c r="F1948" s="582">
        <f t="shared" si="236"/>
        <v>0</v>
      </c>
      <c r="G1948" s="697"/>
      <c r="H1948" s="698"/>
      <c r="I1948" s="585"/>
      <c r="J1948" s="698"/>
      <c r="K1948" s="697"/>
      <c r="L1948" s="628"/>
      <c r="M1948" s="699">
        <v>60000</v>
      </c>
      <c r="N1948" s="697"/>
      <c r="O1948" s="627">
        <f t="shared" si="234"/>
        <v>0</v>
      </c>
      <c r="P1948" s="697"/>
      <c r="Q1948" s="697"/>
      <c r="R1948" s="715"/>
      <c r="S1948" s="700"/>
      <c r="T1948" s="700"/>
      <c r="U1948" s="700"/>
      <c r="V1948" s="700"/>
      <c r="W1948" s="701"/>
      <c r="X1948" s="701"/>
      <c r="Y1948" s="701"/>
      <c r="Z1948" s="701"/>
    </row>
    <row r="1949" spans="1:26" s="702" customFormat="1" ht="36" hidden="1">
      <c r="A1949" s="694" t="s">
        <v>302</v>
      </c>
      <c r="B1949" s="695" t="s">
        <v>6</v>
      </c>
      <c r="C1949" s="699"/>
      <c r="D1949" s="697">
        <f t="shared" si="233"/>
        <v>0</v>
      </c>
      <c r="E1949" s="697">
        <f t="shared" si="237"/>
        <v>0</v>
      </c>
      <c r="F1949" s="582" t="e">
        <f t="shared" si="236"/>
        <v>#DIV/0!</v>
      </c>
      <c r="G1949" s="697"/>
      <c r="H1949" s="698"/>
      <c r="I1949" s="585"/>
      <c r="J1949" s="698"/>
      <c r="K1949" s="697"/>
      <c r="L1949" s="628"/>
      <c r="M1949" s="699"/>
      <c r="N1949" s="697"/>
      <c r="O1949" s="627" t="e">
        <f t="shared" si="234"/>
        <v>#DIV/0!</v>
      </c>
      <c r="P1949" s="697"/>
      <c r="Q1949" s="697"/>
      <c r="R1949" s="715"/>
      <c r="S1949" s="700"/>
      <c r="T1949" s="700"/>
      <c r="U1949" s="700"/>
      <c r="V1949" s="700"/>
      <c r="W1949" s="701"/>
      <c r="X1949" s="701"/>
      <c r="Y1949" s="701"/>
      <c r="Z1949" s="701"/>
    </row>
    <row r="1950" spans="1:26" s="702" customFormat="1" ht="24">
      <c r="A1950" s="694"/>
      <c r="B1950" s="695" t="s">
        <v>868</v>
      </c>
      <c r="C1950" s="699">
        <v>72000</v>
      </c>
      <c r="D1950" s="697">
        <f t="shared" si="233"/>
        <v>72000</v>
      </c>
      <c r="E1950" s="697">
        <f t="shared" si="237"/>
        <v>0</v>
      </c>
      <c r="F1950" s="582">
        <f t="shared" si="236"/>
        <v>0</v>
      </c>
      <c r="G1950" s="697"/>
      <c r="H1950" s="698"/>
      <c r="I1950" s="585"/>
      <c r="J1950" s="698"/>
      <c r="K1950" s="697"/>
      <c r="L1950" s="628"/>
      <c r="M1950" s="699">
        <v>72000</v>
      </c>
      <c r="N1950" s="697"/>
      <c r="O1950" s="627">
        <f t="shared" si="234"/>
        <v>0</v>
      </c>
      <c r="P1950" s="697"/>
      <c r="Q1950" s="697"/>
      <c r="R1950" s="715"/>
      <c r="S1950" s="700"/>
      <c r="T1950" s="700"/>
      <c r="U1950" s="700"/>
      <c r="V1950" s="700"/>
      <c r="W1950" s="701"/>
      <c r="X1950" s="701"/>
      <c r="Y1950" s="701"/>
      <c r="Z1950" s="701"/>
    </row>
    <row r="1951" spans="1:26" s="702" customFormat="1" ht="24">
      <c r="A1951" s="694"/>
      <c r="B1951" s="695" t="s">
        <v>869</v>
      </c>
      <c r="C1951" s="699">
        <v>55000</v>
      </c>
      <c r="D1951" s="697">
        <f t="shared" si="233"/>
        <v>55000</v>
      </c>
      <c r="E1951" s="697">
        <f t="shared" si="237"/>
        <v>0</v>
      </c>
      <c r="F1951" s="582">
        <f t="shared" si="236"/>
        <v>0</v>
      </c>
      <c r="G1951" s="697"/>
      <c r="H1951" s="698"/>
      <c r="I1951" s="585"/>
      <c r="J1951" s="698"/>
      <c r="K1951" s="697"/>
      <c r="L1951" s="628"/>
      <c r="M1951" s="699">
        <v>55000</v>
      </c>
      <c r="N1951" s="697"/>
      <c r="O1951" s="627">
        <f t="shared" si="234"/>
        <v>0</v>
      </c>
      <c r="P1951" s="697"/>
      <c r="Q1951" s="697"/>
      <c r="R1951" s="715"/>
      <c r="S1951" s="700"/>
      <c r="T1951" s="700"/>
      <c r="U1951" s="700"/>
      <c r="V1951" s="700"/>
      <c r="W1951" s="701"/>
      <c r="X1951" s="701"/>
      <c r="Y1951" s="701"/>
      <c r="Z1951" s="701"/>
    </row>
    <row r="1952" spans="1:18" ht="26.25" customHeight="1" hidden="1" thickBot="1">
      <c r="A1952" s="647">
        <v>4210</v>
      </c>
      <c r="B1952" s="651" t="s">
        <v>7</v>
      </c>
      <c r="C1952" s="586"/>
      <c r="D1952" s="581">
        <f t="shared" si="233"/>
        <v>0</v>
      </c>
      <c r="E1952" s="581">
        <f t="shared" si="237"/>
        <v>0</v>
      </c>
      <c r="F1952" s="582" t="e">
        <f t="shared" si="236"/>
        <v>#DIV/0!</v>
      </c>
      <c r="G1952" s="581"/>
      <c r="H1952" s="586"/>
      <c r="I1952" s="585"/>
      <c r="J1952" s="586"/>
      <c r="K1952" s="581"/>
      <c r="L1952" s="628"/>
      <c r="M1952" s="586"/>
      <c r="N1952" s="581"/>
      <c r="O1952" s="627"/>
      <c r="P1952" s="581"/>
      <c r="Q1952" s="581"/>
      <c r="R1952" s="653"/>
    </row>
    <row r="1953" spans="1:18" ht="36" customHeight="1">
      <c r="A1953" s="647">
        <v>6050</v>
      </c>
      <c r="B1953" s="651" t="s">
        <v>8</v>
      </c>
      <c r="C1953" s="603">
        <v>2500000</v>
      </c>
      <c r="D1953" s="581">
        <f t="shared" si="233"/>
        <v>2500000</v>
      </c>
      <c r="E1953" s="581">
        <f t="shared" si="237"/>
        <v>1251021</v>
      </c>
      <c r="F1953" s="582">
        <f t="shared" si="236"/>
        <v>50.040839999999996</v>
      </c>
      <c r="G1953" s="603"/>
      <c r="H1953" s="586"/>
      <c r="I1953" s="585"/>
      <c r="J1953" s="586"/>
      <c r="K1953" s="581"/>
      <c r="L1953" s="587"/>
      <c r="M1953" s="586">
        <v>2500000</v>
      </c>
      <c r="N1953" s="581">
        <v>1251021</v>
      </c>
      <c r="O1953" s="627">
        <f t="shared" si="234"/>
        <v>50.040839999999996</v>
      </c>
      <c r="P1953" s="581"/>
      <c r="Q1953" s="581"/>
      <c r="R1953" s="653"/>
    </row>
    <row r="1954" spans="1:18" ht="94.5" customHeight="1" hidden="1" thickBot="1" thickTop="1">
      <c r="A1954" s="647">
        <v>6220</v>
      </c>
      <c r="B1954" s="687" t="s">
        <v>9</v>
      </c>
      <c r="C1954" s="674"/>
      <c r="D1954" s="581">
        <f t="shared" si="233"/>
        <v>0</v>
      </c>
      <c r="E1954" s="581">
        <f>SUM(H1954+K1954+N1954+Q1954)</f>
        <v>0</v>
      </c>
      <c r="F1954" s="582" t="e">
        <f t="shared" si="236"/>
        <v>#DIV/0!</v>
      </c>
      <c r="G1954" s="674"/>
      <c r="H1954" s="676"/>
      <c r="I1954" s="679"/>
      <c r="J1954" s="676"/>
      <c r="K1954" s="675"/>
      <c r="L1954" s="677"/>
      <c r="M1954" s="676"/>
      <c r="N1954" s="675"/>
      <c r="O1954" s="644" t="e">
        <f t="shared" si="234"/>
        <v>#DIV/0!</v>
      </c>
      <c r="P1954" s="675"/>
      <c r="Q1954" s="675"/>
      <c r="R1954" s="680"/>
    </row>
    <row r="1955" spans="1:18" ht="28.5" customHeight="1">
      <c r="A1955" s="640">
        <v>92109</v>
      </c>
      <c r="B1955" s="742" t="s">
        <v>870</v>
      </c>
      <c r="C1955" s="608">
        <f>C1956</f>
        <v>3251000</v>
      </c>
      <c r="D1955" s="595">
        <f t="shared" si="233"/>
        <v>3266000</v>
      </c>
      <c r="E1955" s="595">
        <f>H1955+K1955+Q1955+N1955</f>
        <v>816937</v>
      </c>
      <c r="F1955" s="596">
        <f t="shared" si="236"/>
        <v>25.01338028169014</v>
      </c>
      <c r="G1955" s="595">
        <f>G1956</f>
        <v>3266000</v>
      </c>
      <c r="H1955" s="595">
        <f>H1956</f>
        <v>816937</v>
      </c>
      <c r="I1955" s="624">
        <f>H1955/G1955*100</f>
        <v>25.01338028169014</v>
      </c>
      <c r="J1955" s="600"/>
      <c r="K1955" s="595"/>
      <c r="L1955" s="601"/>
      <c r="M1955" s="595"/>
      <c r="N1955" s="595"/>
      <c r="O1955" s="602"/>
      <c r="P1955" s="595"/>
      <c r="Q1955" s="595"/>
      <c r="R1955" s="731"/>
    </row>
    <row r="1956" spans="1:26" s="702" customFormat="1" ht="19.5" customHeight="1">
      <c r="A1956" s="955"/>
      <c r="B1956" s="956" t="s">
        <v>10</v>
      </c>
      <c r="C1956" s="957">
        <f>SUM(C1957:C1970)+C1989+C1986+C1987</f>
        <v>3251000</v>
      </c>
      <c r="D1956" s="958">
        <f t="shared" si="233"/>
        <v>3266000</v>
      </c>
      <c r="E1956" s="958">
        <f>H1956+K1956+Q1956+N1956</f>
        <v>816937</v>
      </c>
      <c r="F1956" s="596">
        <f t="shared" si="236"/>
        <v>25.01338028169014</v>
      </c>
      <c r="G1956" s="958">
        <f>SUM(G1957:G1970)+G1986+G1987</f>
        <v>3266000</v>
      </c>
      <c r="H1956" s="958">
        <f>SUM(H1957:H1970)+H1986+H1987</f>
        <v>816937</v>
      </c>
      <c r="I1956" s="624">
        <f>H1956/G1956*100</f>
        <v>25.01338028169014</v>
      </c>
      <c r="J1956" s="959"/>
      <c r="K1956" s="958"/>
      <c r="L1956" s="601"/>
      <c r="M1956" s="958"/>
      <c r="N1956" s="958"/>
      <c r="O1956" s="602"/>
      <c r="P1956" s="958"/>
      <c r="Q1956" s="958"/>
      <c r="R1956" s="919"/>
      <c r="S1956" s="700"/>
      <c r="T1956" s="700"/>
      <c r="U1956" s="700"/>
      <c r="V1956" s="700"/>
      <c r="W1956" s="701"/>
      <c r="X1956" s="701"/>
      <c r="Y1956" s="701"/>
      <c r="Z1956" s="701"/>
    </row>
    <row r="1957" spans="1:18" ht="40.5" customHeight="1" hidden="1">
      <c r="A1957" s="647">
        <v>3020</v>
      </c>
      <c r="B1957" s="651" t="s">
        <v>680</v>
      </c>
      <c r="C1957" s="603"/>
      <c r="D1957" s="581">
        <f t="shared" si="233"/>
        <v>0</v>
      </c>
      <c r="E1957" s="581">
        <f>SUM(H1957+K1957+N1957+Q1957)</f>
        <v>0</v>
      </c>
      <c r="F1957" s="582"/>
      <c r="G1957" s="660"/>
      <c r="H1957" s="661"/>
      <c r="I1957" s="627"/>
      <c r="J1957" s="661"/>
      <c r="K1957" s="660"/>
      <c r="L1957" s="662"/>
      <c r="M1957" s="603"/>
      <c r="N1957" s="581"/>
      <c r="O1957" s="585"/>
      <c r="P1957" s="581"/>
      <c r="Q1957" s="581"/>
      <c r="R1957" s="653"/>
    </row>
    <row r="1958" spans="1:18" ht="24.75" customHeight="1" hidden="1">
      <c r="A1958" s="647">
        <v>4010</v>
      </c>
      <c r="B1958" s="651" t="s">
        <v>181</v>
      </c>
      <c r="C1958" s="603"/>
      <c r="D1958" s="581">
        <f t="shared" si="233"/>
        <v>0</v>
      </c>
      <c r="E1958" s="581">
        <f aca="true" t="shared" si="238" ref="E1958:E1964">SUM(H1958+K1958+N1958+Q1958)</f>
        <v>0</v>
      </c>
      <c r="F1958" s="582"/>
      <c r="G1958" s="660"/>
      <c r="H1958" s="661"/>
      <c r="I1958" s="627"/>
      <c r="J1958" s="661"/>
      <c r="K1958" s="660"/>
      <c r="L1958" s="662"/>
      <c r="M1958" s="603"/>
      <c r="N1958" s="581"/>
      <c r="O1958" s="585"/>
      <c r="P1958" s="581"/>
      <c r="Q1958" s="581"/>
      <c r="R1958" s="653"/>
    </row>
    <row r="1959" spans="1:18" ht="27" customHeight="1" hidden="1">
      <c r="A1959" s="647">
        <v>4040</v>
      </c>
      <c r="B1959" s="651" t="s">
        <v>185</v>
      </c>
      <c r="C1959" s="603"/>
      <c r="D1959" s="581">
        <f t="shared" si="233"/>
        <v>0</v>
      </c>
      <c r="E1959" s="581">
        <f t="shared" si="238"/>
        <v>0</v>
      </c>
      <c r="F1959" s="582"/>
      <c r="G1959" s="660"/>
      <c r="H1959" s="661"/>
      <c r="I1959" s="627"/>
      <c r="J1959" s="661"/>
      <c r="K1959" s="660"/>
      <c r="L1959" s="662"/>
      <c r="M1959" s="603"/>
      <c r="N1959" s="581"/>
      <c r="O1959" s="585"/>
      <c r="P1959" s="581"/>
      <c r="Q1959" s="581"/>
      <c r="R1959" s="653"/>
    </row>
    <row r="1960" spans="1:18" ht="27" customHeight="1" hidden="1">
      <c r="A1960" s="647">
        <v>4110</v>
      </c>
      <c r="B1960" s="651" t="s">
        <v>187</v>
      </c>
      <c r="C1960" s="603"/>
      <c r="D1960" s="581">
        <f t="shared" si="233"/>
        <v>0</v>
      </c>
      <c r="E1960" s="581">
        <f t="shared" si="238"/>
        <v>0</v>
      </c>
      <c r="F1960" s="582"/>
      <c r="G1960" s="660"/>
      <c r="H1960" s="661"/>
      <c r="I1960" s="627"/>
      <c r="J1960" s="661"/>
      <c r="K1960" s="660"/>
      <c r="L1960" s="662"/>
      <c r="M1960" s="603"/>
      <c r="N1960" s="581"/>
      <c r="O1960" s="585"/>
      <c r="P1960" s="581"/>
      <c r="Q1960" s="581"/>
      <c r="R1960" s="653"/>
    </row>
    <row r="1961" spans="1:18" ht="19.5" customHeight="1" hidden="1">
      <c r="A1961" s="647">
        <v>4120</v>
      </c>
      <c r="B1961" s="651" t="s">
        <v>619</v>
      </c>
      <c r="C1961" s="603"/>
      <c r="D1961" s="581">
        <f t="shared" si="233"/>
        <v>0</v>
      </c>
      <c r="E1961" s="581">
        <f t="shared" si="238"/>
        <v>0</v>
      </c>
      <c r="F1961" s="582"/>
      <c r="G1961" s="660"/>
      <c r="H1961" s="661"/>
      <c r="I1961" s="627"/>
      <c r="J1961" s="661"/>
      <c r="K1961" s="660"/>
      <c r="L1961" s="662"/>
      <c r="M1961" s="603"/>
      <c r="N1961" s="581"/>
      <c r="O1961" s="585"/>
      <c r="P1961" s="581"/>
      <c r="Q1961" s="581"/>
      <c r="R1961" s="653"/>
    </row>
    <row r="1962" spans="1:18" ht="25.5" customHeight="1" hidden="1">
      <c r="A1962" s="647">
        <v>4210</v>
      </c>
      <c r="B1962" s="651" t="s">
        <v>191</v>
      </c>
      <c r="C1962" s="603"/>
      <c r="D1962" s="581">
        <f t="shared" si="233"/>
        <v>0</v>
      </c>
      <c r="E1962" s="581">
        <f t="shared" si="238"/>
        <v>0</v>
      </c>
      <c r="F1962" s="582"/>
      <c r="G1962" s="660"/>
      <c r="H1962" s="661"/>
      <c r="I1962" s="627"/>
      <c r="J1962" s="661"/>
      <c r="K1962" s="660"/>
      <c r="L1962" s="662"/>
      <c r="M1962" s="603"/>
      <c r="N1962" s="581"/>
      <c r="O1962" s="585"/>
      <c r="P1962" s="581"/>
      <c r="Q1962" s="581"/>
      <c r="R1962" s="653"/>
    </row>
    <row r="1963" spans="1:18" ht="38.25" customHeight="1" hidden="1">
      <c r="A1963" s="647">
        <v>4240</v>
      </c>
      <c r="B1963" s="651" t="s">
        <v>608</v>
      </c>
      <c r="C1963" s="603"/>
      <c r="D1963" s="581">
        <f t="shared" si="233"/>
        <v>0</v>
      </c>
      <c r="E1963" s="581">
        <f t="shared" si="238"/>
        <v>0</v>
      </c>
      <c r="F1963" s="582"/>
      <c r="G1963" s="660"/>
      <c r="H1963" s="661"/>
      <c r="I1963" s="627"/>
      <c r="J1963" s="661"/>
      <c r="K1963" s="660"/>
      <c r="L1963" s="662"/>
      <c r="M1963" s="603"/>
      <c r="N1963" s="581"/>
      <c r="O1963" s="585"/>
      <c r="P1963" s="581"/>
      <c r="Q1963" s="581"/>
      <c r="R1963" s="653"/>
    </row>
    <row r="1964" spans="1:18" ht="15" customHeight="1" hidden="1">
      <c r="A1964" s="647">
        <v>4260</v>
      </c>
      <c r="B1964" s="651" t="s">
        <v>195</v>
      </c>
      <c r="C1964" s="603"/>
      <c r="D1964" s="581">
        <f t="shared" si="233"/>
        <v>0</v>
      </c>
      <c r="E1964" s="581">
        <f t="shared" si="238"/>
        <v>0</v>
      </c>
      <c r="F1964" s="582"/>
      <c r="G1964" s="660"/>
      <c r="H1964" s="661"/>
      <c r="I1964" s="627"/>
      <c r="J1964" s="661"/>
      <c r="K1964" s="660"/>
      <c r="L1964" s="662"/>
      <c r="M1964" s="603"/>
      <c r="N1964" s="581"/>
      <c r="O1964" s="585"/>
      <c r="P1964" s="581"/>
      <c r="Q1964" s="581"/>
      <c r="R1964" s="653"/>
    </row>
    <row r="1965" spans="1:18" ht="21" customHeight="1" hidden="1">
      <c r="A1965" s="647">
        <v>4300</v>
      </c>
      <c r="B1965" s="651" t="s">
        <v>199</v>
      </c>
      <c r="C1965" s="603"/>
      <c r="D1965" s="581">
        <f t="shared" si="233"/>
        <v>0</v>
      </c>
      <c r="E1965" s="581">
        <f>SUM(H1965+K1965+N1965+Q1965)</f>
        <v>0</v>
      </c>
      <c r="F1965" s="582"/>
      <c r="G1965" s="660"/>
      <c r="H1965" s="661"/>
      <c r="I1965" s="627"/>
      <c r="J1965" s="661"/>
      <c r="K1965" s="660"/>
      <c r="L1965" s="662"/>
      <c r="M1965" s="603"/>
      <c r="N1965" s="581"/>
      <c r="O1965" s="585"/>
      <c r="P1965" s="581"/>
      <c r="Q1965" s="581"/>
      <c r="R1965" s="653"/>
    </row>
    <row r="1966" spans="1:18" ht="15.75" customHeight="1" hidden="1">
      <c r="A1966" s="647">
        <v>4410</v>
      </c>
      <c r="B1966" s="651" t="s">
        <v>173</v>
      </c>
      <c r="C1966" s="603"/>
      <c r="D1966" s="581">
        <f t="shared" si="233"/>
        <v>0</v>
      </c>
      <c r="E1966" s="581">
        <f>SUM(H1966+K1966+N1966+Q1966)</f>
        <v>0</v>
      </c>
      <c r="F1966" s="582"/>
      <c r="G1966" s="660"/>
      <c r="H1966" s="661"/>
      <c r="I1966" s="627"/>
      <c r="J1966" s="661"/>
      <c r="K1966" s="660"/>
      <c r="L1966" s="662"/>
      <c r="M1966" s="603"/>
      <c r="N1966" s="581"/>
      <c r="O1966" s="585"/>
      <c r="P1966" s="581"/>
      <c r="Q1966" s="581"/>
      <c r="R1966" s="653"/>
    </row>
    <row r="1967" spans="1:18" ht="15.75" customHeight="1" hidden="1">
      <c r="A1967" s="647">
        <v>4430</v>
      </c>
      <c r="B1967" s="651" t="s">
        <v>201</v>
      </c>
      <c r="C1967" s="603"/>
      <c r="D1967" s="581">
        <f t="shared" si="233"/>
        <v>0</v>
      </c>
      <c r="E1967" s="581">
        <f>SUM(H1967+K1967+N1967+Q1967)</f>
        <v>0</v>
      </c>
      <c r="F1967" s="582"/>
      <c r="G1967" s="660"/>
      <c r="H1967" s="661"/>
      <c r="I1967" s="627"/>
      <c r="J1967" s="661"/>
      <c r="K1967" s="660"/>
      <c r="L1967" s="662"/>
      <c r="M1967" s="603"/>
      <c r="N1967" s="581"/>
      <c r="O1967" s="585"/>
      <c r="P1967" s="581"/>
      <c r="Q1967" s="581"/>
      <c r="R1967" s="653"/>
    </row>
    <row r="1968" spans="1:18" ht="18" customHeight="1" hidden="1">
      <c r="A1968" s="647">
        <v>4440</v>
      </c>
      <c r="B1968" s="651" t="s">
        <v>203</v>
      </c>
      <c r="C1968" s="603"/>
      <c r="D1968" s="581">
        <f t="shared" si="233"/>
        <v>0</v>
      </c>
      <c r="E1968" s="581">
        <f>SUM(H1968+K1968+N1968+Q1968)</f>
        <v>0</v>
      </c>
      <c r="F1968" s="582"/>
      <c r="G1968" s="660"/>
      <c r="H1968" s="661"/>
      <c r="I1968" s="627"/>
      <c r="J1968" s="661"/>
      <c r="K1968" s="660"/>
      <c r="L1968" s="662"/>
      <c r="M1968" s="603"/>
      <c r="N1968" s="581"/>
      <c r="O1968" s="585"/>
      <c r="P1968" s="581"/>
      <c r="Q1968" s="581"/>
      <c r="R1968" s="653"/>
    </row>
    <row r="1969" spans="1:18" ht="19.5" customHeight="1" hidden="1">
      <c r="A1969" s="647">
        <v>4480</v>
      </c>
      <c r="B1969" s="651" t="s">
        <v>205</v>
      </c>
      <c r="C1969" s="603"/>
      <c r="D1969" s="581"/>
      <c r="E1969" s="581"/>
      <c r="F1969" s="582"/>
      <c r="G1969" s="659"/>
      <c r="H1969" s="660"/>
      <c r="I1969" s="627"/>
      <c r="J1969" s="661"/>
      <c r="K1969" s="660"/>
      <c r="L1969" s="662"/>
      <c r="M1969" s="603"/>
      <c r="N1969" s="581"/>
      <c r="O1969" s="585"/>
      <c r="P1969" s="581"/>
      <c r="Q1969" s="581"/>
      <c r="R1969" s="653"/>
    </row>
    <row r="1970" spans="1:26" s="702" customFormat="1" ht="37.5" customHeight="1">
      <c r="A1970" s="667">
        <v>2480</v>
      </c>
      <c r="B1970" s="668" t="s">
        <v>859</v>
      </c>
      <c r="C1970" s="603">
        <f>SUM(C1971:C1989)</f>
        <v>3251000</v>
      </c>
      <c r="D1970" s="581">
        <f aca="true" t="shared" si="239" ref="D1970:E1989">G1970+J1970+P1970+M1970</f>
        <v>3266000</v>
      </c>
      <c r="E1970" s="581">
        <f t="shared" si="239"/>
        <v>816937</v>
      </c>
      <c r="F1970" s="582">
        <f>E1970/D1970*100</f>
        <v>25.01338028169014</v>
      </c>
      <c r="G1970" s="603">
        <f>SUM(G1971:G1985)</f>
        <v>3266000</v>
      </c>
      <c r="H1970" s="581">
        <f>SUM(H1971:H1985)</f>
        <v>816937</v>
      </c>
      <c r="I1970" s="627">
        <f>H1970/G1970*100</f>
        <v>25.01338028169014</v>
      </c>
      <c r="J1970" s="586"/>
      <c r="K1970" s="581"/>
      <c r="L1970" s="587"/>
      <c r="M1970" s="581"/>
      <c r="N1970" s="581"/>
      <c r="O1970" s="649"/>
      <c r="P1970" s="581"/>
      <c r="Q1970" s="581"/>
      <c r="R1970" s="653"/>
      <c r="S1970" s="700"/>
      <c r="T1970" s="700"/>
      <c r="U1970" s="700"/>
      <c r="V1970" s="700"/>
      <c r="W1970" s="701"/>
      <c r="X1970" s="701"/>
      <c r="Y1970" s="701"/>
      <c r="Z1970" s="701"/>
    </row>
    <row r="1971" spans="1:26" s="702" customFormat="1" ht="12.75">
      <c r="A1971" s="694"/>
      <c r="B1971" s="695" t="s">
        <v>860</v>
      </c>
      <c r="C1971" s="699">
        <v>2347000</v>
      </c>
      <c r="D1971" s="697">
        <f t="shared" si="239"/>
        <v>2347000</v>
      </c>
      <c r="E1971" s="697">
        <f t="shared" si="239"/>
        <v>696990</v>
      </c>
      <c r="F1971" s="582">
        <f aca="true" t="shared" si="240" ref="F1971:F1985">E1971/D1971*100</f>
        <v>29.69706007669365</v>
      </c>
      <c r="G1971" s="699">
        <v>2347000</v>
      </c>
      <c r="H1971" s="697">
        <f>330330+183330+128130+55200</f>
        <v>696990</v>
      </c>
      <c r="I1971" s="627">
        <f aca="true" t="shared" si="241" ref="I1971:I1985">H1971/G1971*100</f>
        <v>29.69706007669365</v>
      </c>
      <c r="J1971" s="698"/>
      <c r="K1971" s="697"/>
      <c r="L1971" s="587"/>
      <c r="M1971" s="697"/>
      <c r="N1971" s="697"/>
      <c r="O1971" s="587"/>
      <c r="P1971" s="697"/>
      <c r="Q1971" s="697"/>
      <c r="R1971" s="715"/>
      <c r="S1971" s="700"/>
      <c r="T1971" s="700"/>
      <c r="U1971" s="700"/>
      <c r="V1971" s="700"/>
      <c r="W1971" s="701"/>
      <c r="X1971" s="701"/>
      <c r="Y1971" s="701"/>
      <c r="Z1971" s="701"/>
    </row>
    <row r="1972" spans="1:26" s="702" customFormat="1" ht="12.75" hidden="1">
      <c r="A1972" s="694"/>
      <c r="B1972" s="695" t="s">
        <v>306</v>
      </c>
      <c r="C1972" s="699"/>
      <c r="D1972" s="697">
        <f>G1972+J1972+P1972+M1972</f>
        <v>0</v>
      </c>
      <c r="E1972" s="697">
        <f>H1972+K1972+Q1972+N1972</f>
        <v>0</v>
      </c>
      <c r="F1972" s="582" t="e">
        <f>E1972/D1972*100</f>
        <v>#DIV/0!</v>
      </c>
      <c r="G1972" s="699"/>
      <c r="H1972" s="697"/>
      <c r="I1972" s="627" t="e">
        <f t="shared" si="241"/>
        <v>#DIV/0!</v>
      </c>
      <c r="J1972" s="698"/>
      <c r="K1972" s="697"/>
      <c r="L1972" s="587"/>
      <c r="M1972" s="697"/>
      <c r="N1972" s="697"/>
      <c r="O1972" s="587"/>
      <c r="P1972" s="697"/>
      <c r="Q1972" s="697"/>
      <c r="R1972" s="715"/>
      <c r="S1972" s="700"/>
      <c r="T1972" s="700"/>
      <c r="U1972" s="700"/>
      <c r="V1972" s="700"/>
      <c r="W1972" s="701"/>
      <c r="X1972" s="701"/>
      <c r="Y1972" s="701"/>
      <c r="Z1972" s="701"/>
    </row>
    <row r="1973" spans="1:26" s="702" customFormat="1" ht="12.75">
      <c r="A1973" s="694"/>
      <c r="B1973" s="695" t="s">
        <v>871</v>
      </c>
      <c r="C1973" s="699">
        <v>547000</v>
      </c>
      <c r="D1973" s="697">
        <f t="shared" si="239"/>
        <v>547000</v>
      </c>
      <c r="E1973" s="697">
        <f t="shared" si="239"/>
        <v>89600</v>
      </c>
      <c r="F1973" s="582">
        <f t="shared" si="240"/>
        <v>16.380255941499087</v>
      </c>
      <c r="G1973" s="699">
        <v>547000</v>
      </c>
      <c r="H1973" s="697">
        <f>40000+24800+24800</f>
        <v>89600</v>
      </c>
      <c r="I1973" s="627">
        <f t="shared" si="241"/>
        <v>16.380255941499087</v>
      </c>
      <c r="J1973" s="698"/>
      <c r="K1973" s="697"/>
      <c r="L1973" s="587"/>
      <c r="M1973" s="697"/>
      <c r="N1973" s="697"/>
      <c r="O1973" s="587"/>
      <c r="P1973" s="697"/>
      <c r="Q1973" s="697"/>
      <c r="R1973" s="715"/>
      <c r="S1973" s="700"/>
      <c r="T1973" s="700"/>
      <c r="U1973" s="700"/>
      <c r="V1973" s="700"/>
      <c r="W1973" s="701"/>
      <c r="X1973" s="701"/>
      <c r="Y1973" s="701"/>
      <c r="Z1973" s="701"/>
    </row>
    <row r="1974" spans="1:26" s="702" customFormat="1" ht="12.75" hidden="1">
      <c r="A1974" s="694"/>
      <c r="B1974" s="695" t="s">
        <v>11</v>
      </c>
      <c r="C1974" s="699"/>
      <c r="D1974" s="697">
        <f t="shared" si="239"/>
        <v>0</v>
      </c>
      <c r="E1974" s="697">
        <f t="shared" si="239"/>
        <v>0</v>
      </c>
      <c r="F1974" s="582" t="e">
        <f t="shared" si="240"/>
        <v>#DIV/0!</v>
      </c>
      <c r="G1974" s="699"/>
      <c r="H1974" s="697"/>
      <c r="I1974" s="627" t="e">
        <f t="shared" si="241"/>
        <v>#DIV/0!</v>
      </c>
      <c r="J1974" s="698"/>
      <c r="K1974" s="697"/>
      <c r="L1974" s="587"/>
      <c r="M1974" s="697"/>
      <c r="N1974" s="697"/>
      <c r="O1974" s="587"/>
      <c r="P1974" s="697"/>
      <c r="Q1974" s="697"/>
      <c r="R1974" s="715"/>
      <c r="S1974" s="700"/>
      <c r="T1974" s="700"/>
      <c r="U1974" s="700"/>
      <c r="V1974" s="700"/>
      <c r="W1974" s="701"/>
      <c r="X1974" s="701"/>
      <c r="Y1974" s="701"/>
      <c r="Z1974" s="701"/>
    </row>
    <row r="1975" spans="1:26" s="702" customFormat="1" ht="24" hidden="1">
      <c r="A1975" s="694" t="s">
        <v>302</v>
      </c>
      <c r="B1975" s="695" t="s">
        <v>307</v>
      </c>
      <c r="C1975" s="699"/>
      <c r="D1975" s="697">
        <f>G1975+J1975+P1975+M1975</f>
        <v>0</v>
      </c>
      <c r="E1975" s="697">
        <f>H1975+K1975+Q1975+N1975</f>
        <v>0</v>
      </c>
      <c r="F1975" s="582" t="e">
        <f>E1975/D1975*100</f>
        <v>#DIV/0!</v>
      </c>
      <c r="G1975" s="699"/>
      <c r="H1975" s="697"/>
      <c r="I1975" s="627" t="e">
        <f t="shared" si="241"/>
        <v>#DIV/0!</v>
      </c>
      <c r="J1975" s="698"/>
      <c r="K1975" s="697"/>
      <c r="L1975" s="587"/>
      <c r="M1975" s="697"/>
      <c r="N1975" s="697"/>
      <c r="O1975" s="587"/>
      <c r="P1975" s="697"/>
      <c r="Q1975" s="697"/>
      <c r="R1975" s="715"/>
      <c r="S1975" s="700"/>
      <c r="T1975" s="700"/>
      <c r="U1975" s="700"/>
      <c r="V1975" s="700"/>
      <c r="W1975" s="701"/>
      <c r="X1975" s="701"/>
      <c r="Y1975" s="701"/>
      <c r="Z1975" s="701"/>
    </row>
    <row r="1976" spans="1:26" s="702" customFormat="1" ht="24">
      <c r="A1976" s="694"/>
      <c r="B1976" s="695" t="s">
        <v>308</v>
      </c>
      <c r="C1976" s="699">
        <v>250000</v>
      </c>
      <c r="D1976" s="697">
        <f t="shared" si="239"/>
        <v>250000</v>
      </c>
      <c r="E1976" s="697">
        <f t="shared" si="239"/>
        <v>0</v>
      </c>
      <c r="F1976" s="582">
        <f t="shared" si="240"/>
        <v>0</v>
      </c>
      <c r="G1976" s="699">
        <v>250000</v>
      </c>
      <c r="H1976" s="697"/>
      <c r="I1976" s="627">
        <f t="shared" si="241"/>
        <v>0</v>
      </c>
      <c r="J1976" s="698"/>
      <c r="K1976" s="697"/>
      <c r="L1976" s="587"/>
      <c r="M1976" s="697"/>
      <c r="N1976" s="697"/>
      <c r="O1976" s="587"/>
      <c r="P1976" s="697"/>
      <c r="Q1976" s="697"/>
      <c r="R1976" s="715"/>
      <c r="S1976" s="700"/>
      <c r="T1976" s="700"/>
      <c r="U1976" s="700"/>
      <c r="V1976" s="700"/>
      <c r="W1976" s="701"/>
      <c r="X1976" s="701"/>
      <c r="Y1976" s="701"/>
      <c r="Z1976" s="701"/>
    </row>
    <row r="1977" spans="1:26" s="702" customFormat="1" ht="27.75" customHeight="1">
      <c r="A1977" s="694"/>
      <c r="B1977" s="695" t="s">
        <v>12</v>
      </c>
      <c r="C1977" s="699"/>
      <c r="D1977" s="697">
        <f t="shared" si="239"/>
        <v>15000</v>
      </c>
      <c r="E1977" s="697">
        <f t="shared" si="239"/>
        <v>0</v>
      </c>
      <c r="F1977" s="582">
        <f t="shared" si="240"/>
        <v>0</v>
      </c>
      <c r="G1977" s="699">
        <v>15000</v>
      </c>
      <c r="H1977" s="697"/>
      <c r="I1977" s="627">
        <f t="shared" si="241"/>
        <v>0</v>
      </c>
      <c r="J1977" s="698"/>
      <c r="K1977" s="697"/>
      <c r="L1977" s="587"/>
      <c r="M1977" s="697"/>
      <c r="N1977" s="697"/>
      <c r="O1977" s="587"/>
      <c r="P1977" s="697"/>
      <c r="Q1977" s="697"/>
      <c r="R1977" s="715"/>
      <c r="S1977" s="700"/>
      <c r="T1977" s="700"/>
      <c r="U1977" s="700"/>
      <c r="V1977" s="700"/>
      <c r="W1977" s="701"/>
      <c r="X1977" s="701"/>
      <c r="Y1977" s="701"/>
      <c r="Z1977" s="701"/>
    </row>
    <row r="1978" spans="1:26" s="702" customFormat="1" ht="12.75">
      <c r="A1978" s="694"/>
      <c r="B1978" s="695" t="s">
        <v>872</v>
      </c>
      <c r="C1978" s="699">
        <v>62000</v>
      </c>
      <c r="D1978" s="697">
        <f t="shared" si="239"/>
        <v>62000</v>
      </c>
      <c r="E1978" s="697">
        <f t="shared" si="239"/>
        <v>15498</v>
      </c>
      <c r="F1978" s="582">
        <f t="shared" si="240"/>
        <v>24.996774193548386</v>
      </c>
      <c r="G1978" s="699">
        <v>62000</v>
      </c>
      <c r="H1978" s="697">
        <f>5166+5166+5166</f>
        <v>15498</v>
      </c>
      <c r="I1978" s="627">
        <f t="shared" si="241"/>
        <v>24.996774193548386</v>
      </c>
      <c r="J1978" s="698"/>
      <c r="K1978" s="697"/>
      <c r="L1978" s="587"/>
      <c r="M1978" s="697"/>
      <c r="N1978" s="697"/>
      <c r="O1978" s="587"/>
      <c r="P1978" s="697"/>
      <c r="Q1978" s="697"/>
      <c r="R1978" s="715"/>
      <c r="S1978" s="700"/>
      <c r="T1978" s="700"/>
      <c r="U1978" s="700"/>
      <c r="V1978" s="700"/>
      <c r="W1978" s="701"/>
      <c r="X1978" s="701"/>
      <c r="Y1978" s="701"/>
      <c r="Z1978" s="701"/>
    </row>
    <row r="1979" spans="1:26" s="702" customFormat="1" ht="24">
      <c r="A1979" s="694"/>
      <c r="B1979" s="695" t="s">
        <v>873</v>
      </c>
      <c r="C1979" s="699">
        <v>15000</v>
      </c>
      <c r="D1979" s="697">
        <f t="shared" si="239"/>
        <v>15000</v>
      </c>
      <c r="E1979" s="697">
        <f t="shared" si="239"/>
        <v>14849</v>
      </c>
      <c r="F1979" s="582">
        <f t="shared" si="240"/>
        <v>98.99333333333334</v>
      </c>
      <c r="G1979" s="699">
        <v>15000</v>
      </c>
      <c r="H1979" s="697">
        <f>15000-151</f>
        <v>14849</v>
      </c>
      <c r="I1979" s="627">
        <f t="shared" si="241"/>
        <v>98.99333333333334</v>
      </c>
      <c r="J1979" s="698"/>
      <c r="K1979" s="697"/>
      <c r="L1979" s="587"/>
      <c r="M1979" s="697"/>
      <c r="N1979" s="697"/>
      <c r="O1979" s="587"/>
      <c r="P1979" s="697"/>
      <c r="Q1979" s="697"/>
      <c r="R1979" s="715"/>
      <c r="S1979" s="700"/>
      <c r="T1979" s="700"/>
      <c r="U1979" s="700"/>
      <c r="V1979" s="700"/>
      <c r="W1979" s="701"/>
      <c r="X1979" s="701"/>
      <c r="Y1979" s="701"/>
      <c r="Z1979" s="701"/>
    </row>
    <row r="1980" spans="1:26" s="702" customFormat="1" ht="13.5" customHeight="1">
      <c r="A1980" s="694"/>
      <c r="B1980" s="695" t="s">
        <v>874</v>
      </c>
      <c r="C1980" s="699">
        <v>30000</v>
      </c>
      <c r="D1980" s="697">
        <f t="shared" si="239"/>
        <v>30000</v>
      </c>
      <c r="E1980" s="697">
        <f t="shared" si="239"/>
        <v>0</v>
      </c>
      <c r="F1980" s="582">
        <f t="shared" si="240"/>
        <v>0</v>
      </c>
      <c r="G1980" s="699">
        <v>30000</v>
      </c>
      <c r="H1980" s="697"/>
      <c r="I1980" s="627">
        <f t="shared" si="241"/>
        <v>0</v>
      </c>
      <c r="J1980" s="698"/>
      <c r="K1980" s="697"/>
      <c r="L1980" s="587"/>
      <c r="M1980" s="697"/>
      <c r="N1980" s="697"/>
      <c r="O1980" s="587"/>
      <c r="P1980" s="697"/>
      <c r="Q1980" s="697"/>
      <c r="R1980" s="715"/>
      <c r="S1980" s="700"/>
      <c r="T1980" s="700"/>
      <c r="U1980" s="700"/>
      <c r="V1980" s="700"/>
      <c r="W1980" s="701"/>
      <c r="X1980" s="701"/>
      <c r="Y1980" s="701"/>
      <c r="Z1980" s="701"/>
    </row>
    <row r="1981" spans="1:26" s="702" customFormat="1" ht="84" hidden="1">
      <c r="A1981" s="694"/>
      <c r="B1981" s="695" t="s">
        <v>309</v>
      </c>
      <c r="C1981" s="699"/>
      <c r="D1981" s="697">
        <f t="shared" si="239"/>
        <v>0</v>
      </c>
      <c r="E1981" s="697">
        <f>H1981+K1981+Q1981+N1981</f>
        <v>0</v>
      </c>
      <c r="F1981" s="582" t="e">
        <f>E1981/D1981*100</f>
        <v>#DIV/0!</v>
      </c>
      <c r="G1981" s="699"/>
      <c r="H1981" s="697"/>
      <c r="I1981" s="627" t="e">
        <f t="shared" si="241"/>
        <v>#DIV/0!</v>
      </c>
      <c r="J1981" s="698"/>
      <c r="K1981" s="697"/>
      <c r="L1981" s="587"/>
      <c r="M1981" s="697"/>
      <c r="N1981" s="697"/>
      <c r="O1981" s="587"/>
      <c r="P1981" s="697"/>
      <c r="Q1981" s="697"/>
      <c r="R1981" s="715"/>
      <c r="S1981" s="700"/>
      <c r="T1981" s="700"/>
      <c r="U1981" s="700"/>
      <c r="V1981" s="700"/>
      <c r="W1981" s="701"/>
      <c r="X1981" s="701"/>
      <c r="Y1981" s="701"/>
      <c r="Z1981" s="701"/>
    </row>
    <row r="1982" spans="1:26" s="702" customFormat="1" ht="24" hidden="1">
      <c r="A1982" s="694"/>
      <c r="B1982" s="695" t="s">
        <v>310</v>
      </c>
      <c r="C1982" s="699"/>
      <c r="D1982" s="697">
        <f>G1982+J1982+P1982+M1982</f>
        <v>0</v>
      </c>
      <c r="E1982" s="697">
        <f>H1982+K1982+Q1982+N1982</f>
        <v>0</v>
      </c>
      <c r="F1982" s="582" t="e">
        <f>E1982/D1982*100</f>
        <v>#DIV/0!</v>
      </c>
      <c r="G1982" s="699"/>
      <c r="H1982" s="697"/>
      <c r="I1982" s="627" t="e">
        <f t="shared" si="241"/>
        <v>#DIV/0!</v>
      </c>
      <c r="J1982" s="698"/>
      <c r="K1982" s="697"/>
      <c r="L1982" s="587"/>
      <c r="M1982" s="697"/>
      <c r="N1982" s="697"/>
      <c r="O1982" s="587"/>
      <c r="P1982" s="697"/>
      <c r="Q1982" s="697"/>
      <c r="R1982" s="715"/>
      <c r="S1982" s="700"/>
      <c r="T1982" s="700"/>
      <c r="U1982" s="700"/>
      <c r="V1982" s="700"/>
      <c r="W1982" s="701"/>
      <c r="X1982" s="701"/>
      <c r="Y1982" s="701"/>
      <c r="Z1982" s="701"/>
    </row>
    <row r="1983" spans="1:26" s="702" customFormat="1" ht="12.75" hidden="1">
      <c r="A1983" s="694"/>
      <c r="B1983" s="695" t="s">
        <v>311</v>
      </c>
      <c r="C1983" s="699"/>
      <c r="D1983" s="697">
        <f>G1983+J1983+P1983+M1983</f>
        <v>0</v>
      </c>
      <c r="E1983" s="697">
        <f>H1983+K1983+Q1983+N1983</f>
        <v>0</v>
      </c>
      <c r="F1983" s="582" t="e">
        <f>E1983/D1983*100</f>
        <v>#DIV/0!</v>
      </c>
      <c r="G1983" s="699"/>
      <c r="H1983" s="697"/>
      <c r="I1983" s="627" t="e">
        <f t="shared" si="241"/>
        <v>#DIV/0!</v>
      </c>
      <c r="J1983" s="698"/>
      <c r="K1983" s="697"/>
      <c r="L1983" s="587"/>
      <c r="M1983" s="697"/>
      <c r="N1983" s="697"/>
      <c r="O1983" s="587"/>
      <c r="P1983" s="697"/>
      <c r="Q1983" s="697"/>
      <c r="R1983" s="715"/>
      <c r="S1983" s="700"/>
      <c r="T1983" s="700"/>
      <c r="U1983" s="700"/>
      <c r="V1983" s="700"/>
      <c r="W1983" s="701"/>
      <c r="X1983" s="701"/>
      <c r="Y1983" s="701"/>
      <c r="Z1983" s="701"/>
    </row>
    <row r="1984" spans="1:26" s="702" customFormat="1" ht="12.75" hidden="1">
      <c r="A1984" s="694"/>
      <c r="B1984" s="695" t="s">
        <v>312</v>
      </c>
      <c r="C1984" s="699"/>
      <c r="D1984" s="697">
        <f>G1984+J1984+P1984+M1984</f>
        <v>0</v>
      </c>
      <c r="E1984" s="697">
        <f>H1984+K1984+Q1984+N1984</f>
        <v>0</v>
      </c>
      <c r="F1984" s="582" t="e">
        <f>E1984/D1984*100</f>
        <v>#DIV/0!</v>
      </c>
      <c r="G1984" s="699"/>
      <c r="H1984" s="697"/>
      <c r="I1984" s="627" t="e">
        <f t="shared" si="241"/>
        <v>#DIV/0!</v>
      </c>
      <c r="J1984" s="698"/>
      <c r="K1984" s="697"/>
      <c r="L1984" s="587"/>
      <c r="M1984" s="697"/>
      <c r="N1984" s="697"/>
      <c r="O1984" s="587"/>
      <c r="P1984" s="697"/>
      <c r="Q1984" s="697"/>
      <c r="R1984" s="715"/>
      <c r="S1984" s="700"/>
      <c r="T1984" s="700"/>
      <c r="U1984" s="700"/>
      <c r="V1984" s="700"/>
      <c r="W1984" s="701"/>
      <c r="X1984" s="701"/>
      <c r="Y1984" s="701"/>
      <c r="Z1984" s="701"/>
    </row>
    <row r="1985" spans="1:26" s="702" customFormat="1" ht="72" hidden="1">
      <c r="A1985" s="694"/>
      <c r="B1985" s="695" t="s">
        <v>13</v>
      </c>
      <c r="C1985" s="699"/>
      <c r="D1985" s="697">
        <f t="shared" si="239"/>
        <v>0</v>
      </c>
      <c r="E1985" s="697">
        <f t="shared" si="239"/>
        <v>0</v>
      </c>
      <c r="F1985" s="582" t="e">
        <f t="shared" si="240"/>
        <v>#DIV/0!</v>
      </c>
      <c r="G1985" s="699"/>
      <c r="H1985" s="697"/>
      <c r="I1985" s="627" t="e">
        <f t="shared" si="241"/>
        <v>#DIV/0!</v>
      </c>
      <c r="J1985" s="698"/>
      <c r="K1985" s="697"/>
      <c r="L1985" s="587"/>
      <c r="M1985" s="697"/>
      <c r="N1985" s="697"/>
      <c r="O1985" s="587"/>
      <c r="P1985" s="697"/>
      <c r="Q1985" s="697"/>
      <c r="R1985" s="715"/>
      <c r="S1985" s="700"/>
      <c r="T1985" s="700"/>
      <c r="U1985" s="700"/>
      <c r="V1985" s="700"/>
      <c r="W1985" s="701"/>
      <c r="X1985" s="701"/>
      <c r="Y1985" s="701"/>
      <c r="Z1985" s="701"/>
    </row>
    <row r="1986" spans="1:26" s="702" customFormat="1" ht="48" hidden="1">
      <c r="A1986" s="647">
        <v>6050</v>
      </c>
      <c r="B1986" s="651" t="s">
        <v>14</v>
      </c>
      <c r="C1986" s="603"/>
      <c r="D1986" s="581">
        <f t="shared" si="239"/>
        <v>0</v>
      </c>
      <c r="E1986" s="581">
        <f t="shared" si="239"/>
        <v>0</v>
      </c>
      <c r="F1986" s="582"/>
      <c r="G1986" s="603"/>
      <c r="H1986" s="581"/>
      <c r="I1986" s="627"/>
      <c r="J1986" s="586"/>
      <c r="K1986" s="581"/>
      <c r="L1986" s="587"/>
      <c r="M1986" s="581"/>
      <c r="N1986" s="581"/>
      <c r="O1986" s="649"/>
      <c r="P1986" s="581"/>
      <c r="Q1986" s="581"/>
      <c r="R1986" s="653"/>
      <c r="S1986" s="700"/>
      <c r="T1986" s="700"/>
      <c r="U1986" s="700"/>
      <c r="V1986" s="700"/>
      <c r="W1986" s="701"/>
      <c r="X1986" s="701"/>
      <c r="Y1986" s="701"/>
      <c r="Z1986" s="701"/>
    </row>
    <row r="1987" spans="1:18" ht="108" hidden="1">
      <c r="A1987" s="647">
        <v>6220</v>
      </c>
      <c r="B1987" s="651" t="s">
        <v>765</v>
      </c>
      <c r="C1987" s="603"/>
      <c r="D1987" s="581">
        <f t="shared" si="239"/>
        <v>0</v>
      </c>
      <c r="E1987" s="581">
        <f>SUM(H1987+K1987+N1987+Q1987)</f>
        <v>0</v>
      </c>
      <c r="F1987" s="582" t="e">
        <f>E1987/D1987*100</f>
        <v>#DIV/0!</v>
      </c>
      <c r="G1987" s="603"/>
      <c r="H1987" s="581"/>
      <c r="I1987" s="627" t="e">
        <f>H1987/G1987*100</f>
        <v>#DIV/0!</v>
      </c>
      <c r="J1987" s="586"/>
      <c r="K1987" s="581"/>
      <c r="L1987" s="587"/>
      <c r="M1987" s="581"/>
      <c r="N1987" s="581"/>
      <c r="O1987" s="649"/>
      <c r="P1987" s="581"/>
      <c r="Q1987" s="581"/>
      <c r="R1987" s="653"/>
    </row>
    <row r="1988" spans="1:26" s="702" customFormat="1" ht="25.5" customHeight="1" hidden="1">
      <c r="A1988" s="694"/>
      <c r="B1988" s="695" t="s">
        <v>875</v>
      </c>
      <c r="C1988" s="745"/>
      <c r="D1988" s="746">
        <f t="shared" si="239"/>
        <v>0</v>
      </c>
      <c r="E1988" s="746">
        <f>SUM(H1988+K1988+N1988+Q1988)</f>
        <v>0</v>
      </c>
      <c r="F1988" s="582" t="e">
        <f>E1988/D1988*100</f>
        <v>#DIV/0!</v>
      </c>
      <c r="G1988" s="745"/>
      <c r="H1988" s="746"/>
      <c r="I1988" s="627" t="e">
        <f>H1988/G1988*100</f>
        <v>#DIV/0!</v>
      </c>
      <c r="J1988" s="748"/>
      <c r="K1988" s="746"/>
      <c r="L1988" s="587"/>
      <c r="M1988" s="746"/>
      <c r="N1988" s="746"/>
      <c r="O1988" s="587"/>
      <c r="P1988" s="746"/>
      <c r="Q1988" s="746"/>
      <c r="R1988" s="715"/>
      <c r="S1988" s="700"/>
      <c r="T1988" s="700"/>
      <c r="U1988" s="700"/>
      <c r="V1988" s="700"/>
      <c r="W1988" s="701"/>
      <c r="X1988" s="701"/>
      <c r="Y1988" s="701"/>
      <c r="Z1988" s="701"/>
    </row>
    <row r="1989" spans="1:18" ht="41.25" customHeight="1" hidden="1">
      <c r="A1989" s="672">
        <v>6050</v>
      </c>
      <c r="B1989" s="687" t="s">
        <v>15</v>
      </c>
      <c r="C1989" s="960"/>
      <c r="D1989" s="961">
        <f t="shared" si="239"/>
        <v>0</v>
      </c>
      <c r="E1989" s="961">
        <f>SUM(H1989+K1989+N1989+Q1989)</f>
        <v>0</v>
      </c>
      <c r="F1989" s="643"/>
      <c r="G1989" s="674"/>
      <c r="H1989" s="675"/>
      <c r="I1989" s="962"/>
      <c r="J1989" s="676"/>
      <c r="K1989" s="675"/>
      <c r="L1989" s="677"/>
      <c r="M1989" s="960"/>
      <c r="N1989" s="675"/>
      <c r="O1989" s="679"/>
      <c r="P1989" s="675"/>
      <c r="Q1989" s="675"/>
      <c r="R1989" s="680"/>
    </row>
    <row r="1990" spans="1:18" ht="18" customHeight="1">
      <c r="A1990" s="640">
        <v>92116</v>
      </c>
      <c r="B1990" s="742" t="s">
        <v>876</v>
      </c>
      <c r="C1990" s="608">
        <f>SUM(C1991)+C2004+C2005</f>
        <v>5875400</v>
      </c>
      <c r="D1990" s="595">
        <f>G1990+J1990+P1990+M1990</f>
        <v>6012600</v>
      </c>
      <c r="E1990" s="595">
        <f>H1990+K1990+Q1990+N1990</f>
        <v>973350</v>
      </c>
      <c r="F1990" s="596">
        <f aca="true" t="shared" si="242" ref="F1990:F2052">E1990/D1990*100</f>
        <v>16.188504141303266</v>
      </c>
      <c r="G1990" s="608">
        <f>G1991</f>
        <v>1328000</v>
      </c>
      <c r="H1990" s="595">
        <f>H1991</f>
        <v>331800</v>
      </c>
      <c r="I1990" s="624">
        <f>H1990/G1990*100</f>
        <v>24.984939759036145</v>
      </c>
      <c r="J1990" s="600"/>
      <c r="K1990" s="595"/>
      <c r="L1990" s="601"/>
      <c r="M1990" s="595">
        <f>SUM(M1991)+M2004+M2005</f>
        <v>4684600</v>
      </c>
      <c r="N1990" s="595">
        <f>SUM(N1991)+N2004</f>
        <v>641550</v>
      </c>
      <c r="O1990" s="624">
        <f aca="true" t="shared" si="243" ref="O1990:O2032">N1990/M1990*100</f>
        <v>13.694872561157837</v>
      </c>
      <c r="P1990" s="595"/>
      <c r="Q1990" s="595"/>
      <c r="R1990" s="731"/>
    </row>
    <row r="1991" spans="1:26" s="639" customFormat="1" ht="34.5" customHeight="1">
      <c r="A1991" s="667">
        <v>2480</v>
      </c>
      <c r="B1991" s="668" t="s">
        <v>859</v>
      </c>
      <c r="C1991" s="606">
        <f>SUM(C1992:C2002)</f>
        <v>3893400</v>
      </c>
      <c r="D1991" s="615">
        <f>G1991+J1991+P1991+M1991</f>
        <v>4030600</v>
      </c>
      <c r="E1991" s="615">
        <f>SUM(H1991+K1991+N1991+Q1991)</f>
        <v>973350</v>
      </c>
      <c r="F1991" s="604">
        <f t="shared" si="242"/>
        <v>24.149010072941994</v>
      </c>
      <c r="G1991" s="606">
        <f>SUM(G1992:G2003)</f>
        <v>1328000</v>
      </c>
      <c r="H1991" s="615">
        <f>SUM(H1992:H2003)</f>
        <v>331800</v>
      </c>
      <c r="I1991" s="669">
        <f>H1991/G1991*100</f>
        <v>24.984939759036145</v>
      </c>
      <c r="J1991" s="618"/>
      <c r="K1991" s="615"/>
      <c r="L1991" s="619"/>
      <c r="M1991" s="615">
        <f>SUM(M1992:M2002)</f>
        <v>2702600</v>
      </c>
      <c r="N1991" s="615">
        <f>SUM(N1992:N2002)</f>
        <v>641550</v>
      </c>
      <c r="O1991" s="669">
        <f t="shared" si="243"/>
        <v>23.738252053578034</v>
      </c>
      <c r="P1991" s="615"/>
      <c r="Q1991" s="615"/>
      <c r="R1991" s="671"/>
      <c r="S1991" s="564"/>
      <c r="T1991" s="564"/>
      <c r="U1991" s="564"/>
      <c r="V1991" s="564"/>
      <c r="W1991" s="565"/>
      <c r="X1991" s="565"/>
      <c r="Y1991" s="565"/>
      <c r="Z1991" s="565"/>
    </row>
    <row r="1992" spans="1:26" s="760" customFormat="1" ht="12.75">
      <c r="A1992" s="694"/>
      <c r="B1992" s="695" t="s">
        <v>860</v>
      </c>
      <c r="C1992" s="699">
        <f>1328000+2400000</f>
        <v>3728000</v>
      </c>
      <c r="D1992" s="697">
        <f aca="true" t="shared" si="244" ref="D1992:D2085">G1992+J1992+P1992+M1992</f>
        <v>3790200</v>
      </c>
      <c r="E1992" s="697">
        <f aca="true" t="shared" si="245" ref="E1992:E2002">SUM(H1992+K1992+N1992+Q1992)</f>
        <v>941850</v>
      </c>
      <c r="F1992" s="582">
        <f t="shared" si="242"/>
        <v>24.849612157669778</v>
      </c>
      <c r="G1992" s="696">
        <v>1328000</v>
      </c>
      <c r="H1992" s="697">
        <f>110600+110600+110600</f>
        <v>331800</v>
      </c>
      <c r="I1992" s="627">
        <f>H1992/G1992*100</f>
        <v>24.984939759036145</v>
      </c>
      <c r="J1992" s="698"/>
      <c r="K1992" s="697"/>
      <c r="L1992" s="587"/>
      <c r="M1992" s="697">
        <f>2400000+30200+10000+22000</f>
        <v>2462200</v>
      </c>
      <c r="N1992" s="697">
        <f>200000+200000+210050</f>
        <v>610050</v>
      </c>
      <c r="O1992" s="627">
        <f t="shared" si="243"/>
        <v>24.77662253269434</v>
      </c>
      <c r="P1992" s="697"/>
      <c r="Q1992" s="697"/>
      <c r="R1992" s="715"/>
      <c r="S1992" s="758"/>
      <c r="T1992" s="758"/>
      <c r="U1992" s="758"/>
      <c r="V1992" s="758"/>
      <c r="W1992" s="759"/>
      <c r="X1992" s="759"/>
      <c r="Y1992" s="759"/>
      <c r="Z1992" s="759"/>
    </row>
    <row r="1993" spans="1:26" s="760" customFormat="1" ht="12.75">
      <c r="A1993" s="694"/>
      <c r="B1993" s="695" t="s">
        <v>861</v>
      </c>
      <c r="C1993" s="699"/>
      <c r="D1993" s="697">
        <f>G1993+J1993+P1993+M1993</f>
        <v>60000</v>
      </c>
      <c r="E1993" s="697">
        <f>SUM(H1993+K1993+N1993+Q1993)</f>
        <v>0</v>
      </c>
      <c r="F1993" s="582">
        <f>E1993/D1993*100</f>
        <v>0</v>
      </c>
      <c r="G1993" s="696"/>
      <c r="H1993" s="697"/>
      <c r="I1993" s="627"/>
      <c r="J1993" s="698"/>
      <c r="K1993" s="697"/>
      <c r="L1993" s="587"/>
      <c r="M1993" s="697">
        <v>60000</v>
      </c>
      <c r="N1993" s="697"/>
      <c r="O1993" s="627">
        <f>N1993/M1993*100</f>
        <v>0</v>
      </c>
      <c r="P1993" s="697"/>
      <c r="Q1993" s="697"/>
      <c r="R1993" s="715"/>
      <c r="S1993" s="758"/>
      <c r="T1993" s="758"/>
      <c r="U1993" s="758"/>
      <c r="V1993" s="758"/>
      <c r="W1993" s="759"/>
      <c r="X1993" s="759"/>
      <c r="Y1993" s="759"/>
      <c r="Z1993" s="759"/>
    </row>
    <row r="1994" spans="1:26" s="760" customFormat="1" ht="36">
      <c r="A1994" s="694"/>
      <c r="B1994" s="695" t="s">
        <v>16</v>
      </c>
      <c r="C1994" s="699"/>
      <c r="D1994" s="697">
        <f>G1994+J1994+P1994+M1994</f>
        <v>15000</v>
      </c>
      <c r="E1994" s="697">
        <f>SUM(H1994+K1994+N1994+Q1994)</f>
        <v>0</v>
      </c>
      <c r="F1994" s="582">
        <f>E1994/D1994*100</f>
        <v>0</v>
      </c>
      <c r="G1994" s="696"/>
      <c r="H1994" s="697"/>
      <c r="I1994" s="627"/>
      <c r="J1994" s="698"/>
      <c r="K1994" s="697"/>
      <c r="L1994" s="587"/>
      <c r="M1994" s="697">
        <v>15000</v>
      </c>
      <c r="N1994" s="697"/>
      <c r="O1994" s="627">
        <f>N1994/M1994*100</f>
        <v>0</v>
      </c>
      <c r="P1994" s="697"/>
      <c r="Q1994" s="697"/>
      <c r="R1994" s="715"/>
      <c r="S1994" s="758"/>
      <c r="T1994" s="758"/>
      <c r="U1994" s="758"/>
      <c r="V1994" s="758"/>
      <c r="W1994" s="759"/>
      <c r="X1994" s="759"/>
      <c r="Y1994" s="759"/>
      <c r="Z1994" s="759"/>
    </row>
    <row r="1995" spans="1:26" s="760" customFormat="1" ht="36" hidden="1">
      <c r="A1995" s="694"/>
      <c r="B1995" s="695" t="s">
        <v>862</v>
      </c>
      <c r="C1995" s="699"/>
      <c r="D1995" s="697">
        <f t="shared" si="244"/>
        <v>0</v>
      </c>
      <c r="E1995" s="697">
        <f t="shared" si="245"/>
        <v>0</v>
      </c>
      <c r="F1995" s="582"/>
      <c r="G1995" s="696"/>
      <c r="H1995" s="697"/>
      <c r="I1995" s="627"/>
      <c r="J1995" s="698"/>
      <c r="K1995" s="697"/>
      <c r="L1995" s="587"/>
      <c r="M1995" s="697"/>
      <c r="N1995" s="697"/>
      <c r="O1995" s="627"/>
      <c r="P1995" s="697"/>
      <c r="Q1995" s="697"/>
      <c r="R1995" s="715"/>
      <c r="S1995" s="758"/>
      <c r="T1995" s="758"/>
      <c r="U1995" s="758"/>
      <c r="V1995" s="758"/>
      <c r="W1995" s="759"/>
      <c r="X1995" s="759"/>
      <c r="Y1995" s="759"/>
      <c r="Z1995" s="759"/>
    </row>
    <row r="1996" spans="1:26" s="760" customFormat="1" ht="24" hidden="1">
      <c r="A1996" s="694"/>
      <c r="B1996" s="695" t="s">
        <v>17</v>
      </c>
      <c r="C1996" s="699"/>
      <c r="D1996" s="697">
        <f t="shared" si="244"/>
        <v>0</v>
      </c>
      <c r="E1996" s="697">
        <f t="shared" si="245"/>
        <v>0</v>
      </c>
      <c r="F1996" s="582" t="e">
        <f t="shared" si="242"/>
        <v>#DIV/0!</v>
      </c>
      <c r="G1996" s="696"/>
      <c r="H1996" s="697"/>
      <c r="I1996" s="627"/>
      <c r="J1996" s="698"/>
      <c r="K1996" s="697"/>
      <c r="L1996" s="587"/>
      <c r="M1996" s="697"/>
      <c r="N1996" s="697"/>
      <c r="O1996" s="627" t="e">
        <f t="shared" si="243"/>
        <v>#DIV/0!</v>
      </c>
      <c r="P1996" s="697"/>
      <c r="Q1996" s="697"/>
      <c r="R1996" s="715"/>
      <c r="S1996" s="758"/>
      <c r="T1996" s="758"/>
      <c r="U1996" s="758"/>
      <c r="V1996" s="758"/>
      <c r="W1996" s="759"/>
      <c r="X1996" s="759"/>
      <c r="Y1996" s="759"/>
      <c r="Z1996" s="759"/>
    </row>
    <row r="1997" spans="1:26" s="760" customFormat="1" ht="12.75">
      <c r="A1997" s="694"/>
      <c r="B1997" s="695" t="s">
        <v>877</v>
      </c>
      <c r="C1997" s="699">
        <v>41000</v>
      </c>
      <c r="D1997" s="697">
        <f t="shared" si="244"/>
        <v>41000</v>
      </c>
      <c r="E1997" s="697">
        <f t="shared" si="245"/>
        <v>0</v>
      </c>
      <c r="F1997" s="582">
        <f t="shared" si="242"/>
        <v>0</v>
      </c>
      <c r="G1997" s="696"/>
      <c r="H1997" s="697"/>
      <c r="I1997" s="627"/>
      <c r="J1997" s="698"/>
      <c r="K1997" s="697"/>
      <c r="L1997" s="587"/>
      <c r="M1997" s="697">
        <v>41000</v>
      </c>
      <c r="N1997" s="697"/>
      <c r="O1997" s="627">
        <f t="shared" si="243"/>
        <v>0</v>
      </c>
      <c r="P1997" s="697"/>
      <c r="Q1997" s="697"/>
      <c r="R1997" s="715"/>
      <c r="S1997" s="758"/>
      <c r="T1997" s="758"/>
      <c r="U1997" s="758"/>
      <c r="V1997" s="758"/>
      <c r="W1997" s="759"/>
      <c r="X1997" s="759"/>
      <c r="Y1997" s="759"/>
      <c r="Z1997" s="759"/>
    </row>
    <row r="1998" spans="1:26" s="760" customFormat="1" ht="24">
      <c r="A1998" s="694"/>
      <c r="B1998" s="695" t="s">
        <v>878</v>
      </c>
      <c r="C1998" s="699">
        <v>63000</v>
      </c>
      <c r="D1998" s="697">
        <f t="shared" si="244"/>
        <v>63000</v>
      </c>
      <c r="E1998" s="697">
        <f>SUM(H1998+K1998+N1998+Q1998)</f>
        <v>31500</v>
      </c>
      <c r="F1998" s="582">
        <f>E1998/D1998*100</f>
        <v>50</v>
      </c>
      <c r="G1998" s="696"/>
      <c r="H1998" s="697"/>
      <c r="I1998" s="627"/>
      <c r="J1998" s="698"/>
      <c r="K1998" s="697"/>
      <c r="L1998" s="587"/>
      <c r="M1998" s="697">
        <v>63000</v>
      </c>
      <c r="N1998" s="697">
        <v>31500</v>
      </c>
      <c r="O1998" s="627">
        <f t="shared" si="243"/>
        <v>50</v>
      </c>
      <c r="P1998" s="697"/>
      <c r="Q1998" s="697"/>
      <c r="R1998" s="715"/>
      <c r="S1998" s="758"/>
      <c r="T1998" s="758"/>
      <c r="U1998" s="758"/>
      <c r="V1998" s="758"/>
      <c r="W1998" s="759"/>
      <c r="X1998" s="759"/>
      <c r="Y1998" s="759"/>
      <c r="Z1998" s="759"/>
    </row>
    <row r="1999" spans="1:26" s="760" customFormat="1" ht="36" hidden="1">
      <c r="A1999" s="694"/>
      <c r="B1999" s="695" t="s">
        <v>558</v>
      </c>
      <c r="C1999" s="699"/>
      <c r="D1999" s="697">
        <f t="shared" si="244"/>
        <v>0</v>
      </c>
      <c r="E1999" s="697">
        <f>SUM(H1999+K1999+N1999+Q1999)</f>
        <v>0</v>
      </c>
      <c r="F1999" s="582" t="e">
        <f>E1999/D1999*100</f>
        <v>#DIV/0!</v>
      </c>
      <c r="G1999" s="696"/>
      <c r="H1999" s="697"/>
      <c r="I1999" s="627"/>
      <c r="J1999" s="698"/>
      <c r="K1999" s="697"/>
      <c r="L1999" s="587"/>
      <c r="M1999" s="697"/>
      <c r="N1999" s="697"/>
      <c r="O1999" s="627" t="e">
        <f t="shared" si="243"/>
        <v>#DIV/0!</v>
      </c>
      <c r="P1999" s="697"/>
      <c r="Q1999" s="697"/>
      <c r="R1999" s="715"/>
      <c r="S1999" s="758"/>
      <c r="T1999" s="758"/>
      <c r="U1999" s="758"/>
      <c r="V1999" s="758"/>
      <c r="W1999" s="759"/>
      <c r="X1999" s="759"/>
      <c r="Y1999" s="759"/>
      <c r="Z1999" s="759"/>
    </row>
    <row r="2000" spans="1:26" s="760" customFormat="1" ht="12.75">
      <c r="A2000" s="694"/>
      <c r="B2000" s="695" t="s">
        <v>879</v>
      </c>
      <c r="C2000" s="699">
        <v>15400</v>
      </c>
      <c r="D2000" s="697">
        <f t="shared" si="244"/>
        <v>15400</v>
      </c>
      <c r="E2000" s="697">
        <f t="shared" si="245"/>
        <v>0</v>
      </c>
      <c r="F2000" s="582">
        <f t="shared" si="242"/>
        <v>0</v>
      </c>
      <c r="G2000" s="696"/>
      <c r="H2000" s="697"/>
      <c r="I2000" s="627"/>
      <c r="J2000" s="698"/>
      <c r="K2000" s="697"/>
      <c r="L2000" s="587"/>
      <c r="M2000" s="697">
        <v>15400</v>
      </c>
      <c r="N2000" s="697"/>
      <c r="O2000" s="627">
        <f t="shared" si="243"/>
        <v>0</v>
      </c>
      <c r="P2000" s="697"/>
      <c r="Q2000" s="697"/>
      <c r="R2000" s="715"/>
      <c r="S2000" s="758"/>
      <c r="T2000" s="758"/>
      <c r="U2000" s="758"/>
      <c r="V2000" s="758"/>
      <c r="W2000" s="759"/>
      <c r="X2000" s="759"/>
      <c r="Y2000" s="759"/>
      <c r="Z2000" s="759"/>
    </row>
    <row r="2001" spans="1:26" s="760" customFormat="1" ht="36" hidden="1">
      <c r="A2001" s="694"/>
      <c r="B2001" s="695" t="s">
        <v>559</v>
      </c>
      <c r="C2001" s="699"/>
      <c r="D2001" s="697">
        <f t="shared" si="244"/>
        <v>0</v>
      </c>
      <c r="E2001" s="697">
        <f t="shared" si="245"/>
        <v>0</v>
      </c>
      <c r="F2001" s="582" t="e">
        <f t="shared" si="242"/>
        <v>#DIV/0!</v>
      </c>
      <c r="G2001" s="696"/>
      <c r="H2001" s="697"/>
      <c r="I2001" s="627"/>
      <c r="J2001" s="698"/>
      <c r="K2001" s="697"/>
      <c r="L2001" s="587"/>
      <c r="M2001" s="697"/>
      <c r="N2001" s="697"/>
      <c r="O2001" s="627" t="e">
        <f t="shared" si="243"/>
        <v>#DIV/0!</v>
      </c>
      <c r="P2001" s="697"/>
      <c r="Q2001" s="697"/>
      <c r="R2001" s="715"/>
      <c r="S2001" s="758"/>
      <c r="T2001" s="758"/>
      <c r="U2001" s="758"/>
      <c r="V2001" s="758"/>
      <c r="W2001" s="759"/>
      <c r="X2001" s="759"/>
      <c r="Y2001" s="759"/>
      <c r="Z2001" s="759"/>
    </row>
    <row r="2002" spans="1:26" s="760" customFormat="1" ht="24">
      <c r="A2002" s="694"/>
      <c r="B2002" s="695" t="s">
        <v>560</v>
      </c>
      <c r="C2002" s="699">
        <v>46000</v>
      </c>
      <c r="D2002" s="697">
        <f t="shared" si="244"/>
        <v>46000</v>
      </c>
      <c r="E2002" s="697">
        <f t="shared" si="245"/>
        <v>0</v>
      </c>
      <c r="F2002" s="582">
        <f t="shared" si="242"/>
        <v>0</v>
      </c>
      <c r="G2002" s="696"/>
      <c r="H2002" s="697"/>
      <c r="I2002" s="627"/>
      <c r="J2002" s="698"/>
      <c r="K2002" s="697"/>
      <c r="L2002" s="587"/>
      <c r="M2002" s="697">
        <v>46000</v>
      </c>
      <c r="N2002" s="697"/>
      <c r="O2002" s="627">
        <f t="shared" si="243"/>
        <v>0</v>
      </c>
      <c r="P2002" s="697"/>
      <c r="Q2002" s="697"/>
      <c r="R2002" s="715"/>
      <c r="S2002" s="758"/>
      <c r="T2002" s="758"/>
      <c r="U2002" s="758"/>
      <c r="V2002" s="758"/>
      <c r="W2002" s="759"/>
      <c r="X2002" s="759"/>
      <c r="Y2002" s="759"/>
      <c r="Z2002" s="759"/>
    </row>
    <row r="2003" spans="1:26" s="760" customFormat="1" ht="48" hidden="1">
      <c r="A2003" s="694"/>
      <c r="B2003" s="695" t="s">
        <v>561</v>
      </c>
      <c r="C2003" s="699"/>
      <c r="D2003" s="697">
        <f t="shared" si="244"/>
        <v>0</v>
      </c>
      <c r="E2003" s="697">
        <f>SUM(H2003+K2003+N2003+Q2003)</f>
        <v>0</v>
      </c>
      <c r="F2003" s="582" t="e">
        <f>E2003/D2003*100</f>
        <v>#DIV/0!</v>
      </c>
      <c r="G2003" s="696"/>
      <c r="H2003" s="697"/>
      <c r="I2003" s="627"/>
      <c r="J2003" s="698"/>
      <c r="K2003" s="697"/>
      <c r="L2003" s="587"/>
      <c r="M2003" s="697"/>
      <c r="N2003" s="697"/>
      <c r="O2003" s="627" t="e">
        <f t="shared" si="243"/>
        <v>#DIV/0!</v>
      </c>
      <c r="P2003" s="697"/>
      <c r="Q2003" s="697"/>
      <c r="R2003" s="715"/>
      <c r="S2003" s="758"/>
      <c r="T2003" s="758"/>
      <c r="U2003" s="758"/>
      <c r="V2003" s="758"/>
      <c r="W2003" s="759"/>
      <c r="X2003" s="759"/>
      <c r="Y2003" s="759"/>
      <c r="Z2003" s="759"/>
    </row>
    <row r="2004" spans="1:26" s="639" customFormat="1" ht="96" customHeight="1">
      <c r="A2004" s="647">
        <v>6220</v>
      </c>
      <c r="B2004" s="651" t="s">
        <v>18</v>
      </c>
      <c r="C2004" s="603">
        <v>1700000</v>
      </c>
      <c r="D2004" s="581">
        <f>G2004+J2004+P2004+M2004</f>
        <v>1700000</v>
      </c>
      <c r="E2004" s="581">
        <f>SUM(H2004+K2004+N2004+Q2004)</f>
        <v>0</v>
      </c>
      <c r="F2004" s="761">
        <f>E2004/D2004*100</f>
        <v>0</v>
      </c>
      <c r="G2004" s="693"/>
      <c r="H2004" s="581"/>
      <c r="I2004" s="863"/>
      <c r="J2004" s="586"/>
      <c r="K2004" s="581"/>
      <c r="L2004" s="649"/>
      <c r="M2004" s="581">
        <v>1700000</v>
      </c>
      <c r="N2004" s="581"/>
      <c r="O2004" s="627">
        <f t="shared" si="243"/>
        <v>0</v>
      </c>
      <c r="P2004" s="581"/>
      <c r="Q2004" s="581"/>
      <c r="R2004" s="653"/>
      <c r="S2004" s="564"/>
      <c r="T2004" s="564"/>
      <c r="U2004" s="564"/>
      <c r="V2004" s="564"/>
      <c r="W2004" s="565"/>
      <c r="X2004" s="565"/>
      <c r="Y2004" s="565"/>
      <c r="Z2004" s="565"/>
    </row>
    <row r="2005" spans="1:26" s="639" customFormat="1" ht="135.75" customHeight="1">
      <c r="A2005" s="647">
        <v>6060</v>
      </c>
      <c r="B2005" s="651" t="s">
        <v>19</v>
      </c>
      <c r="C2005" s="674">
        <v>282000</v>
      </c>
      <c r="D2005" s="581">
        <f>G2005+J2005+P2005+M2005</f>
        <v>282000</v>
      </c>
      <c r="E2005" s="581">
        <f>SUM(H2005+K2005+N2005+Q2005)</f>
        <v>0</v>
      </c>
      <c r="F2005" s="761">
        <f>E2005/D2005*100</f>
        <v>0</v>
      </c>
      <c r="G2005" s="728"/>
      <c r="H2005" s="675"/>
      <c r="I2005" s="962"/>
      <c r="J2005" s="676"/>
      <c r="K2005" s="675"/>
      <c r="L2005" s="689"/>
      <c r="M2005" s="675">
        <v>282000</v>
      </c>
      <c r="N2005" s="675"/>
      <c r="O2005" s="627">
        <f t="shared" si="243"/>
        <v>0</v>
      </c>
      <c r="P2005" s="675"/>
      <c r="Q2005" s="675"/>
      <c r="R2005" s="680"/>
      <c r="S2005" s="564"/>
      <c r="T2005" s="564"/>
      <c r="U2005" s="564"/>
      <c r="V2005" s="564"/>
      <c r="W2005" s="565"/>
      <c r="X2005" s="565"/>
      <c r="Y2005" s="565"/>
      <c r="Z2005" s="565"/>
    </row>
    <row r="2006" spans="1:26" s="639" customFormat="1" ht="18.75" customHeight="1">
      <c r="A2006" s="640">
        <v>92118</v>
      </c>
      <c r="B2006" s="742" t="s">
        <v>880</v>
      </c>
      <c r="C2006" s="608">
        <f>SUM(C2007)+C2023+C2030+C2032+C2031</f>
        <v>2583600</v>
      </c>
      <c r="D2006" s="595">
        <f t="shared" si="244"/>
        <v>2583600</v>
      </c>
      <c r="E2006" s="595">
        <f>H2006+K2006+Q2006+N2006</f>
        <v>527400</v>
      </c>
      <c r="F2006" s="596">
        <f t="shared" si="242"/>
        <v>20.41337668369717</v>
      </c>
      <c r="G2006" s="730"/>
      <c r="H2006" s="595"/>
      <c r="I2006" s="624"/>
      <c r="J2006" s="600"/>
      <c r="K2006" s="595"/>
      <c r="L2006" s="601"/>
      <c r="M2006" s="595">
        <f>SUM(M2007)+M2023+M2030+M2032+M2031</f>
        <v>2583600</v>
      </c>
      <c r="N2006" s="595">
        <f>SUM(N2007)+N2023+N2030+N2032+N2031</f>
        <v>527400</v>
      </c>
      <c r="O2006" s="624">
        <f t="shared" si="243"/>
        <v>20.41337668369717</v>
      </c>
      <c r="P2006" s="595">
        <f>P2007</f>
        <v>0</v>
      </c>
      <c r="Q2006" s="595">
        <f>Q2007</f>
        <v>0</v>
      </c>
      <c r="R2006" s="880"/>
      <c r="S2006" s="564"/>
      <c r="T2006" s="564"/>
      <c r="U2006" s="564"/>
      <c r="V2006" s="564"/>
      <c r="W2006" s="565"/>
      <c r="X2006" s="565"/>
      <c r="Y2006" s="565"/>
      <c r="Z2006" s="565"/>
    </row>
    <row r="2007" spans="1:26" s="639" customFormat="1" ht="40.5" customHeight="1">
      <c r="A2007" s="667">
        <v>2480</v>
      </c>
      <c r="B2007" s="668" t="s">
        <v>859</v>
      </c>
      <c r="C2007" s="606">
        <f>SUM(C2008:C2021)</f>
        <v>2183600</v>
      </c>
      <c r="D2007" s="615">
        <f t="shared" si="244"/>
        <v>2183600</v>
      </c>
      <c r="E2007" s="615">
        <f>SUM(H2007+K2007+N2007+Q2007)</f>
        <v>527400</v>
      </c>
      <c r="F2007" s="604">
        <f t="shared" si="242"/>
        <v>24.15277523355926</v>
      </c>
      <c r="G2007" s="603"/>
      <c r="H2007" s="581"/>
      <c r="I2007" s="669"/>
      <c r="J2007" s="586"/>
      <c r="K2007" s="581"/>
      <c r="L2007" s="587"/>
      <c r="M2007" s="606">
        <f>SUM(M2008:M2022)</f>
        <v>2183600</v>
      </c>
      <c r="N2007" s="615">
        <f>SUM(N2008:N2022)</f>
        <v>527400</v>
      </c>
      <c r="O2007" s="627">
        <f t="shared" si="243"/>
        <v>24.15277523355926</v>
      </c>
      <c r="P2007" s="581">
        <f>P2022</f>
        <v>0</v>
      </c>
      <c r="Q2007" s="581">
        <f>Q2022</f>
        <v>0</v>
      </c>
      <c r="R2007" s="886"/>
      <c r="S2007" s="564"/>
      <c r="T2007" s="564"/>
      <c r="U2007" s="564"/>
      <c r="V2007" s="564"/>
      <c r="W2007" s="565"/>
      <c r="X2007" s="565"/>
      <c r="Y2007" s="565"/>
      <c r="Z2007" s="565"/>
    </row>
    <row r="2008" spans="1:26" s="760" customFormat="1" ht="12.75">
      <c r="A2008" s="694"/>
      <c r="B2008" s="695" t="s">
        <v>860</v>
      </c>
      <c r="C2008" s="699">
        <v>2109600</v>
      </c>
      <c r="D2008" s="697">
        <f t="shared" si="244"/>
        <v>2109600</v>
      </c>
      <c r="E2008" s="697">
        <f aca="true" t="shared" si="246" ref="E2008:E2025">SUM(H2008+K2008+N2008+Q2008)</f>
        <v>527400</v>
      </c>
      <c r="F2008" s="582">
        <f t="shared" si="242"/>
        <v>25</v>
      </c>
      <c r="G2008" s="699"/>
      <c r="H2008" s="697"/>
      <c r="I2008" s="627"/>
      <c r="J2008" s="698"/>
      <c r="K2008" s="697"/>
      <c r="L2008" s="587"/>
      <c r="M2008" s="699">
        <v>2109600</v>
      </c>
      <c r="N2008" s="697">
        <f>175800+175800+100000+75800</f>
        <v>527400</v>
      </c>
      <c r="O2008" s="627">
        <f t="shared" si="243"/>
        <v>25</v>
      </c>
      <c r="P2008" s="697"/>
      <c r="Q2008" s="697"/>
      <c r="R2008" s="715"/>
      <c r="S2008" s="758"/>
      <c r="T2008" s="758"/>
      <c r="U2008" s="758"/>
      <c r="V2008" s="758"/>
      <c r="W2008" s="759"/>
      <c r="X2008" s="759"/>
      <c r="Y2008" s="759"/>
      <c r="Z2008" s="759"/>
    </row>
    <row r="2009" spans="1:26" s="760" customFormat="1" ht="24" hidden="1">
      <c r="A2009" s="694"/>
      <c r="B2009" s="695" t="s">
        <v>881</v>
      </c>
      <c r="C2009" s="699"/>
      <c r="D2009" s="697">
        <f t="shared" si="244"/>
        <v>0</v>
      </c>
      <c r="E2009" s="697">
        <f t="shared" si="246"/>
        <v>0</v>
      </c>
      <c r="F2009" s="582" t="e">
        <f t="shared" si="242"/>
        <v>#DIV/0!</v>
      </c>
      <c r="G2009" s="699"/>
      <c r="H2009" s="697"/>
      <c r="I2009" s="627"/>
      <c r="J2009" s="698"/>
      <c r="K2009" s="697"/>
      <c r="L2009" s="587"/>
      <c r="M2009" s="699"/>
      <c r="N2009" s="697"/>
      <c r="O2009" s="627" t="e">
        <f t="shared" si="243"/>
        <v>#DIV/0!</v>
      </c>
      <c r="P2009" s="697"/>
      <c r="Q2009" s="697"/>
      <c r="R2009" s="715"/>
      <c r="S2009" s="758"/>
      <c r="T2009" s="758"/>
      <c r="U2009" s="758"/>
      <c r="V2009" s="758"/>
      <c r="W2009" s="759"/>
      <c r="X2009" s="759"/>
      <c r="Y2009" s="759"/>
      <c r="Z2009" s="759"/>
    </row>
    <row r="2010" spans="1:26" s="760" customFormat="1" ht="12.75" hidden="1">
      <c r="A2010" s="694"/>
      <c r="B2010" s="695" t="s">
        <v>562</v>
      </c>
      <c r="C2010" s="699"/>
      <c r="D2010" s="697">
        <f>G2010+J2010+P2010+M2010</f>
        <v>0</v>
      </c>
      <c r="E2010" s="697">
        <f>SUM(H2010+K2010+N2010+Q2010)</f>
        <v>0</v>
      </c>
      <c r="F2010" s="582" t="e">
        <f>E2010/D2010*100</f>
        <v>#DIV/0!</v>
      </c>
      <c r="G2010" s="699"/>
      <c r="H2010" s="697"/>
      <c r="I2010" s="627"/>
      <c r="J2010" s="698"/>
      <c r="K2010" s="697"/>
      <c r="L2010" s="587"/>
      <c r="M2010" s="699"/>
      <c r="N2010" s="697"/>
      <c r="O2010" s="627" t="e">
        <f t="shared" si="243"/>
        <v>#DIV/0!</v>
      </c>
      <c r="P2010" s="697"/>
      <c r="Q2010" s="697"/>
      <c r="R2010" s="715"/>
      <c r="S2010" s="758"/>
      <c r="T2010" s="758"/>
      <c r="U2010" s="758"/>
      <c r="V2010" s="758"/>
      <c r="W2010" s="759"/>
      <c r="X2010" s="759"/>
      <c r="Y2010" s="759"/>
      <c r="Z2010" s="759"/>
    </row>
    <row r="2011" spans="1:26" s="760" customFormat="1" ht="24">
      <c r="A2011" s="694"/>
      <c r="B2011" s="695" t="s">
        <v>563</v>
      </c>
      <c r="C2011" s="699">
        <v>20000</v>
      </c>
      <c r="D2011" s="697">
        <f>G2011+J2011+P2011+M2011</f>
        <v>20000</v>
      </c>
      <c r="E2011" s="697">
        <f>SUM(H2011+K2011+N2011+Q2011)</f>
        <v>0</v>
      </c>
      <c r="F2011" s="582">
        <f>E2011/D2011*100</f>
        <v>0</v>
      </c>
      <c r="G2011" s="699"/>
      <c r="H2011" s="697"/>
      <c r="I2011" s="627"/>
      <c r="J2011" s="698"/>
      <c r="K2011" s="697"/>
      <c r="L2011" s="587"/>
      <c r="M2011" s="699">
        <v>20000</v>
      </c>
      <c r="N2011" s="697"/>
      <c r="O2011" s="627">
        <f t="shared" si="243"/>
        <v>0</v>
      </c>
      <c r="P2011" s="697"/>
      <c r="Q2011" s="697"/>
      <c r="R2011" s="715"/>
      <c r="S2011" s="758"/>
      <c r="T2011" s="758"/>
      <c r="U2011" s="758"/>
      <c r="V2011" s="758"/>
      <c r="W2011" s="759"/>
      <c r="X2011" s="759"/>
      <c r="Y2011" s="759"/>
      <c r="Z2011" s="759"/>
    </row>
    <row r="2012" spans="1:26" s="760" customFormat="1" ht="24" hidden="1">
      <c r="A2012" s="694"/>
      <c r="B2012" s="695" t="s">
        <v>882</v>
      </c>
      <c r="C2012" s="699"/>
      <c r="D2012" s="697">
        <f t="shared" si="244"/>
        <v>0</v>
      </c>
      <c r="E2012" s="697">
        <f t="shared" si="246"/>
        <v>0</v>
      </c>
      <c r="F2012" s="582" t="e">
        <f t="shared" si="242"/>
        <v>#DIV/0!</v>
      </c>
      <c r="G2012" s="699"/>
      <c r="H2012" s="697"/>
      <c r="I2012" s="627"/>
      <c r="J2012" s="698"/>
      <c r="K2012" s="697"/>
      <c r="L2012" s="587"/>
      <c r="M2012" s="699"/>
      <c r="N2012" s="697"/>
      <c r="O2012" s="627" t="e">
        <f t="shared" si="243"/>
        <v>#DIV/0!</v>
      </c>
      <c r="P2012" s="697"/>
      <c r="Q2012" s="697"/>
      <c r="R2012" s="715"/>
      <c r="S2012" s="758"/>
      <c r="T2012" s="758"/>
      <c r="U2012" s="758"/>
      <c r="V2012" s="758"/>
      <c r="W2012" s="759"/>
      <c r="X2012" s="759"/>
      <c r="Y2012" s="759"/>
      <c r="Z2012" s="759"/>
    </row>
    <row r="2013" spans="1:26" s="760" customFormat="1" ht="24">
      <c r="A2013" s="694"/>
      <c r="B2013" s="695" t="s">
        <v>564</v>
      </c>
      <c r="C2013" s="699">
        <v>25000</v>
      </c>
      <c r="D2013" s="697">
        <f t="shared" si="244"/>
        <v>25000</v>
      </c>
      <c r="E2013" s="697">
        <f t="shared" si="246"/>
        <v>0</v>
      </c>
      <c r="F2013" s="582">
        <f t="shared" si="242"/>
        <v>0</v>
      </c>
      <c r="G2013" s="699"/>
      <c r="H2013" s="697"/>
      <c r="I2013" s="627"/>
      <c r="J2013" s="698"/>
      <c r="K2013" s="697"/>
      <c r="L2013" s="587"/>
      <c r="M2013" s="699">
        <v>25000</v>
      </c>
      <c r="N2013" s="697"/>
      <c r="O2013" s="627">
        <f t="shared" si="243"/>
        <v>0</v>
      </c>
      <c r="P2013" s="697"/>
      <c r="Q2013" s="697"/>
      <c r="R2013" s="715"/>
      <c r="S2013" s="758"/>
      <c r="T2013" s="758"/>
      <c r="U2013" s="758"/>
      <c r="V2013" s="758"/>
      <c r="W2013" s="759"/>
      <c r="X2013" s="759"/>
      <c r="Y2013" s="759"/>
      <c r="Z2013" s="759"/>
    </row>
    <row r="2014" spans="1:26" s="760" customFormat="1" ht="36" hidden="1">
      <c r="A2014" s="694"/>
      <c r="B2014" s="695" t="s">
        <v>862</v>
      </c>
      <c r="C2014" s="699"/>
      <c r="D2014" s="697">
        <f t="shared" si="244"/>
        <v>0</v>
      </c>
      <c r="E2014" s="697">
        <f t="shared" si="246"/>
        <v>0</v>
      </c>
      <c r="F2014" s="582"/>
      <c r="G2014" s="699"/>
      <c r="H2014" s="697"/>
      <c r="I2014" s="585"/>
      <c r="J2014" s="698"/>
      <c r="K2014" s="697"/>
      <c r="L2014" s="587"/>
      <c r="M2014" s="699"/>
      <c r="N2014" s="697"/>
      <c r="O2014" s="627"/>
      <c r="P2014" s="697"/>
      <c r="Q2014" s="697"/>
      <c r="R2014" s="715"/>
      <c r="S2014" s="758"/>
      <c r="T2014" s="758"/>
      <c r="U2014" s="758"/>
      <c r="V2014" s="758"/>
      <c r="W2014" s="759"/>
      <c r="X2014" s="759"/>
      <c r="Y2014" s="759"/>
      <c r="Z2014" s="759"/>
    </row>
    <row r="2015" spans="1:26" s="760" customFormat="1" ht="96" hidden="1">
      <c r="A2015" s="694" t="s">
        <v>302</v>
      </c>
      <c r="B2015" s="963" t="s">
        <v>565</v>
      </c>
      <c r="C2015" s="699"/>
      <c r="D2015" s="697">
        <f>G2015+J2015+P2015+M2015</f>
        <v>0</v>
      </c>
      <c r="E2015" s="697">
        <f>SUM(H2015+K2015+N2015+Q2015)</f>
        <v>0</v>
      </c>
      <c r="F2015" s="582" t="e">
        <f>E2015/D2015*100</f>
        <v>#DIV/0!</v>
      </c>
      <c r="G2015" s="699"/>
      <c r="H2015" s="697"/>
      <c r="I2015" s="585"/>
      <c r="J2015" s="698"/>
      <c r="K2015" s="697"/>
      <c r="L2015" s="587"/>
      <c r="M2015" s="699"/>
      <c r="N2015" s="697"/>
      <c r="O2015" s="627" t="e">
        <f t="shared" si="243"/>
        <v>#DIV/0!</v>
      </c>
      <c r="P2015" s="697"/>
      <c r="Q2015" s="697"/>
      <c r="R2015" s="715"/>
      <c r="S2015" s="758"/>
      <c r="T2015" s="758"/>
      <c r="U2015" s="758"/>
      <c r="V2015" s="758"/>
      <c r="W2015" s="759"/>
      <c r="X2015" s="759"/>
      <c r="Y2015" s="759"/>
      <c r="Z2015" s="759"/>
    </row>
    <row r="2016" spans="1:26" s="760" customFormat="1" ht="24">
      <c r="A2016" s="694" t="s">
        <v>302</v>
      </c>
      <c r="B2016" s="963" t="s">
        <v>566</v>
      </c>
      <c r="C2016" s="699">
        <v>14000</v>
      </c>
      <c r="D2016" s="697">
        <f>G2016+J2016+P2016+M2016</f>
        <v>14000</v>
      </c>
      <c r="E2016" s="697">
        <f>SUM(H2016+K2016+N2016+Q2016)</f>
        <v>0</v>
      </c>
      <c r="F2016" s="582">
        <f>E2016/D2016*100</f>
        <v>0</v>
      </c>
      <c r="G2016" s="699"/>
      <c r="H2016" s="697"/>
      <c r="I2016" s="585"/>
      <c r="J2016" s="698"/>
      <c r="K2016" s="697"/>
      <c r="L2016" s="587"/>
      <c r="M2016" s="699">
        <v>14000</v>
      </c>
      <c r="N2016" s="697"/>
      <c r="O2016" s="627">
        <f t="shared" si="243"/>
        <v>0</v>
      </c>
      <c r="P2016" s="697"/>
      <c r="Q2016" s="697"/>
      <c r="R2016" s="715"/>
      <c r="S2016" s="758"/>
      <c r="T2016" s="758"/>
      <c r="U2016" s="758"/>
      <c r="V2016" s="758"/>
      <c r="W2016" s="759"/>
      <c r="X2016" s="759"/>
      <c r="Y2016" s="759"/>
      <c r="Z2016" s="759"/>
    </row>
    <row r="2017" spans="1:26" s="760" customFormat="1" ht="72" hidden="1">
      <c r="A2017" s="694" t="s">
        <v>302</v>
      </c>
      <c r="B2017" s="963" t="s">
        <v>567</v>
      </c>
      <c r="C2017" s="699"/>
      <c r="D2017" s="697">
        <f>G2017+J2017+P2017+M2017</f>
        <v>0</v>
      </c>
      <c r="E2017" s="697">
        <f>SUM(H2017+K2017+N2017+Q2017)</f>
        <v>0</v>
      </c>
      <c r="F2017" s="582" t="e">
        <f>E2017/D2017*100</f>
        <v>#DIV/0!</v>
      </c>
      <c r="G2017" s="699"/>
      <c r="H2017" s="697"/>
      <c r="I2017" s="585"/>
      <c r="J2017" s="698"/>
      <c r="K2017" s="697"/>
      <c r="L2017" s="587"/>
      <c r="M2017" s="699"/>
      <c r="N2017" s="697"/>
      <c r="O2017" s="627" t="e">
        <f t="shared" si="243"/>
        <v>#DIV/0!</v>
      </c>
      <c r="P2017" s="697"/>
      <c r="Q2017" s="697"/>
      <c r="R2017" s="715"/>
      <c r="S2017" s="758"/>
      <c r="T2017" s="758"/>
      <c r="U2017" s="758"/>
      <c r="V2017" s="758"/>
      <c r="W2017" s="759"/>
      <c r="X2017" s="759"/>
      <c r="Y2017" s="759"/>
      <c r="Z2017" s="759"/>
    </row>
    <row r="2018" spans="1:26" s="760" customFormat="1" ht="72" hidden="1">
      <c r="A2018" s="694" t="s">
        <v>302</v>
      </c>
      <c r="B2018" s="963" t="s">
        <v>568</v>
      </c>
      <c r="C2018" s="699"/>
      <c r="D2018" s="697">
        <f>G2018+J2018+P2018+M2018</f>
        <v>0</v>
      </c>
      <c r="E2018" s="697">
        <f>SUM(H2018+K2018+N2018+Q2018)</f>
        <v>0</v>
      </c>
      <c r="F2018" s="582" t="e">
        <f>E2018/D2018*100</f>
        <v>#DIV/0!</v>
      </c>
      <c r="G2018" s="699"/>
      <c r="H2018" s="697"/>
      <c r="I2018" s="585"/>
      <c r="J2018" s="698"/>
      <c r="K2018" s="697"/>
      <c r="L2018" s="587"/>
      <c r="M2018" s="699"/>
      <c r="N2018" s="697"/>
      <c r="O2018" s="627" t="e">
        <f t="shared" si="243"/>
        <v>#DIV/0!</v>
      </c>
      <c r="P2018" s="697"/>
      <c r="Q2018" s="697"/>
      <c r="R2018" s="715"/>
      <c r="S2018" s="758"/>
      <c r="T2018" s="758"/>
      <c r="U2018" s="758"/>
      <c r="V2018" s="758"/>
      <c r="W2018" s="759"/>
      <c r="X2018" s="759"/>
      <c r="Y2018" s="759"/>
      <c r="Z2018" s="759"/>
    </row>
    <row r="2019" spans="1:26" s="760" customFormat="1" ht="36" hidden="1">
      <c r="A2019" s="694"/>
      <c r="B2019" s="695" t="s">
        <v>569</v>
      </c>
      <c r="C2019" s="699"/>
      <c r="D2019" s="697">
        <f>G2019+J2019+P2019+M2019</f>
        <v>0</v>
      </c>
      <c r="E2019" s="697">
        <f>SUM(H2019+K2019+N2019+Q2019)</f>
        <v>0</v>
      </c>
      <c r="F2019" s="582" t="e">
        <f>E2019/D2019*100</f>
        <v>#DIV/0!</v>
      </c>
      <c r="G2019" s="699"/>
      <c r="H2019" s="697"/>
      <c r="I2019" s="585"/>
      <c r="J2019" s="698"/>
      <c r="K2019" s="697"/>
      <c r="L2019" s="587"/>
      <c r="M2019" s="699"/>
      <c r="N2019" s="697"/>
      <c r="O2019" s="627" t="e">
        <f t="shared" si="243"/>
        <v>#DIV/0!</v>
      </c>
      <c r="P2019" s="697"/>
      <c r="Q2019" s="697"/>
      <c r="R2019" s="715"/>
      <c r="S2019" s="758"/>
      <c r="T2019" s="758"/>
      <c r="U2019" s="758"/>
      <c r="V2019" s="758"/>
      <c r="W2019" s="759"/>
      <c r="X2019" s="759"/>
      <c r="Y2019" s="759"/>
      <c r="Z2019" s="759"/>
    </row>
    <row r="2020" spans="1:26" s="760" customFormat="1" ht="12.75" hidden="1">
      <c r="A2020" s="694"/>
      <c r="B2020" s="695" t="s">
        <v>570</v>
      </c>
      <c r="C2020" s="699"/>
      <c r="D2020" s="697">
        <f t="shared" si="244"/>
        <v>0</v>
      </c>
      <c r="E2020" s="697">
        <f t="shared" si="246"/>
        <v>0</v>
      </c>
      <c r="F2020" s="582" t="e">
        <f t="shared" si="242"/>
        <v>#DIV/0!</v>
      </c>
      <c r="G2020" s="699"/>
      <c r="H2020" s="697"/>
      <c r="I2020" s="585"/>
      <c r="J2020" s="698"/>
      <c r="K2020" s="697"/>
      <c r="L2020" s="587"/>
      <c r="M2020" s="699"/>
      <c r="N2020" s="697"/>
      <c r="O2020" s="627" t="e">
        <f t="shared" si="243"/>
        <v>#DIV/0!</v>
      </c>
      <c r="P2020" s="697"/>
      <c r="Q2020" s="697"/>
      <c r="R2020" s="715"/>
      <c r="S2020" s="758"/>
      <c r="T2020" s="758"/>
      <c r="U2020" s="758"/>
      <c r="V2020" s="758"/>
      <c r="W2020" s="759"/>
      <c r="X2020" s="759"/>
      <c r="Y2020" s="759"/>
      <c r="Z2020" s="759"/>
    </row>
    <row r="2021" spans="1:26" s="760" customFormat="1" ht="36">
      <c r="A2021" s="694"/>
      <c r="B2021" s="695" t="s">
        <v>883</v>
      </c>
      <c r="C2021" s="699">
        <v>15000</v>
      </c>
      <c r="D2021" s="697">
        <f t="shared" si="244"/>
        <v>15000</v>
      </c>
      <c r="E2021" s="697">
        <f t="shared" si="246"/>
        <v>0</v>
      </c>
      <c r="F2021" s="582">
        <f t="shared" si="242"/>
        <v>0</v>
      </c>
      <c r="G2021" s="699"/>
      <c r="H2021" s="697"/>
      <c r="I2021" s="585"/>
      <c r="J2021" s="698"/>
      <c r="K2021" s="697"/>
      <c r="L2021" s="587"/>
      <c r="M2021" s="699">
        <v>15000</v>
      </c>
      <c r="N2021" s="697"/>
      <c r="O2021" s="627">
        <f t="shared" si="243"/>
        <v>0</v>
      </c>
      <c r="P2021" s="697"/>
      <c r="Q2021" s="697"/>
      <c r="R2021" s="715"/>
      <c r="S2021" s="758"/>
      <c r="T2021" s="758"/>
      <c r="U2021" s="758"/>
      <c r="V2021" s="758"/>
      <c r="W2021" s="759"/>
      <c r="X2021" s="759"/>
      <c r="Y2021" s="759"/>
      <c r="Z2021" s="759"/>
    </row>
    <row r="2022" spans="1:26" s="760" customFormat="1" ht="12.75" hidden="1">
      <c r="A2022" s="694"/>
      <c r="B2022" s="695" t="s">
        <v>571</v>
      </c>
      <c r="C2022" s="699"/>
      <c r="D2022" s="697">
        <f t="shared" si="244"/>
        <v>0</v>
      </c>
      <c r="E2022" s="697">
        <f t="shared" si="246"/>
        <v>0</v>
      </c>
      <c r="F2022" s="582" t="e">
        <f t="shared" si="242"/>
        <v>#DIV/0!</v>
      </c>
      <c r="G2022" s="699"/>
      <c r="H2022" s="697"/>
      <c r="I2022" s="585"/>
      <c r="J2022" s="698"/>
      <c r="K2022" s="697"/>
      <c r="L2022" s="587"/>
      <c r="M2022" s="698"/>
      <c r="N2022" s="697"/>
      <c r="O2022" s="627"/>
      <c r="P2022" s="697"/>
      <c r="Q2022" s="697"/>
      <c r="R2022" s="897" t="e">
        <f>Q2022/P2022*100</f>
        <v>#DIV/0!</v>
      </c>
      <c r="S2022" s="758"/>
      <c r="T2022" s="758"/>
      <c r="U2022" s="758"/>
      <c r="V2022" s="758"/>
      <c r="W2022" s="759"/>
      <c r="X2022" s="759"/>
      <c r="Y2022" s="759"/>
      <c r="Z2022" s="759"/>
    </row>
    <row r="2023" spans="1:26" s="639" customFormat="1" ht="87" customHeight="1">
      <c r="A2023" s="647">
        <v>6220</v>
      </c>
      <c r="B2023" s="651" t="s">
        <v>884</v>
      </c>
      <c r="C2023" s="603">
        <f>SUM(C2024:C2029)</f>
        <v>400000</v>
      </c>
      <c r="D2023" s="581">
        <f t="shared" si="244"/>
        <v>400000</v>
      </c>
      <c r="E2023" s="581">
        <f t="shared" si="246"/>
        <v>0</v>
      </c>
      <c r="F2023" s="582">
        <f t="shared" si="242"/>
        <v>0</v>
      </c>
      <c r="G2023" s="603"/>
      <c r="H2023" s="581"/>
      <c r="I2023" s="585"/>
      <c r="J2023" s="586"/>
      <c r="K2023" s="581"/>
      <c r="L2023" s="587"/>
      <c r="M2023" s="586">
        <f>SUM(M2024:M2029)</f>
        <v>400000</v>
      </c>
      <c r="N2023" s="581">
        <f>SUM(N2024:N2029)</f>
        <v>0</v>
      </c>
      <c r="O2023" s="627">
        <f aca="true" t="shared" si="247" ref="O2023:O2029">N2023/M2023*100</f>
        <v>0</v>
      </c>
      <c r="P2023" s="581"/>
      <c r="Q2023" s="581"/>
      <c r="R2023" s="653"/>
      <c r="S2023" s="564"/>
      <c r="T2023" s="564"/>
      <c r="U2023" s="564"/>
      <c r="V2023" s="564"/>
      <c r="W2023" s="565"/>
      <c r="X2023" s="565"/>
      <c r="Y2023" s="565"/>
      <c r="Z2023" s="565"/>
    </row>
    <row r="2024" spans="1:26" s="760" customFormat="1" ht="12.75" hidden="1">
      <c r="A2024" s="694"/>
      <c r="B2024" s="695" t="s">
        <v>572</v>
      </c>
      <c r="C2024" s="699"/>
      <c r="D2024" s="697">
        <f t="shared" si="244"/>
        <v>0</v>
      </c>
      <c r="E2024" s="697">
        <f t="shared" si="246"/>
        <v>0</v>
      </c>
      <c r="F2024" s="582" t="e">
        <f t="shared" si="242"/>
        <v>#DIV/0!</v>
      </c>
      <c r="G2024" s="699"/>
      <c r="H2024" s="697"/>
      <c r="I2024" s="585"/>
      <c r="J2024" s="698"/>
      <c r="K2024" s="697"/>
      <c r="L2024" s="587"/>
      <c r="M2024" s="698"/>
      <c r="N2024" s="697"/>
      <c r="O2024" s="627" t="e">
        <f t="shared" si="247"/>
        <v>#DIV/0!</v>
      </c>
      <c r="P2024" s="697"/>
      <c r="Q2024" s="697"/>
      <c r="R2024" s="715"/>
      <c r="S2024" s="758"/>
      <c r="T2024" s="758"/>
      <c r="U2024" s="758"/>
      <c r="V2024" s="758"/>
      <c r="W2024" s="759"/>
      <c r="X2024" s="759"/>
      <c r="Y2024" s="759"/>
      <c r="Z2024" s="759"/>
    </row>
    <row r="2025" spans="1:26" s="760" customFormat="1" ht="37.5" customHeight="1">
      <c r="A2025" s="694"/>
      <c r="B2025" s="695" t="s">
        <v>20</v>
      </c>
      <c r="C2025" s="699">
        <v>400000</v>
      </c>
      <c r="D2025" s="697">
        <f t="shared" si="244"/>
        <v>400000</v>
      </c>
      <c r="E2025" s="697">
        <f t="shared" si="246"/>
        <v>0</v>
      </c>
      <c r="F2025" s="582">
        <f t="shared" si="242"/>
        <v>0</v>
      </c>
      <c r="G2025" s="699"/>
      <c r="H2025" s="697"/>
      <c r="I2025" s="585"/>
      <c r="J2025" s="698"/>
      <c r="K2025" s="697"/>
      <c r="L2025" s="587"/>
      <c r="M2025" s="698">
        <v>400000</v>
      </c>
      <c r="N2025" s="697"/>
      <c r="O2025" s="627">
        <f t="shared" si="247"/>
        <v>0</v>
      </c>
      <c r="P2025" s="697"/>
      <c r="Q2025" s="697"/>
      <c r="R2025" s="715"/>
      <c r="S2025" s="758"/>
      <c r="T2025" s="758"/>
      <c r="U2025" s="758"/>
      <c r="V2025" s="758"/>
      <c r="W2025" s="759"/>
      <c r="X2025" s="759"/>
      <c r="Y2025" s="759"/>
      <c r="Z2025" s="759"/>
    </row>
    <row r="2026" spans="1:26" s="760" customFormat="1" ht="36" hidden="1">
      <c r="A2026" s="694"/>
      <c r="B2026" s="695" t="s">
        <v>573</v>
      </c>
      <c r="C2026" s="699"/>
      <c r="D2026" s="697">
        <f>G2026+J2026+P2026+M2026</f>
        <v>0</v>
      </c>
      <c r="E2026" s="697">
        <f>SUM(H2026+K2026+N2026+Q2026)</f>
        <v>0</v>
      </c>
      <c r="F2026" s="582" t="e">
        <f>E2026/D2026*100</f>
        <v>#DIV/0!</v>
      </c>
      <c r="G2026" s="699"/>
      <c r="H2026" s="697"/>
      <c r="I2026" s="585"/>
      <c r="J2026" s="698"/>
      <c r="K2026" s="697"/>
      <c r="L2026" s="587"/>
      <c r="M2026" s="698"/>
      <c r="N2026" s="697"/>
      <c r="O2026" s="627" t="e">
        <f t="shared" si="247"/>
        <v>#DIV/0!</v>
      </c>
      <c r="P2026" s="697"/>
      <c r="Q2026" s="697"/>
      <c r="R2026" s="715"/>
      <c r="S2026" s="758"/>
      <c r="T2026" s="758"/>
      <c r="U2026" s="758"/>
      <c r="V2026" s="758"/>
      <c r="W2026" s="759"/>
      <c r="X2026" s="759"/>
      <c r="Y2026" s="759"/>
      <c r="Z2026" s="759"/>
    </row>
    <row r="2027" spans="1:26" s="760" customFormat="1" ht="24" hidden="1">
      <c r="A2027" s="694"/>
      <c r="B2027" s="695" t="s">
        <v>21</v>
      </c>
      <c r="C2027" s="699"/>
      <c r="D2027" s="697">
        <f>G2027+J2027+P2027+M2027</f>
        <v>0</v>
      </c>
      <c r="E2027" s="697">
        <f>SUM(H2027+K2027+N2027+Q2027)</f>
        <v>0</v>
      </c>
      <c r="F2027" s="582" t="e">
        <f>E2027/D2027*100</f>
        <v>#DIV/0!</v>
      </c>
      <c r="G2027" s="699"/>
      <c r="H2027" s="697"/>
      <c r="I2027" s="585"/>
      <c r="J2027" s="698"/>
      <c r="K2027" s="697"/>
      <c r="L2027" s="587"/>
      <c r="M2027" s="698"/>
      <c r="N2027" s="697"/>
      <c r="O2027" s="627" t="e">
        <f t="shared" si="247"/>
        <v>#DIV/0!</v>
      </c>
      <c r="P2027" s="697"/>
      <c r="Q2027" s="697"/>
      <c r="R2027" s="715"/>
      <c r="S2027" s="758"/>
      <c r="T2027" s="758"/>
      <c r="U2027" s="758"/>
      <c r="V2027" s="758"/>
      <c r="W2027" s="759"/>
      <c r="X2027" s="759"/>
      <c r="Y2027" s="759"/>
      <c r="Z2027" s="759"/>
    </row>
    <row r="2028" spans="1:26" s="760" customFormat="1" ht="12.75" hidden="1">
      <c r="A2028" s="694"/>
      <c r="B2028" s="695" t="s">
        <v>574</v>
      </c>
      <c r="C2028" s="699"/>
      <c r="D2028" s="697">
        <f>G2028+J2028+P2028+M2028</f>
        <v>0</v>
      </c>
      <c r="E2028" s="697">
        <f>SUM(H2028+K2028+N2028+Q2028)</f>
        <v>0</v>
      </c>
      <c r="F2028" s="582" t="e">
        <f>E2028/D2028*100</f>
        <v>#DIV/0!</v>
      </c>
      <c r="G2028" s="699"/>
      <c r="H2028" s="697"/>
      <c r="I2028" s="585"/>
      <c r="J2028" s="698"/>
      <c r="K2028" s="697"/>
      <c r="L2028" s="587"/>
      <c r="M2028" s="698"/>
      <c r="N2028" s="697"/>
      <c r="O2028" s="627" t="e">
        <f t="shared" si="247"/>
        <v>#DIV/0!</v>
      </c>
      <c r="P2028" s="697"/>
      <c r="Q2028" s="697"/>
      <c r="R2028" s="715"/>
      <c r="S2028" s="758"/>
      <c r="T2028" s="758"/>
      <c r="U2028" s="758"/>
      <c r="V2028" s="758"/>
      <c r="W2028" s="759"/>
      <c r="X2028" s="759"/>
      <c r="Y2028" s="759"/>
      <c r="Z2028" s="759"/>
    </row>
    <row r="2029" spans="1:26" s="760" customFormat="1" ht="72" hidden="1">
      <c r="A2029" s="694" t="s">
        <v>302</v>
      </c>
      <c r="B2029" s="963" t="s">
        <v>568</v>
      </c>
      <c r="C2029" s="699"/>
      <c r="D2029" s="697">
        <f>G2029+J2029+P2029+M2029</f>
        <v>0</v>
      </c>
      <c r="E2029" s="697">
        <f>SUM(H2029+K2029+N2029+Q2029)</f>
        <v>0</v>
      </c>
      <c r="F2029" s="582" t="e">
        <f>E2029/D2029*100</f>
        <v>#DIV/0!</v>
      </c>
      <c r="G2029" s="699"/>
      <c r="H2029" s="697"/>
      <c r="I2029" s="585"/>
      <c r="J2029" s="698"/>
      <c r="K2029" s="697"/>
      <c r="L2029" s="587"/>
      <c r="M2029" s="698"/>
      <c r="N2029" s="697"/>
      <c r="O2029" s="627" t="e">
        <f t="shared" si="247"/>
        <v>#DIV/0!</v>
      </c>
      <c r="P2029" s="697"/>
      <c r="Q2029" s="697"/>
      <c r="R2029" s="715"/>
      <c r="S2029" s="758"/>
      <c r="T2029" s="758"/>
      <c r="U2029" s="758"/>
      <c r="V2029" s="758"/>
      <c r="W2029" s="759"/>
      <c r="X2029" s="759"/>
      <c r="Y2029" s="759"/>
      <c r="Z2029" s="759"/>
    </row>
    <row r="2030" spans="1:26" s="639" customFormat="1" ht="48" hidden="1">
      <c r="A2030" s="647">
        <v>6050</v>
      </c>
      <c r="B2030" s="651" t="s">
        <v>22</v>
      </c>
      <c r="C2030" s="603"/>
      <c r="D2030" s="581">
        <f t="shared" si="244"/>
        <v>0</v>
      </c>
      <c r="E2030" s="581">
        <f>H2030+K2030+Q2030+N2030</f>
        <v>0</v>
      </c>
      <c r="F2030" s="582" t="e">
        <f t="shared" si="242"/>
        <v>#DIV/0!</v>
      </c>
      <c r="G2030" s="603"/>
      <c r="H2030" s="581"/>
      <c r="I2030" s="585"/>
      <c r="J2030" s="586"/>
      <c r="K2030" s="581"/>
      <c r="L2030" s="587"/>
      <c r="M2030" s="603"/>
      <c r="N2030" s="581"/>
      <c r="O2030" s="627" t="e">
        <f t="shared" si="243"/>
        <v>#DIV/0!</v>
      </c>
      <c r="P2030" s="581"/>
      <c r="Q2030" s="581"/>
      <c r="R2030" s="653"/>
      <c r="S2030" s="564"/>
      <c r="T2030" s="564"/>
      <c r="U2030" s="564"/>
      <c r="V2030" s="564"/>
      <c r="W2030" s="565"/>
      <c r="X2030" s="565"/>
      <c r="Y2030" s="565"/>
      <c r="Z2030" s="565"/>
    </row>
    <row r="2031" spans="1:26" s="639" customFormat="1" ht="36" hidden="1">
      <c r="A2031" s="647">
        <v>6058</v>
      </c>
      <c r="B2031" s="651" t="s">
        <v>225</v>
      </c>
      <c r="C2031" s="603"/>
      <c r="D2031" s="581">
        <f t="shared" si="244"/>
        <v>0</v>
      </c>
      <c r="E2031" s="581">
        <f>H2031+K2031+Q2031+N2031</f>
        <v>0</v>
      </c>
      <c r="F2031" s="582" t="e">
        <f t="shared" si="242"/>
        <v>#DIV/0!</v>
      </c>
      <c r="G2031" s="603"/>
      <c r="H2031" s="581"/>
      <c r="I2031" s="585"/>
      <c r="J2031" s="586"/>
      <c r="K2031" s="581"/>
      <c r="L2031" s="587"/>
      <c r="M2031" s="603"/>
      <c r="N2031" s="581"/>
      <c r="O2031" s="585" t="e">
        <f t="shared" si="243"/>
        <v>#DIV/0!</v>
      </c>
      <c r="P2031" s="581"/>
      <c r="Q2031" s="581"/>
      <c r="R2031" s="653"/>
      <c r="S2031" s="564"/>
      <c r="T2031" s="564"/>
      <c r="U2031" s="564"/>
      <c r="V2031" s="564"/>
      <c r="W2031" s="565"/>
      <c r="X2031" s="565"/>
      <c r="Y2031" s="565"/>
      <c r="Z2031" s="565"/>
    </row>
    <row r="2032" spans="1:26" s="639" customFormat="1" ht="36" hidden="1">
      <c r="A2032" s="647">
        <v>6059</v>
      </c>
      <c r="B2032" s="651" t="s">
        <v>225</v>
      </c>
      <c r="C2032" s="603"/>
      <c r="D2032" s="581">
        <f t="shared" si="244"/>
        <v>0</v>
      </c>
      <c r="E2032" s="581">
        <f>SUM(H2032+K2032+N2032+Q2032)</f>
        <v>0</v>
      </c>
      <c r="F2032" s="582" t="e">
        <f>E2032/D2032*100</f>
        <v>#DIV/0!</v>
      </c>
      <c r="G2032" s="603"/>
      <c r="H2032" s="581"/>
      <c r="I2032" s="679"/>
      <c r="J2032" s="586"/>
      <c r="K2032" s="581"/>
      <c r="L2032" s="587"/>
      <c r="M2032" s="603"/>
      <c r="N2032" s="581"/>
      <c r="O2032" s="585" t="e">
        <f t="shared" si="243"/>
        <v>#DIV/0!</v>
      </c>
      <c r="P2032" s="581"/>
      <c r="Q2032" s="581"/>
      <c r="R2032" s="653"/>
      <c r="S2032" s="564"/>
      <c r="T2032" s="564"/>
      <c r="U2032" s="564"/>
      <c r="V2032" s="564"/>
      <c r="W2032" s="565"/>
      <c r="X2032" s="565"/>
      <c r="Y2032" s="565"/>
      <c r="Z2032" s="565"/>
    </row>
    <row r="2033" spans="1:18" ht="24.75" customHeight="1">
      <c r="A2033" s="640">
        <v>92120</v>
      </c>
      <c r="B2033" s="742" t="s">
        <v>885</v>
      </c>
      <c r="C2033" s="608">
        <f>SUM(C2034:C2041)</f>
        <v>818000</v>
      </c>
      <c r="D2033" s="595">
        <f t="shared" si="244"/>
        <v>818000</v>
      </c>
      <c r="E2033" s="595">
        <f>H2033+K2033+Q2033+N2033</f>
        <v>100000</v>
      </c>
      <c r="F2033" s="596">
        <f t="shared" si="242"/>
        <v>12.224938875305623</v>
      </c>
      <c r="G2033" s="608">
        <f>SUM(G2034:G2041)</f>
        <v>818000</v>
      </c>
      <c r="H2033" s="595">
        <f>SUM(H2034:H2041)</f>
        <v>100000</v>
      </c>
      <c r="I2033" s="602">
        <f aca="true" t="shared" si="248" ref="I2033:I2089">H2033/G2033*100</f>
        <v>12.224938875305623</v>
      </c>
      <c r="J2033" s="600"/>
      <c r="K2033" s="595"/>
      <c r="L2033" s="601"/>
      <c r="M2033" s="595"/>
      <c r="N2033" s="595"/>
      <c r="O2033" s="645"/>
      <c r="P2033" s="595"/>
      <c r="Q2033" s="595"/>
      <c r="R2033" s="731"/>
    </row>
    <row r="2034" spans="1:18" ht="115.5" customHeight="1">
      <c r="A2034" s="667">
        <v>2720</v>
      </c>
      <c r="B2034" s="668" t="s">
        <v>23</v>
      </c>
      <c r="C2034" s="606">
        <v>518000</v>
      </c>
      <c r="D2034" s="581">
        <f t="shared" si="244"/>
        <v>518000</v>
      </c>
      <c r="E2034" s="581">
        <f aca="true" t="shared" si="249" ref="E2034:E2042">SUM(H2034+K2034+N2034+Q2034)</f>
        <v>100000</v>
      </c>
      <c r="F2034" s="582">
        <f t="shared" si="242"/>
        <v>19.305019305019304</v>
      </c>
      <c r="G2034" s="606">
        <v>518000</v>
      </c>
      <c r="H2034" s="615">
        <v>100000</v>
      </c>
      <c r="I2034" s="627">
        <f t="shared" si="248"/>
        <v>19.305019305019304</v>
      </c>
      <c r="J2034" s="618"/>
      <c r="K2034" s="615"/>
      <c r="L2034" s="619"/>
      <c r="M2034" s="615"/>
      <c r="N2034" s="615"/>
      <c r="O2034" s="686"/>
      <c r="P2034" s="615"/>
      <c r="Q2034" s="615"/>
      <c r="R2034" s="671"/>
    </row>
    <row r="2035" spans="1:18" ht="36" hidden="1">
      <c r="A2035" s="647">
        <v>4110</v>
      </c>
      <c r="B2035" s="651" t="s">
        <v>187</v>
      </c>
      <c r="C2035" s="603"/>
      <c r="D2035" s="581">
        <f>G2035+J2035+P2035+M2035</f>
        <v>0</v>
      </c>
      <c r="E2035" s="581">
        <f>SUM(H2035+K2035+N2035+Q2035)</f>
        <v>0</v>
      </c>
      <c r="F2035" s="582" t="e">
        <f>E2035/D2035*100</f>
        <v>#DIV/0!</v>
      </c>
      <c r="G2035" s="603"/>
      <c r="H2035" s="581"/>
      <c r="I2035" s="585" t="e">
        <f t="shared" si="248"/>
        <v>#DIV/0!</v>
      </c>
      <c r="J2035" s="586"/>
      <c r="K2035" s="581"/>
      <c r="L2035" s="587"/>
      <c r="M2035" s="581"/>
      <c r="N2035" s="581"/>
      <c r="O2035" s="649"/>
      <c r="P2035" s="581"/>
      <c r="Q2035" s="581"/>
      <c r="R2035" s="653"/>
    </row>
    <row r="2036" spans="1:18" ht="12.75" hidden="1">
      <c r="A2036" s="647">
        <v>4120</v>
      </c>
      <c r="B2036" s="651" t="s">
        <v>619</v>
      </c>
      <c r="C2036" s="603"/>
      <c r="D2036" s="581">
        <f>G2036+J2036+P2036+M2036</f>
        <v>0</v>
      </c>
      <c r="E2036" s="581">
        <f>SUM(H2036+K2036+N2036+Q2036)</f>
        <v>0</v>
      </c>
      <c r="F2036" s="582" t="e">
        <f>E2036/D2036*100</f>
        <v>#DIV/0!</v>
      </c>
      <c r="G2036" s="603"/>
      <c r="H2036" s="581"/>
      <c r="I2036" s="585" t="e">
        <f t="shared" si="248"/>
        <v>#DIV/0!</v>
      </c>
      <c r="J2036" s="586"/>
      <c r="K2036" s="581"/>
      <c r="L2036" s="587"/>
      <c r="M2036" s="581"/>
      <c r="N2036" s="581"/>
      <c r="O2036" s="649"/>
      <c r="P2036" s="581"/>
      <c r="Q2036" s="581"/>
      <c r="R2036" s="653"/>
    </row>
    <row r="2037" spans="1:18" ht="24" hidden="1">
      <c r="A2037" s="647">
        <v>4170</v>
      </c>
      <c r="B2037" s="651" t="s">
        <v>221</v>
      </c>
      <c r="C2037" s="603"/>
      <c r="D2037" s="581">
        <f t="shared" si="244"/>
        <v>0</v>
      </c>
      <c r="E2037" s="581">
        <f t="shared" si="249"/>
        <v>0</v>
      </c>
      <c r="F2037" s="582" t="e">
        <f t="shared" si="242"/>
        <v>#DIV/0!</v>
      </c>
      <c r="G2037" s="603"/>
      <c r="H2037" s="581"/>
      <c r="I2037" s="585" t="e">
        <f t="shared" si="248"/>
        <v>#DIV/0!</v>
      </c>
      <c r="J2037" s="586"/>
      <c r="K2037" s="581"/>
      <c r="L2037" s="587"/>
      <c r="M2037" s="581"/>
      <c r="N2037" s="581"/>
      <c r="O2037" s="649"/>
      <c r="P2037" s="581"/>
      <c r="Q2037" s="581"/>
      <c r="R2037" s="653"/>
    </row>
    <row r="2038" spans="1:26" s="639" customFormat="1" ht="25.5" customHeight="1" hidden="1">
      <c r="A2038" s="647">
        <v>4270</v>
      </c>
      <c r="B2038" s="651" t="s">
        <v>24</v>
      </c>
      <c r="C2038" s="603"/>
      <c r="D2038" s="581">
        <f>G2038+J2038+P2038+M2038</f>
        <v>0</v>
      </c>
      <c r="E2038" s="581">
        <f>SUM(H2038+K2038+N2038+Q2038)</f>
        <v>0</v>
      </c>
      <c r="F2038" s="582"/>
      <c r="G2038" s="603"/>
      <c r="H2038" s="581"/>
      <c r="I2038" s="585"/>
      <c r="J2038" s="586"/>
      <c r="K2038" s="581"/>
      <c r="L2038" s="587"/>
      <c r="M2038" s="581"/>
      <c r="N2038" s="581"/>
      <c r="O2038" s="649"/>
      <c r="P2038" s="581"/>
      <c r="Q2038" s="581"/>
      <c r="R2038" s="653"/>
      <c r="S2038" s="564"/>
      <c r="T2038" s="564"/>
      <c r="U2038" s="564"/>
      <c r="V2038" s="564"/>
      <c r="W2038" s="565"/>
      <c r="X2038" s="565"/>
      <c r="Y2038" s="565"/>
      <c r="Z2038" s="565"/>
    </row>
    <row r="2039" spans="1:26" s="639" customFormat="1" ht="24" hidden="1">
      <c r="A2039" s="647">
        <v>4300</v>
      </c>
      <c r="B2039" s="651" t="s">
        <v>199</v>
      </c>
      <c r="C2039" s="603"/>
      <c r="D2039" s="581">
        <f>G2039+J2039+P2039+M2039</f>
        <v>0</v>
      </c>
      <c r="E2039" s="581">
        <f>SUM(H2039+K2039+N2039+Q2039)</f>
        <v>0</v>
      </c>
      <c r="F2039" s="582" t="e">
        <f>E2039/D2039*100</f>
        <v>#DIV/0!</v>
      </c>
      <c r="G2039" s="603"/>
      <c r="H2039" s="581"/>
      <c r="I2039" s="585" t="e">
        <f>H2039/G2039*100</f>
        <v>#DIV/0!</v>
      </c>
      <c r="J2039" s="772"/>
      <c r="K2039" s="581"/>
      <c r="L2039" s="587"/>
      <c r="M2039" s="581"/>
      <c r="N2039" s="581"/>
      <c r="O2039" s="649"/>
      <c r="P2039" s="581"/>
      <c r="Q2039" s="581"/>
      <c r="R2039" s="653"/>
      <c r="S2039" s="564"/>
      <c r="T2039" s="564"/>
      <c r="U2039" s="564"/>
      <c r="V2039" s="564"/>
      <c r="W2039" s="565"/>
      <c r="X2039" s="565"/>
      <c r="Y2039" s="565"/>
      <c r="Z2039" s="565"/>
    </row>
    <row r="2040" spans="1:26" s="639" customFormat="1" ht="75" customHeight="1">
      <c r="A2040" s="647">
        <v>4340</v>
      </c>
      <c r="B2040" s="651" t="s">
        <v>886</v>
      </c>
      <c r="C2040" s="603">
        <v>300000</v>
      </c>
      <c r="D2040" s="581">
        <f t="shared" si="244"/>
        <v>300000</v>
      </c>
      <c r="E2040" s="581">
        <f t="shared" si="249"/>
        <v>0</v>
      </c>
      <c r="F2040" s="582">
        <f t="shared" si="242"/>
        <v>0</v>
      </c>
      <c r="G2040" s="603">
        <v>300000</v>
      </c>
      <c r="H2040" s="581"/>
      <c r="I2040" s="585">
        <f t="shared" si="248"/>
        <v>0</v>
      </c>
      <c r="J2040" s="772"/>
      <c r="K2040" s="581"/>
      <c r="L2040" s="587"/>
      <c r="M2040" s="581"/>
      <c r="N2040" s="581"/>
      <c r="O2040" s="649"/>
      <c r="P2040" s="581"/>
      <c r="Q2040" s="581"/>
      <c r="R2040" s="653"/>
      <c r="S2040" s="564"/>
      <c r="T2040" s="564"/>
      <c r="U2040" s="564"/>
      <c r="V2040" s="564"/>
      <c r="W2040" s="565"/>
      <c r="X2040" s="565"/>
      <c r="Y2040" s="565"/>
      <c r="Z2040" s="565"/>
    </row>
    <row r="2041" spans="1:26" s="639" customFormat="1" ht="48" hidden="1">
      <c r="A2041" s="672">
        <v>6060</v>
      </c>
      <c r="B2041" s="687" t="s">
        <v>628</v>
      </c>
      <c r="C2041" s="674"/>
      <c r="D2041" s="675">
        <f t="shared" si="244"/>
        <v>0</v>
      </c>
      <c r="E2041" s="675">
        <f t="shared" si="249"/>
        <v>0</v>
      </c>
      <c r="F2041" s="643" t="e">
        <f t="shared" si="242"/>
        <v>#DIV/0!</v>
      </c>
      <c r="G2041" s="674"/>
      <c r="H2041" s="675"/>
      <c r="I2041" s="679" t="e">
        <f t="shared" si="248"/>
        <v>#DIV/0!</v>
      </c>
      <c r="J2041" s="796"/>
      <c r="K2041" s="675"/>
      <c r="L2041" s="677"/>
      <c r="M2041" s="675"/>
      <c r="N2041" s="675"/>
      <c r="O2041" s="689"/>
      <c r="P2041" s="675"/>
      <c r="Q2041" s="675"/>
      <c r="R2041" s="680"/>
      <c r="S2041" s="564"/>
      <c r="T2041" s="564"/>
      <c r="U2041" s="564"/>
      <c r="V2041" s="564"/>
      <c r="W2041" s="565"/>
      <c r="X2041" s="565"/>
      <c r="Y2041" s="565"/>
      <c r="Z2041" s="565"/>
    </row>
    <row r="2042" spans="1:26" s="639" customFormat="1" ht="17.25" customHeight="1">
      <c r="A2042" s="640">
        <v>92195</v>
      </c>
      <c r="B2042" s="742" t="s">
        <v>213</v>
      </c>
      <c r="C2042" s="608">
        <f>SUM(C2043:C2049)</f>
        <v>59100</v>
      </c>
      <c r="D2042" s="595">
        <f t="shared" si="244"/>
        <v>59100</v>
      </c>
      <c r="E2042" s="595">
        <f t="shared" si="249"/>
        <v>2752</v>
      </c>
      <c r="F2042" s="596">
        <f t="shared" si="242"/>
        <v>4.656514382402707</v>
      </c>
      <c r="G2042" s="608">
        <f>SUM(G2043:G2051)</f>
        <v>59100</v>
      </c>
      <c r="H2042" s="595">
        <f>SUM(H2043:H2051)</f>
        <v>2752</v>
      </c>
      <c r="I2042" s="602">
        <f t="shared" si="248"/>
        <v>4.656514382402707</v>
      </c>
      <c r="J2042" s="773"/>
      <c r="K2042" s="595"/>
      <c r="L2042" s="601"/>
      <c r="M2042" s="595"/>
      <c r="N2042" s="595"/>
      <c r="O2042" s="684"/>
      <c r="P2042" s="595"/>
      <c r="Q2042" s="595"/>
      <c r="R2042" s="685"/>
      <c r="S2042" s="564"/>
      <c r="T2042" s="564"/>
      <c r="U2042" s="564"/>
      <c r="V2042" s="564"/>
      <c r="W2042" s="565"/>
      <c r="X2042" s="565"/>
      <c r="Y2042" s="565"/>
      <c r="Z2042" s="565"/>
    </row>
    <row r="2043" spans="1:18" ht="61.5" customHeight="1" hidden="1">
      <c r="A2043" s="647">
        <v>2820</v>
      </c>
      <c r="B2043" s="651" t="s">
        <v>593</v>
      </c>
      <c r="C2043" s="603"/>
      <c r="D2043" s="581">
        <f t="shared" si="244"/>
        <v>0</v>
      </c>
      <c r="E2043" s="581">
        <f>H2043+K2043+Q2043+N2043</f>
        <v>0</v>
      </c>
      <c r="F2043" s="582" t="e">
        <f t="shared" si="242"/>
        <v>#DIV/0!</v>
      </c>
      <c r="G2043" s="603"/>
      <c r="H2043" s="581"/>
      <c r="I2043" s="585" t="e">
        <f t="shared" si="248"/>
        <v>#DIV/0!</v>
      </c>
      <c r="J2043" s="772"/>
      <c r="K2043" s="581"/>
      <c r="L2043" s="587"/>
      <c r="M2043" s="581"/>
      <c r="N2043" s="581"/>
      <c r="O2043" s="649"/>
      <c r="P2043" s="581"/>
      <c r="Q2043" s="581"/>
      <c r="R2043" s="653"/>
    </row>
    <row r="2044" spans="1:18" ht="84" hidden="1">
      <c r="A2044" s="667">
        <v>2480</v>
      </c>
      <c r="B2044" s="668" t="s">
        <v>575</v>
      </c>
      <c r="C2044" s="603"/>
      <c r="D2044" s="581">
        <f t="shared" si="244"/>
        <v>0</v>
      </c>
      <c r="E2044" s="581">
        <f aca="true" t="shared" si="250" ref="E2044:E2072">SUM(H2044+K2044+N2044+Q2044)</f>
        <v>0</v>
      </c>
      <c r="F2044" s="582" t="e">
        <f t="shared" si="242"/>
        <v>#DIV/0!</v>
      </c>
      <c r="G2044" s="603"/>
      <c r="H2044" s="581"/>
      <c r="I2044" s="585" t="e">
        <f t="shared" si="248"/>
        <v>#DIV/0!</v>
      </c>
      <c r="J2044" s="772"/>
      <c r="K2044" s="581"/>
      <c r="L2044" s="587"/>
      <c r="M2044" s="581"/>
      <c r="N2044" s="581"/>
      <c r="O2044" s="649"/>
      <c r="P2044" s="581"/>
      <c r="Q2044" s="581"/>
      <c r="R2044" s="653"/>
    </row>
    <row r="2045" spans="1:26" s="639" customFormat="1" ht="48" hidden="1">
      <c r="A2045" s="647">
        <v>3040</v>
      </c>
      <c r="B2045" s="651" t="s">
        <v>887</v>
      </c>
      <c r="C2045" s="603"/>
      <c r="D2045" s="581">
        <f t="shared" si="244"/>
        <v>0</v>
      </c>
      <c r="E2045" s="581">
        <f t="shared" si="250"/>
        <v>0</v>
      </c>
      <c r="F2045" s="582" t="e">
        <f t="shared" si="242"/>
        <v>#DIV/0!</v>
      </c>
      <c r="G2045" s="603"/>
      <c r="H2045" s="581"/>
      <c r="I2045" s="585" t="e">
        <f t="shared" si="248"/>
        <v>#DIV/0!</v>
      </c>
      <c r="J2045" s="772"/>
      <c r="K2045" s="581"/>
      <c r="L2045" s="587"/>
      <c r="M2045" s="581"/>
      <c r="N2045" s="581"/>
      <c r="O2045" s="649"/>
      <c r="P2045" s="581"/>
      <c r="Q2045" s="581"/>
      <c r="R2045" s="653"/>
      <c r="S2045" s="564"/>
      <c r="T2045" s="564"/>
      <c r="U2045" s="564"/>
      <c r="V2045" s="564"/>
      <c r="W2045" s="565"/>
      <c r="X2045" s="565"/>
      <c r="Y2045" s="565"/>
      <c r="Z2045" s="565"/>
    </row>
    <row r="2046" spans="1:26" s="639" customFormat="1" ht="28.5" customHeight="1">
      <c r="A2046" s="647">
        <v>4210</v>
      </c>
      <c r="B2046" s="651" t="s">
        <v>25</v>
      </c>
      <c r="C2046" s="603">
        <v>30600</v>
      </c>
      <c r="D2046" s="581">
        <f t="shared" si="244"/>
        <v>30600</v>
      </c>
      <c r="E2046" s="581">
        <f t="shared" si="250"/>
        <v>2452</v>
      </c>
      <c r="F2046" s="582">
        <f t="shared" si="242"/>
        <v>8.013071895424837</v>
      </c>
      <c r="G2046" s="603">
        <v>30600</v>
      </c>
      <c r="H2046" s="581">
        <v>2452</v>
      </c>
      <c r="I2046" s="627">
        <f t="shared" si="248"/>
        <v>8.013071895424837</v>
      </c>
      <c r="J2046" s="772"/>
      <c r="K2046" s="581"/>
      <c r="L2046" s="587"/>
      <c r="M2046" s="581"/>
      <c r="N2046" s="581"/>
      <c r="O2046" s="649"/>
      <c r="P2046" s="581"/>
      <c r="Q2046" s="581"/>
      <c r="R2046" s="653"/>
      <c r="S2046" s="564"/>
      <c r="T2046" s="564"/>
      <c r="U2046" s="564"/>
      <c r="V2046" s="564"/>
      <c r="W2046" s="565"/>
      <c r="X2046" s="565"/>
      <c r="Y2046" s="565"/>
      <c r="Z2046" s="565"/>
    </row>
    <row r="2047" spans="1:26" s="639" customFormat="1" ht="24" hidden="1">
      <c r="A2047" s="647">
        <v>4300</v>
      </c>
      <c r="B2047" s="651" t="s">
        <v>26</v>
      </c>
      <c r="C2047" s="603"/>
      <c r="D2047" s="581">
        <f t="shared" si="244"/>
        <v>0</v>
      </c>
      <c r="E2047" s="581">
        <f t="shared" si="250"/>
        <v>0</v>
      </c>
      <c r="F2047" s="582" t="e">
        <f t="shared" si="242"/>
        <v>#DIV/0!</v>
      </c>
      <c r="G2047" s="603"/>
      <c r="H2047" s="581"/>
      <c r="I2047" s="627" t="e">
        <f t="shared" si="248"/>
        <v>#DIV/0!</v>
      </c>
      <c r="J2047" s="772"/>
      <c r="K2047" s="581"/>
      <c r="L2047" s="587"/>
      <c r="M2047" s="581"/>
      <c r="N2047" s="581"/>
      <c r="O2047" s="649"/>
      <c r="P2047" s="581"/>
      <c r="Q2047" s="581"/>
      <c r="R2047" s="653"/>
      <c r="S2047" s="564"/>
      <c r="T2047" s="564"/>
      <c r="U2047" s="564"/>
      <c r="V2047" s="564"/>
      <c r="W2047" s="565"/>
      <c r="X2047" s="565"/>
      <c r="Y2047" s="565"/>
      <c r="Z2047" s="565"/>
    </row>
    <row r="2048" spans="1:26" s="639" customFormat="1" ht="24">
      <c r="A2048" s="647">
        <v>4300</v>
      </c>
      <c r="B2048" s="651" t="s">
        <v>27</v>
      </c>
      <c r="C2048" s="603">
        <v>28300</v>
      </c>
      <c r="D2048" s="581">
        <f t="shared" si="244"/>
        <v>28300</v>
      </c>
      <c r="E2048" s="581">
        <f t="shared" si="250"/>
        <v>300</v>
      </c>
      <c r="F2048" s="582">
        <f t="shared" si="242"/>
        <v>1.0600706713780919</v>
      </c>
      <c r="G2048" s="603">
        <v>28300</v>
      </c>
      <c r="H2048" s="581">
        <v>300</v>
      </c>
      <c r="I2048" s="627">
        <f t="shared" si="248"/>
        <v>1.0600706713780919</v>
      </c>
      <c r="J2048" s="772"/>
      <c r="K2048" s="581"/>
      <c r="L2048" s="587"/>
      <c r="M2048" s="581"/>
      <c r="N2048" s="581"/>
      <c r="O2048" s="649"/>
      <c r="P2048" s="581"/>
      <c r="Q2048" s="581"/>
      <c r="R2048" s="653"/>
      <c r="S2048" s="564"/>
      <c r="T2048" s="564"/>
      <c r="U2048" s="564"/>
      <c r="V2048" s="564"/>
      <c r="W2048" s="565"/>
      <c r="X2048" s="565"/>
      <c r="Y2048" s="565"/>
      <c r="Z2048" s="565"/>
    </row>
    <row r="2049" spans="1:26" s="639" customFormat="1" ht="27" customHeight="1" thickBot="1">
      <c r="A2049" s="647">
        <v>4430</v>
      </c>
      <c r="B2049" s="651" t="s">
        <v>28</v>
      </c>
      <c r="C2049" s="603">
        <v>200</v>
      </c>
      <c r="D2049" s="581">
        <f t="shared" si="244"/>
        <v>200</v>
      </c>
      <c r="E2049" s="581">
        <f t="shared" si="250"/>
        <v>0</v>
      </c>
      <c r="F2049" s="582">
        <f t="shared" si="242"/>
        <v>0</v>
      </c>
      <c r="G2049" s="603">
        <v>200</v>
      </c>
      <c r="H2049" s="581"/>
      <c r="I2049" s="627">
        <f t="shared" si="248"/>
        <v>0</v>
      </c>
      <c r="J2049" s="772"/>
      <c r="K2049" s="581"/>
      <c r="L2049" s="587"/>
      <c r="M2049" s="581"/>
      <c r="N2049" s="581"/>
      <c r="O2049" s="649"/>
      <c r="P2049" s="581"/>
      <c r="Q2049" s="581"/>
      <c r="R2049" s="653"/>
      <c r="S2049" s="564"/>
      <c r="T2049" s="564"/>
      <c r="U2049" s="564"/>
      <c r="V2049" s="564"/>
      <c r="W2049" s="565"/>
      <c r="X2049" s="565"/>
      <c r="Y2049" s="565"/>
      <c r="Z2049" s="565"/>
    </row>
    <row r="2050" spans="1:26" s="639" customFormat="1" ht="60.75" hidden="1" thickBot="1">
      <c r="A2050" s="647">
        <v>4740</v>
      </c>
      <c r="B2050" s="651" t="s">
        <v>29</v>
      </c>
      <c r="C2050" s="603"/>
      <c r="D2050" s="581">
        <f>G2050+J2050+P2050+M2050</f>
        <v>0</v>
      </c>
      <c r="E2050" s="581">
        <f>SUM(H2050+K2050+N2050+Q2050)</f>
        <v>0</v>
      </c>
      <c r="F2050" s="582" t="e">
        <f>E2050/D2050*100</f>
        <v>#DIV/0!</v>
      </c>
      <c r="G2050" s="603"/>
      <c r="H2050" s="581"/>
      <c r="I2050" s="627" t="e">
        <f t="shared" si="248"/>
        <v>#DIV/0!</v>
      </c>
      <c r="J2050" s="772"/>
      <c r="K2050" s="581"/>
      <c r="L2050" s="587"/>
      <c r="M2050" s="581"/>
      <c r="N2050" s="581"/>
      <c r="O2050" s="649"/>
      <c r="P2050" s="581"/>
      <c r="Q2050" s="581"/>
      <c r="R2050" s="653"/>
      <c r="S2050" s="564"/>
      <c r="T2050" s="564"/>
      <c r="U2050" s="564"/>
      <c r="V2050" s="564"/>
      <c r="W2050" s="565"/>
      <c r="X2050" s="565"/>
      <c r="Y2050" s="565"/>
      <c r="Z2050" s="565"/>
    </row>
    <row r="2051" spans="1:26" s="639" customFormat="1" ht="36.75" hidden="1" thickBot="1">
      <c r="A2051" s="657"/>
      <c r="B2051" s="798" t="s">
        <v>30</v>
      </c>
      <c r="C2051" s="659"/>
      <c r="D2051" s="660">
        <f t="shared" si="244"/>
        <v>0</v>
      </c>
      <c r="E2051" s="660">
        <f t="shared" si="250"/>
        <v>0</v>
      </c>
      <c r="F2051" s="630" t="e">
        <f t="shared" si="242"/>
        <v>#DIV/0!</v>
      </c>
      <c r="G2051" s="659">
        <f>SUM(G2052:G2072)</f>
        <v>0</v>
      </c>
      <c r="H2051" s="660">
        <f>SUM(H2052:H2072)</f>
        <v>0</v>
      </c>
      <c r="I2051" s="627" t="e">
        <f t="shared" si="248"/>
        <v>#DIV/0!</v>
      </c>
      <c r="J2051" s="860"/>
      <c r="K2051" s="660"/>
      <c r="L2051" s="662"/>
      <c r="M2051" s="660"/>
      <c r="N2051" s="660"/>
      <c r="O2051" s="800"/>
      <c r="P2051" s="660"/>
      <c r="Q2051" s="660"/>
      <c r="R2051" s="666"/>
      <c r="S2051" s="564"/>
      <c r="T2051" s="564"/>
      <c r="U2051" s="564"/>
      <c r="V2051" s="564"/>
      <c r="W2051" s="565"/>
      <c r="X2051" s="565"/>
      <c r="Y2051" s="565"/>
      <c r="Z2051" s="565"/>
    </row>
    <row r="2052" spans="1:18" ht="36.75" hidden="1" thickBot="1">
      <c r="A2052" s="647">
        <v>4110</v>
      </c>
      <c r="B2052" s="828" t="s">
        <v>187</v>
      </c>
      <c r="C2052" s="603"/>
      <c r="D2052" s="581">
        <f t="shared" si="244"/>
        <v>0</v>
      </c>
      <c r="E2052" s="581">
        <f t="shared" si="250"/>
        <v>0</v>
      </c>
      <c r="F2052" s="582" t="e">
        <f t="shared" si="242"/>
        <v>#DIV/0!</v>
      </c>
      <c r="G2052" s="603"/>
      <c r="H2052" s="581"/>
      <c r="I2052" s="627" t="e">
        <f t="shared" si="248"/>
        <v>#DIV/0!</v>
      </c>
      <c r="J2052" s="772"/>
      <c r="K2052" s="581"/>
      <c r="L2052" s="587"/>
      <c r="M2052" s="581"/>
      <c r="N2052" s="581"/>
      <c r="O2052" s="649"/>
      <c r="P2052" s="581"/>
      <c r="Q2052" s="581"/>
      <c r="R2052" s="653"/>
    </row>
    <row r="2053" spans="1:18" ht="36.75" hidden="1" thickBot="1">
      <c r="A2053" s="647">
        <v>4118</v>
      </c>
      <c r="B2053" s="828" t="s">
        <v>187</v>
      </c>
      <c r="C2053" s="603"/>
      <c r="D2053" s="581">
        <f>G2053+J2053+P2053+M2053</f>
        <v>0</v>
      </c>
      <c r="E2053" s="581">
        <f>SUM(H2053+K2053+N2053+Q2053)</f>
        <v>0</v>
      </c>
      <c r="F2053" s="582" t="e">
        <f>E2053/D2053*100</f>
        <v>#DIV/0!</v>
      </c>
      <c r="G2053" s="603"/>
      <c r="H2053" s="581"/>
      <c r="I2053" s="627" t="e">
        <f t="shared" si="248"/>
        <v>#DIV/0!</v>
      </c>
      <c r="J2053" s="772"/>
      <c r="K2053" s="581"/>
      <c r="L2053" s="587"/>
      <c r="M2053" s="581"/>
      <c r="N2053" s="581"/>
      <c r="O2053" s="649"/>
      <c r="P2053" s="581"/>
      <c r="Q2053" s="581"/>
      <c r="R2053" s="653"/>
    </row>
    <row r="2054" spans="1:18" ht="36.75" hidden="1" thickBot="1">
      <c r="A2054" s="647">
        <v>4119</v>
      </c>
      <c r="B2054" s="828" t="s">
        <v>187</v>
      </c>
      <c r="C2054" s="603"/>
      <c r="D2054" s="581">
        <f t="shared" si="244"/>
        <v>0</v>
      </c>
      <c r="E2054" s="581">
        <f t="shared" si="250"/>
        <v>0</v>
      </c>
      <c r="F2054" s="582" t="e">
        <f>E2054/D2054*100</f>
        <v>#DIV/0!</v>
      </c>
      <c r="G2054" s="603"/>
      <c r="H2054" s="581"/>
      <c r="I2054" s="627" t="e">
        <f t="shared" si="248"/>
        <v>#DIV/0!</v>
      </c>
      <c r="J2054" s="772"/>
      <c r="K2054" s="581"/>
      <c r="L2054" s="587"/>
      <c r="M2054" s="581"/>
      <c r="N2054" s="581"/>
      <c r="O2054" s="649"/>
      <c r="P2054" s="581"/>
      <c r="Q2054" s="581"/>
      <c r="R2054" s="653"/>
    </row>
    <row r="2055" spans="1:18" ht="13.5" hidden="1" thickBot="1">
      <c r="A2055" s="647">
        <v>4120</v>
      </c>
      <c r="B2055" s="828" t="s">
        <v>619</v>
      </c>
      <c r="C2055" s="603"/>
      <c r="D2055" s="581">
        <f t="shared" si="244"/>
        <v>0</v>
      </c>
      <c r="E2055" s="581">
        <f t="shared" si="250"/>
        <v>0</v>
      </c>
      <c r="F2055" s="582" t="e">
        <f>E2055/D2055*100</f>
        <v>#DIV/0!</v>
      </c>
      <c r="G2055" s="603"/>
      <c r="H2055" s="581"/>
      <c r="I2055" s="627" t="e">
        <f t="shared" si="248"/>
        <v>#DIV/0!</v>
      </c>
      <c r="J2055" s="772"/>
      <c r="K2055" s="581"/>
      <c r="L2055" s="587"/>
      <c r="M2055" s="581"/>
      <c r="N2055" s="581"/>
      <c r="O2055" s="649"/>
      <c r="P2055" s="581"/>
      <c r="Q2055" s="581"/>
      <c r="R2055" s="653"/>
    </row>
    <row r="2056" spans="1:18" ht="13.5" hidden="1" thickBot="1">
      <c r="A2056" s="647">
        <v>4128</v>
      </c>
      <c r="B2056" s="828" t="s">
        <v>619</v>
      </c>
      <c r="C2056" s="603"/>
      <c r="D2056" s="581">
        <f>G2056+J2056+P2056+M2056</f>
        <v>0</v>
      </c>
      <c r="E2056" s="581">
        <f>SUM(H2056+K2056+N2056+Q2056)</f>
        <v>0</v>
      </c>
      <c r="F2056" s="582" t="e">
        <f>E2056/D2056*100</f>
        <v>#DIV/0!</v>
      </c>
      <c r="G2056" s="603"/>
      <c r="H2056" s="581"/>
      <c r="I2056" s="627" t="e">
        <f t="shared" si="248"/>
        <v>#DIV/0!</v>
      </c>
      <c r="J2056" s="772"/>
      <c r="K2056" s="581"/>
      <c r="L2056" s="587"/>
      <c r="M2056" s="581"/>
      <c r="N2056" s="581"/>
      <c r="O2056" s="649"/>
      <c r="P2056" s="581"/>
      <c r="Q2056" s="581"/>
      <c r="R2056" s="653"/>
    </row>
    <row r="2057" spans="1:18" ht="13.5" hidden="1" thickBot="1">
      <c r="A2057" s="647">
        <v>4129</v>
      </c>
      <c r="B2057" s="828" t="s">
        <v>619</v>
      </c>
      <c r="C2057" s="603"/>
      <c r="D2057" s="581">
        <f>G2057+J2057+P2057+M2057</f>
        <v>0</v>
      </c>
      <c r="E2057" s="581">
        <f>SUM(H2057+K2057+N2057+Q2057)</f>
        <v>0</v>
      </c>
      <c r="F2057" s="582" t="e">
        <f>E2057/D2057*100</f>
        <v>#DIV/0!</v>
      </c>
      <c r="G2057" s="603"/>
      <c r="H2057" s="581"/>
      <c r="I2057" s="627" t="e">
        <f t="shared" si="248"/>
        <v>#DIV/0!</v>
      </c>
      <c r="J2057" s="772"/>
      <c r="K2057" s="581"/>
      <c r="L2057" s="587"/>
      <c r="M2057" s="581"/>
      <c r="N2057" s="581"/>
      <c r="O2057" s="649"/>
      <c r="P2057" s="581"/>
      <c r="Q2057" s="581"/>
      <c r="R2057" s="653"/>
    </row>
    <row r="2058" spans="1:18" ht="24.75" hidden="1" thickBot="1">
      <c r="A2058" s="647">
        <v>4170</v>
      </c>
      <c r="B2058" s="651" t="s">
        <v>852</v>
      </c>
      <c r="C2058" s="603"/>
      <c r="D2058" s="581">
        <f t="shared" si="244"/>
        <v>0</v>
      </c>
      <c r="E2058" s="581">
        <f t="shared" si="250"/>
        <v>0</v>
      </c>
      <c r="F2058" s="582" t="e">
        <f aca="true" t="shared" si="251" ref="F2058:F2092">E2058/D2058*100</f>
        <v>#DIV/0!</v>
      </c>
      <c r="G2058" s="603"/>
      <c r="H2058" s="581"/>
      <c r="I2058" s="627" t="e">
        <f t="shared" si="248"/>
        <v>#DIV/0!</v>
      </c>
      <c r="J2058" s="772"/>
      <c r="K2058" s="581"/>
      <c r="L2058" s="587"/>
      <c r="M2058" s="581"/>
      <c r="N2058" s="581"/>
      <c r="O2058" s="649"/>
      <c r="P2058" s="581"/>
      <c r="Q2058" s="581"/>
      <c r="R2058" s="653"/>
    </row>
    <row r="2059" spans="1:18" ht="24.75" hidden="1" thickBot="1">
      <c r="A2059" s="647">
        <v>4178</v>
      </c>
      <c r="B2059" s="651" t="s">
        <v>852</v>
      </c>
      <c r="C2059" s="603"/>
      <c r="D2059" s="581">
        <f t="shared" si="244"/>
        <v>0</v>
      </c>
      <c r="E2059" s="581">
        <f t="shared" si="250"/>
        <v>0</v>
      </c>
      <c r="F2059" s="582" t="e">
        <f t="shared" si="251"/>
        <v>#DIV/0!</v>
      </c>
      <c r="G2059" s="603"/>
      <c r="H2059" s="581"/>
      <c r="I2059" s="627" t="e">
        <f t="shared" si="248"/>
        <v>#DIV/0!</v>
      </c>
      <c r="J2059" s="772"/>
      <c r="K2059" s="581"/>
      <c r="L2059" s="587"/>
      <c r="M2059" s="581"/>
      <c r="N2059" s="581"/>
      <c r="O2059" s="649"/>
      <c r="P2059" s="581"/>
      <c r="Q2059" s="581"/>
      <c r="R2059" s="653"/>
    </row>
    <row r="2060" spans="1:18" ht="24.75" hidden="1" thickBot="1">
      <c r="A2060" s="647">
        <v>4179</v>
      </c>
      <c r="B2060" s="651" t="s">
        <v>852</v>
      </c>
      <c r="C2060" s="603"/>
      <c r="D2060" s="581">
        <f t="shared" si="244"/>
        <v>0</v>
      </c>
      <c r="E2060" s="581">
        <f t="shared" si="250"/>
        <v>0</v>
      </c>
      <c r="F2060" s="582" t="e">
        <f t="shared" si="251"/>
        <v>#DIV/0!</v>
      </c>
      <c r="G2060" s="603"/>
      <c r="H2060" s="581"/>
      <c r="I2060" s="627" t="e">
        <f t="shared" si="248"/>
        <v>#DIV/0!</v>
      </c>
      <c r="J2060" s="772"/>
      <c r="K2060" s="581"/>
      <c r="L2060" s="587"/>
      <c r="M2060" s="581"/>
      <c r="N2060" s="581"/>
      <c r="O2060" s="649"/>
      <c r="P2060" s="581"/>
      <c r="Q2060" s="581"/>
      <c r="R2060" s="653"/>
    </row>
    <row r="2061" spans="1:18" ht="24.75" hidden="1" thickBot="1">
      <c r="A2061" s="647">
        <v>4210</v>
      </c>
      <c r="B2061" s="651" t="s">
        <v>691</v>
      </c>
      <c r="C2061" s="603"/>
      <c r="D2061" s="581">
        <f t="shared" si="244"/>
        <v>0</v>
      </c>
      <c r="E2061" s="581">
        <f>SUM(H2061+K2061+N2061+Q2061)</f>
        <v>0</v>
      </c>
      <c r="F2061" s="582" t="e">
        <f>E2061/D2061*100</f>
        <v>#DIV/0!</v>
      </c>
      <c r="G2061" s="603"/>
      <c r="H2061" s="581"/>
      <c r="I2061" s="627" t="e">
        <f t="shared" si="248"/>
        <v>#DIV/0!</v>
      </c>
      <c r="J2061" s="772"/>
      <c r="K2061" s="581"/>
      <c r="L2061" s="587"/>
      <c r="M2061" s="581"/>
      <c r="N2061" s="581"/>
      <c r="O2061" s="649"/>
      <c r="P2061" s="581"/>
      <c r="Q2061" s="581"/>
      <c r="R2061" s="653"/>
    </row>
    <row r="2062" spans="1:18" ht="24.75" hidden="1" thickBot="1">
      <c r="A2062" s="647">
        <v>4218</v>
      </c>
      <c r="B2062" s="651" t="s">
        <v>691</v>
      </c>
      <c r="C2062" s="603"/>
      <c r="D2062" s="581">
        <f t="shared" si="244"/>
        <v>0</v>
      </c>
      <c r="E2062" s="581">
        <f t="shared" si="250"/>
        <v>0</v>
      </c>
      <c r="F2062" s="582" t="e">
        <f t="shared" si="251"/>
        <v>#DIV/0!</v>
      </c>
      <c r="G2062" s="603"/>
      <c r="H2062" s="581"/>
      <c r="I2062" s="627" t="e">
        <f t="shared" si="248"/>
        <v>#DIV/0!</v>
      </c>
      <c r="J2062" s="772"/>
      <c r="K2062" s="581"/>
      <c r="L2062" s="587"/>
      <c r="M2062" s="581"/>
      <c r="N2062" s="581"/>
      <c r="O2062" s="649"/>
      <c r="P2062" s="581"/>
      <c r="Q2062" s="581"/>
      <c r="R2062" s="653"/>
    </row>
    <row r="2063" spans="1:18" ht="24.75" hidden="1" thickBot="1">
      <c r="A2063" s="647">
        <v>4219</v>
      </c>
      <c r="B2063" s="651" t="s">
        <v>691</v>
      </c>
      <c r="C2063" s="603"/>
      <c r="D2063" s="581">
        <f t="shared" si="244"/>
        <v>0</v>
      </c>
      <c r="E2063" s="581">
        <f t="shared" si="250"/>
        <v>0</v>
      </c>
      <c r="F2063" s="582" t="e">
        <f t="shared" si="251"/>
        <v>#DIV/0!</v>
      </c>
      <c r="G2063" s="603"/>
      <c r="H2063" s="581"/>
      <c r="I2063" s="627" t="e">
        <f t="shared" si="248"/>
        <v>#DIV/0!</v>
      </c>
      <c r="J2063" s="772"/>
      <c r="K2063" s="581"/>
      <c r="L2063" s="587"/>
      <c r="M2063" s="581"/>
      <c r="N2063" s="581"/>
      <c r="O2063" s="649"/>
      <c r="P2063" s="581"/>
      <c r="Q2063" s="581"/>
      <c r="R2063" s="653"/>
    </row>
    <row r="2064" spans="1:18" ht="24.75" hidden="1" thickBot="1">
      <c r="A2064" s="647">
        <v>4300</v>
      </c>
      <c r="B2064" s="651" t="s">
        <v>199</v>
      </c>
      <c r="C2064" s="603"/>
      <c r="D2064" s="581">
        <f>G2064+J2064+P2064+M2064</f>
        <v>0</v>
      </c>
      <c r="E2064" s="581">
        <f>SUM(H2064+K2064+N2064+Q2064)</f>
        <v>0</v>
      </c>
      <c r="F2064" s="582" t="e">
        <f t="shared" si="251"/>
        <v>#DIV/0!</v>
      </c>
      <c r="G2064" s="603"/>
      <c r="H2064" s="581"/>
      <c r="I2064" s="627" t="e">
        <f t="shared" si="248"/>
        <v>#DIV/0!</v>
      </c>
      <c r="J2064" s="772"/>
      <c r="K2064" s="581"/>
      <c r="L2064" s="587"/>
      <c r="M2064" s="581"/>
      <c r="N2064" s="581"/>
      <c r="O2064" s="649"/>
      <c r="P2064" s="581"/>
      <c r="Q2064" s="581"/>
      <c r="R2064" s="653"/>
    </row>
    <row r="2065" spans="1:18" ht="24.75" hidden="1" thickBot="1">
      <c r="A2065" s="647">
        <v>4308</v>
      </c>
      <c r="B2065" s="651" t="s">
        <v>199</v>
      </c>
      <c r="C2065" s="603"/>
      <c r="D2065" s="581">
        <f t="shared" si="244"/>
        <v>0</v>
      </c>
      <c r="E2065" s="581">
        <f t="shared" si="250"/>
        <v>0</v>
      </c>
      <c r="F2065" s="582" t="e">
        <f t="shared" si="251"/>
        <v>#DIV/0!</v>
      </c>
      <c r="G2065" s="603"/>
      <c r="H2065" s="581"/>
      <c r="I2065" s="627" t="e">
        <f t="shared" si="248"/>
        <v>#DIV/0!</v>
      </c>
      <c r="J2065" s="772"/>
      <c r="K2065" s="581"/>
      <c r="L2065" s="587"/>
      <c r="M2065" s="581"/>
      <c r="N2065" s="581"/>
      <c r="O2065" s="649"/>
      <c r="P2065" s="581"/>
      <c r="Q2065" s="581"/>
      <c r="R2065" s="653"/>
    </row>
    <row r="2066" spans="1:18" ht="24.75" hidden="1" thickBot="1">
      <c r="A2066" s="647">
        <v>4309</v>
      </c>
      <c r="B2066" s="651" t="s">
        <v>199</v>
      </c>
      <c r="C2066" s="603"/>
      <c r="D2066" s="581">
        <f t="shared" si="244"/>
        <v>0</v>
      </c>
      <c r="E2066" s="581">
        <f t="shared" si="250"/>
        <v>0</v>
      </c>
      <c r="F2066" s="582" t="e">
        <f t="shared" si="251"/>
        <v>#DIV/0!</v>
      </c>
      <c r="G2066" s="603"/>
      <c r="H2066" s="581"/>
      <c r="I2066" s="627" t="e">
        <f t="shared" si="248"/>
        <v>#DIV/0!</v>
      </c>
      <c r="J2066" s="772"/>
      <c r="K2066" s="581"/>
      <c r="L2066" s="587"/>
      <c r="M2066" s="581"/>
      <c r="N2066" s="581"/>
      <c r="O2066" s="649"/>
      <c r="P2066" s="581"/>
      <c r="Q2066" s="581"/>
      <c r="R2066" s="653"/>
    </row>
    <row r="2067" spans="1:18" ht="36.75" hidden="1" thickBot="1">
      <c r="A2067" s="647">
        <v>4380</v>
      </c>
      <c r="B2067" s="651" t="s">
        <v>738</v>
      </c>
      <c r="C2067" s="603"/>
      <c r="D2067" s="581">
        <f>G2067+J2067+P2067+M2067</f>
        <v>0</v>
      </c>
      <c r="E2067" s="581">
        <f>SUM(H2067+K2067+N2067+Q2067)</f>
        <v>0</v>
      </c>
      <c r="F2067" s="582" t="e">
        <f t="shared" si="251"/>
        <v>#DIV/0!</v>
      </c>
      <c r="G2067" s="603"/>
      <c r="H2067" s="581"/>
      <c r="I2067" s="627" t="e">
        <f t="shared" si="248"/>
        <v>#DIV/0!</v>
      </c>
      <c r="J2067" s="772"/>
      <c r="K2067" s="581"/>
      <c r="L2067" s="587"/>
      <c r="M2067" s="581"/>
      <c r="N2067" s="581"/>
      <c r="O2067" s="649"/>
      <c r="P2067" s="581"/>
      <c r="Q2067" s="581"/>
      <c r="R2067" s="653"/>
    </row>
    <row r="2068" spans="1:26" s="639" customFormat="1" ht="36.75" hidden="1" thickBot="1">
      <c r="A2068" s="647">
        <v>4388</v>
      </c>
      <c r="B2068" s="651" t="s">
        <v>738</v>
      </c>
      <c r="C2068" s="603"/>
      <c r="D2068" s="581">
        <f t="shared" si="244"/>
        <v>0</v>
      </c>
      <c r="E2068" s="581">
        <f t="shared" si="250"/>
        <v>0</v>
      </c>
      <c r="F2068" s="582" t="e">
        <f t="shared" si="251"/>
        <v>#DIV/0!</v>
      </c>
      <c r="G2068" s="603"/>
      <c r="H2068" s="581"/>
      <c r="I2068" s="627" t="e">
        <f t="shared" si="248"/>
        <v>#DIV/0!</v>
      </c>
      <c r="J2068" s="772"/>
      <c r="K2068" s="581"/>
      <c r="L2068" s="587"/>
      <c r="M2068" s="581"/>
      <c r="N2068" s="581"/>
      <c r="O2068" s="649"/>
      <c r="P2068" s="581"/>
      <c r="Q2068" s="581"/>
      <c r="R2068" s="653"/>
      <c r="S2068" s="564"/>
      <c r="T2068" s="564"/>
      <c r="U2068" s="564"/>
      <c r="V2068" s="564"/>
      <c r="W2068" s="565"/>
      <c r="X2068" s="565"/>
      <c r="Y2068" s="565"/>
      <c r="Z2068" s="565"/>
    </row>
    <row r="2069" spans="1:26" s="639" customFormat="1" ht="36.75" hidden="1" thickBot="1">
      <c r="A2069" s="647">
        <v>4389</v>
      </c>
      <c r="B2069" s="651" t="s">
        <v>738</v>
      </c>
      <c r="C2069" s="603"/>
      <c r="D2069" s="581">
        <f>G2069+J2069+P2069+M2069</f>
        <v>0</v>
      </c>
      <c r="E2069" s="581">
        <f>SUM(H2069+K2069+N2069+Q2069)</f>
        <v>0</v>
      </c>
      <c r="F2069" s="582" t="e">
        <f t="shared" si="251"/>
        <v>#DIV/0!</v>
      </c>
      <c r="G2069" s="603"/>
      <c r="H2069" s="581"/>
      <c r="I2069" s="627" t="e">
        <f t="shared" si="248"/>
        <v>#DIV/0!</v>
      </c>
      <c r="J2069" s="772"/>
      <c r="K2069" s="581"/>
      <c r="L2069" s="587"/>
      <c r="M2069" s="581"/>
      <c r="N2069" s="581"/>
      <c r="O2069" s="649"/>
      <c r="P2069" s="581"/>
      <c r="Q2069" s="581"/>
      <c r="R2069" s="653"/>
      <c r="S2069" s="564"/>
      <c r="T2069" s="564"/>
      <c r="U2069" s="564"/>
      <c r="V2069" s="564"/>
      <c r="W2069" s="565"/>
      <c r="X2069" s="565"/>
      <c r="Y2069" s="565"/>
      <c r="Z2069" s="565"/>
    </row>
    <row r="2070" spans="1:26" s="639" customFormat="1" ht="13.5" hidden="1" thickBot="1">
      <c r="A2070" s="647">
        <v>4430</v>
      </c>
      <c r="B2070" s="651" t="s">
        <v>201</v>
      </c>
      <c r="C2070" s="603"/>
      <c r="D2070" s="581">
        <f>G2070+J2070+P2070+M2070</f>
        <v>0</v>
      </c>
      <c r="E2070" s="581">
        <f>SUM(H2070+K2070+N2070+Q2070)</f>
        <v>0</v>
      </c>
      <c r="F2070" s="582" t="e">
        <f t="shared" si="251"/>
        <v>#DIV/0!</v>
      </c>
      <c r="G2070" s="603"/>
      <c r="H2070" s="581"/>
      <c r="I2070" s="627" t="e">
        <f t="shared" si="248"/>
        <v>#DIV/0!</v>
      </c>
      <c r="J2070" s="772"/>
      <c r="K2070" s="581"/>
      <c r="L2070" s="587"/>
      <c r="M2070" s="581"/>
      <c r="N2070" s="581"/>
      <c r="O2070" s="649"/>
      <c r="P2070" s="581"/>
      <c r="Q2070" s="581"/>
      <c r="R2070" s="653"/>
      <c r="S2070" s="564"/>
      <c r="T2070" s="564"/>
      <c r="U2070" s="564"/>
      <c r="V2070" s="564"/>
      <c r="W2070" s="565"/>
      <c r="X2070" s="565"/>
      <c r="Y2070" s="565"/>
      <c r="Z2070" s="565"/>
    </row>
    <row r="2071" spans="1:26" s="639" customFormat="1" ht="13.5" hidden="1" thickBot="1">
      <c r="A2071" s="647">
        <v>4438</v>
      </c>
      <c r="B2071" s="651" t="s">
        <v>201</v>
      </c>
      <c r="C2071" s="603"/>
      <c r="D2071" s="581">
        <f>G2071+J2071+P2071+M2071</f>
        <v>0</v>
      </c>
      <c r="E2071" s="581">
        <f>SUM(H2071+K2071+N2071+Q2071)</f>
        <v>0</v>
      </c>
      <c r="F2071" s="582" t="e">
        <f t="shared" si="251"/>
        <v>#DIV/0!</v>
      </c>
      <c r="G2071" s="603"/>
      <c r="H2071" s="581"/>
      <c r="I2071" s="627" t="e">
        <f t="shared" si="248"/>
        <v>#DIV/0!</v>
      </c>
      <c r="J2071" s="772"/>
      <c r="K2071" s="581"/>
      <c r="L2071" s="587"/>
      <c r="M2071" s="581"/>
      <c r="N2071" s="581"/>
      <c r="O2071" s="649"/>
      <c r="P2071" s="581"/>
      <c r="Q2071" s="581"/>
      <c r="R2071" s="653"/>
      <c r="S2071" s="564"/>
      <c r="T2071" s="564"/>
      <c r="U2071" s="564"/>
      <c r="V2071" s="564"/>
      <c r="W2071" s="565"/>
      <c r="X2071" s="565"/>
      <c r="Y2071" s="565"/>
      <c r="Z2071" s="565"/>
    </row>
    <row r="2072" spans="1:26" s="639" customFormat="1" ht="13.5" hidden="1" thickBot="1">
      <c r="A2072" s="647">
        <v>4439</v>
      </c>
      <c r="B2072" s="651" t="s">
        <v>201</v>
      </c>
      <c r="C2072" s="603"/>
      <c r="D2072" s="581">
        <f t="shared" si="244"/>
        <v>0</v>
      </c>
      <c r="E2072" s="581">
        <f t="shared" si="250"/>
        <v>0</v>
      </c>
      <c r="F2072" s="582" t="e">
        <f t="shared" si="251"/>
        <v>#DIV/0!</v>
      </c>
      <c r="G2072" s="603"/>
      <c r="H2072" s="581"/>
      <c r="I2072" s="627" t="e">
        <f t="shared" si="248"/>
        <v>#DIV/0!</v>
      </c>
      <c r="J2072" s="772"/>
      <c r="K2072" s="581"/>
      <c r="L2072" s="587"/>
      <c r="M2072" s="581"/>
      <c r="N2072" s="581"/>
      <c r="O2072" s="649"/>
      <c r="P2072" s="581"/>
      <c r="Q2072" s="581"/>
      <c r="R2072" s="653"/>
      <c r="S2072" s="564"/>
      <c r="T2072" s="564"/>
      <c r="U2072" s="564"/>
      <c r="V2072" s="564"/>
      <c r="W2072" s="565"/>
      <c r="X2072" s="565"/>
      <c r="Y2072" s="565"/>
      <c r="Z2072" s="565"/>
    </row>
    <row r="2073" spans="1:26" s="893" customFormat="1" ht="32.25" customHeight="1" thickBot="1" thickTop="1">
      <c r="A2073" s="890">
        <v>926</v>
      </c>
      <c r="B2073" s="891" t="s">
        <v>888</v>
      </c>
      <c r="C2073" s="634">
        <f>SUM(C2074+C2093+C2090)</f>
        <v>23742585</v>
      </c>
      <c r="D2073" s="556">
        <f t="shared" si="244"/>
        <v>24410252</v>
      </c>
      <c r="E2073" s="556">
        <f>H2073+K2073+Q2073+N2073</f>
        <v>8573992</v>
      </c>
      <c r="F2073" s="557">
        <f t="shared" si="251"/>
        <v>35.12455340485629</v>
      </c>
      <c r="G2073" s="634">
        <f>SUM(G2074+G2093+G2090)</f>
        <v>24410252</v>
      </c>
      <c r="H2073" s="556">
        <f>SUM(H2074+H2093+H2090)</f>
        <v>8573992</v>
      </c>
      <c r="I2073" s="559">
        <f t="shared" si="248"/>
        <v>35.12455340485629</v>
      </c>
      <c r="J2073" s="964"/>
      <c r="K2073" s="556"/>
      <c r="L2073" s="636"/>
      <c r="M2073" s="556"/>
      <c r="N2073" s="556"/>
      <c r="O2073" s="637"/>
      <c r="P2073" s="556"/>
      <c r="Q2073" s="556"/>
      <c r="R2073" s="741"/>
      <c r="S2073" s="892"/>
      <c r="T2073" s="892"/>
      <c r="U2073" s="892"/>
      <c r="V2073" s="892"/>
      <c r="W2073" s="965"/>
      <c r="X2073" s="965"/>
      <c r="Y2073" s="965"/>
      <c r="Z2073" s="965"/>
    </row>
    <row r="2074" spans="1:18" ht="21.75" customHeight="1" thickTop="1">
      <c r="A2074" s="640">
        <v>92601</v>
      </c>
      <c r="B2074" s="742" t="s">
        <v>889</v>
      </c>
      <c r="C2074" s="608">
        <f>SUM(C2075:C2079)+C2086</f>
        <v>19341800</v>
      </c>
      <c r="D2074" s="569">
        <f t="shared" si="244"/>
        <v>19965300</v>
      </c>
      <c r="E2074" s="569">
        <f>H2074+K2074+Q2074+N2074</f>
        <v>7046930</v>
      </c>
      <c r="F2074" s="643">
        <f t="shared" si="251"/>
        <v>35.29588836631556</v>
      </c>
      <c r="G2074" s="608">
        <f>SUM(G2075:G2079)+G2086</f>
        <v>19965300</v>
      </c>
      <c r="H2074" s="595">
        <f>SUM(H2075:H2079)+H2086</f>
        <v>7046930</v>
      </c>
      <c r="I2074" s="602">
        <f t="shared" si="248"/>
        <v>35.29588836631556</v>
      </c>
      <c r="J2074" s="600"/>
      <c r="K2074" s="595"/>
      <c r="L2074" s="601"/>
      <c r="M2074" s="595"/>
      <c r="N2074" s="595"/>
      <c r="O2074" s="645"/>
      <c r="P2074" s="595"/>
      <c r="Q2074" s="595"/>
      <c r="R2074" s="731"/>
    </row>
    <row r="2075" spans="1:18" ht="12.75" hidden="1">
      <c r="A2075" s="647">
        <v>4430</v>
      </c>
      <c r="B2075" s="651" t="s">
        <v>201</v>
      </c>
      <c r="C2075" s="603"/>
      <c r="D2075" s="581">
        <f t="shared" si="244"/>
        <v>0</v>
      </c>
      <c r="E2075" s="581">
        <f>H2075+K2075+Q2075+N2075</f>
        <v>0</v>
      </c>
      <c r="F2075" s="582" t="e">
        <f t="shared" si="251"/>
        <v>#DIV/0!</v>
      </c>
      <c r="G2075" s="603"/>
      <c r="H2075" s="615">
        <f>23-23</f>
        <v>0</v>
      </c>
      <c r="I2075" s="585" t="e">
        <f t="shared" si="248"/>
        <v>#DIV/0!</v>
      </c>
      <c r="J2075" s="618"/>
      <c r="K2075" s="615"/>
      <c r="L2075" s="619"/>
      <c r="M2075" s="615"/>
      <c r="N2075" s="615"/>
      <c r="O2075" s="686"/>
      <c r="P2075" s="615"/>
      <c r="Q2075" s="615"/>
      <c r="R2075" s="671"/>
    </row>
    <row r="2076" spans="1:18" ht="36.75" customHeight="1">
      <c r="A2076" s="647">
        <v>4300</v>
      </c>
      <c r="B2076" s="651" t="s">
        <v>31</v>
      </c>
      <c r="C2076" s="603">
        <v>136000</v>
      </c>
      <c r="D2076" s="581">
        <f t="shared" si="244"/>
        <v>136000</v>
      </c>
      <c r="E2076" s="581">
        <f>H2076+K2076+Q2076+N2076</f>
        <v>34407</v>
      </c>
      <c r="F2076" s="582">
        <f t="shared" si="251"/>
        <v>25.29926470588235</v>
      </c>
      <c r="G2076" s="603">
        <v>136000</v>
      </c>
      <c r="H2076" s="581">
        <v>34407</v>
      </c>
      <c r="I2076" s="585">
        <f t="shared" si="248"/>
        <v>25.29926470588235</v>
      </c>
      <c r="J2076" s="586"/>
      <c r="K2076" s="581"/>
      <c r="L2076" s="587"/>
      <c r="M2076" s="581"/>
      <c r="N2076" s="581"/>
      <c r="O2076" s="649"/>
      <c r="P2076" s="581"/>
      <c r="Q2076" s="581"/>
      <c r="R2076" s="653"/>
    </row>
    <row r="2077" spans="1:18" ht="24">
      <c r="A2077" s="647">
        <v>4530</v>
      </c>
      <c r="B2077" s="651" t="s">
        <v>32</v>
      </c>
      <c r="C2077" s="603">
        <v>4800000</v>
      </c>
      <c r="D2077" s="581">
        <f t="shared" si="244"/>
        <v>4800000</v>
      </c>
      <c r="E2077" s="581">
        <f aca="true" t="shared" si="252" ref="E2077:E2085">SUM(H2077+K2077+N2077+Q2077)</f>
        <v>4712400</v>
      </c>
      <c r="F2077" s="582">
        <f t="shared" si="251"/>
        <v>98.175</v>
      </c>
      <c r="G2077" s="603">
        <v>4800000</v>
      </c>
      <c r="H2077" s="581">
        <v>4712400</v>
      </c>
      <c r="I2077" s="585">
        <f t="shared" si="248"/>
        <v>98.175</v>
      </c>
      <c r="J2077" s="586"/>
      <c r="K2077" s="581"/>
      <c r="L2077" s="587"/>
      <c r="M2077" s="581"/>
      <c r="N2077" s="581"/>
      <c r="O2077" s="649"/>
      <c r="P2077" s="581"/>
      <c r="Q2077" s="581"/>
      <c r="R2077" s="653"/>
    </row>
    <row r="2078" spans="1:18" ht="99" customHeight="1">
      <c r="A2078" s="647">
        <v>6010</v>
      </c>
      <c r="B2078" s="712" t="s">
        <v>33</v>
      </c>
      <c r="C2078" s="603">
        <v>3300000</v>
      </c>
      <c r="D2078" s="581">
        <f t="shared" si="244"/>
        <v>3300000</v>
      </c>
      <c r="E2078" s="581">
        <f t="shared" si="252"/>
        <v>2300000</v>
      </c>
      <c r="F2078" s="582">
        <f t="shared" si="251"/>
        <v>69.6969696969697</v>
      </c>
      <c r="G2078" s="603">
        <v>3300000</v>
      </c>
      <c r="H2078" s="581">
        <f>1800000+500000</f>
        <v>2300000</v>
      </c>
      <c r="I2078" s="585">
        <f t="shared" si="248"/>
        <v>69.6969696969697</v>
      </c>
      <c r="J2078" s="586"/>
      <c r="K2078" s="581"/>
      <c r="L2078" s="587"/>
      <c r="M2078" s="581"/>
      <c r="N2078" s="581"/>
      <c r="O2078" s="649"/>
      <c r="P2078" s="581"/>
      <c r="Q2078" s="581"/>
      <c r="R2078" s="653"/>
    </row>
    <row r="2079" spans="1:18" ht="23.25" customHeight="1">
      <c r="A2079" s="647">
        <v>6050</v>
      </c>
      <c r="B2079" s="651" t="s">
        <v>225</v>
      </c>
      <c r="C2079" s="603">
        <f>SUM(C2080:C2085)</f>
        <v>11105800</v>
      </c>
      <c r="D2079" s="581">
        <f t="shared" si="244"/>
        <v>11729300</v>
      </c>
      <c r="E2079" s="581">
        <f t="shared" si="252"/>
        <v>123</v>
      </c>
      <c r="F2079" s="582">
        <f t="shared" si="251"/>
        <v>0.0010486559300213994</v>
      </c>
      <c r="G2079" s="603">
        <f>SUM(G2080:G2085)</f>
        <v>11729300</v>
      </c>
      <c r="H2079" s="581">
        <f>SUM(H2080:H2085)</f>
        <v>123</v>
      </c>
      <c r="I2079" s="585">
        <f t="shared" si="248"/>
        <v>0.0010486559300213994</v>
      </c>
      <c r="J2079" s="586"/>
      <c r="K2079" s="581"/>
      <c r="L2079" s="587"/>
      <c r="M2079" s="581"/>
      <c r="N2079" s="581"/>
      <c r="O2079" s="649"/>
      <c r="P2079" s="581"/>
      <c r="Q2079" s="581"/>
      <c r="R2079" s="653"/>
    </row>
    <row r="2080" spans="1:26" s="702" customFormat="1" ht="13.5" customHeight="1" hidden="1">
      <c r="A2080" s="694"/>
      <c r="B2080" s="695" t="s">
        <v>890</v>
      </c>
      <c r="C2080" s="745"/>
      <c r="D2080" s="746">
        <f t="shared" si="244"/>
        <v>0</v>
      </c>
      <c r="E2080" s="746">
        <f t="shared" si="252"/>
        <v>0</v>
      </c>
      <c r="F2080" s="582" t="e">
        <f t="shared" si="251"/>
        <v>#DIV/0!</v>
      </c>
      <c r="G2080" s="745"/>
      <c r="H2080" s="746"/>
      <c r="I2080" s="627" t="e">
        <f t="shared" si="248"/>
        <v>#DIV/0!</v>
      </c>
      <c r="J2080" s="748"/>
      <c r="K2080" s="746"/>
      <c r="L2080" s="587"/>
      <c r="M2080" s="746"/>
      <c r="N2080" s="746"/>
      <c r="O2080" s="587"/>
      <c r="P2080" s="746"/>
      <c r="Q2080" s="746"/>
      <c r="R2080" s="715"/>
      <c r="S2080" s="700"/>
      <c r="T2080" s="700"/>
      <c r="U2080" s="700"/>
      <c r="V2080" s="700"/>
      <c r="W2080" s="701"/>
      <c r="X2080" s="701"/>
      <c r="Y2080" s="701"/>
      <c r="Z2080" s="701"/>
    </row>
    <row r="2081" spans="1:26" s="702" customFormat="1" ht="24">
      <c r="A2081" s="694"/>
      <c r="B2081" s="695" t="s">
        <v>576</v>
      </c>
      <c r="C2081" s="745">
        <v>8605800</v>
      </c>
      <c r="D2081" s="746">
        <f>G2081+J2081+P2081+M2081</f>
        <v>8605800</v>
      </c>
      <c r="E2081" s="746">
        <f>SUM(H2081+K2081+N2081+Q2081)</f>
        <v>0</v>
      </c>
      <c r="F2081" s="582">
        <f>E2081/D2081*100</f>
        <v>0</v>
      </c>
      <c r="G2081" s="745">
        <v>8605800</v>
      </c>
      <c r="H2081" s="746"/>
      <c r="I2081" s="627">
        <f t="shared" si="248"/>
        <v>0</v>
      </c>
      <c r="J2081" s="748"/>
      <c r="K2081" s="746"/>
      <c r="L2081" s="587"/>
      <c r="M2081" s="746"/>
      <c r="N2081" s="746"/>
      <c r="O2081" s="587"/>
      <c r="P2081" s="746"/>
      <c r="Q2081" s="746"/>
      <c r="R2081" s="715"/>
      <c r="S2081" s="700"/>
      <c r="T2081" s="700"/>
      <c r="U2081" s="700"/>
      <c r="V2081" s="700"/>
      <c r="W2081" s="701"/>
      <c r="X2081" s="701"/>
      <c r="Y2081" s="701"/>
      <c r="Z2081" s="701"/>
    </row>
    <row r="2082" spans="1:26" s="702" customFormat="1" ht="24" hidden="1">
      <c r="A2082" s="694"/>
      <c r="B2082" s="695" t="s">
        <v>577</v>
      </c>
      <c r="C2082" s="745"/>
      <c r="D2082" s="746">
        <f>G2082+J2082+P2082+M2082</f>
        <v>0</v>
      </c>
      <c r="E2082" s="746">
        <f>SUM(H2082+K2082+N2082+Q2082)</f>
        <v>0</v>
      </c>
      <c r="F2082" s="582" t="e">
        <f t="shared" si="251"/>
        <v>#DIV/0!</v>
      </c>
      <c r="G2082" s="745"/>
      <c r="H2082" s="746"/>
      <c r="I2082" s="627" t="e">
        <f t="shared" si="248"/>
        <v>#DIV/0!</v>
      </c>
      <c r="J2082" s="748"/>
      <c r="K2082" s="746"/>
      <c r="L2082" s="587"/>
      <c r="M2082" s="746"/>
      <c r="N2082" s="746"/>
      <c r="O2082" s="587"/>
      <c r="P2082" s="746"/>
      <c r="Q2082" s="746"/>
      <c r="R2082" s="715"/>
      <c r="S2082" s="700"/>
      <c r="T2082" s="700"/>
      <c r="U2082" s="700"/>
      <c r="V2082" s="700"/>
      <c r="W2082" s="701"/>
      <c r="X2082" s="701"/>
      <c r="Y2082" s="701"/>
      <c r="Z2082" s="701"/>
    </row>
    <row r="2083" spans="1:26" s="702" customFormat="1" ht="24" hidden="1">
      <c r="A2083" s="694"/>
      <c r="B2083" s="695" t="s">
        <v>578</v>
      </c>
      <c r="C2083" s="745"/>
      <c r="D2083" s="746">
        <f>G2083+J2083+P2083+M2083</f>
        <v>0</v>
      </c>
      <c r="E2083" s="746">
        <f>SUM(H2083+K2083+N2083+Q2083)</f>
        <v>0</v>
      </c>
      <c r="F2083" s="582" t="e">
        <f t="shared" si="251"/>
        <v>#DIV/0!</v>
      </c>
      <c r="G2083" s="745"/>
      <c r="H2083" s="746"/>
      <c r="I2083" s="627" t="e">
        <f t="shared" si="248"/>
        <v>#DIV/0!</v>
      </c>
      <c r="J2083" s="748"/>
      <c r="K2083" s="746"/>
      <c r="L2083" s="587"/>
      <c r="M2083" s="746"/>
      <c r="N2083" s="746"/>
      <c r="O2083" s="587"/>
      <c r="P2083" s="746"/>
      <c r="Q2083" s="746"/>
      <c r="R2083" s="715"/>
      <c r="S2083" s="700"/>
      <c r="T2083" s="700"/>
      <c r="U2083" s="700"/>
      <c r="V2083" s="700"/>
      <c r="W2083" s="701"/>
      <c r="X2083" s="701"/>
      <c r="Y2083" s="701"/>
      <c r="Z2083" s="701"/>
    </row>
    <row r="2084" spans="1:26" s="702" customFormat="1" ht="24" hidden="1">
      <c r="A2084" s="694"/>
      <c r="B2084" s="695" t="s">
        <v>579</v>
      </c>
      <c r="C2084" s="745"/>
      <c r="D2084" s="746">
        <f>G2084+J2084+P2084+M2084</f>
        <v>0</v>
      </c>
      <c r="E2084" s="746">
        <f>SUM(H2084+K2084+N2084+Q2084)</f>
        <v>0</v>
      </c>
      <c r="F2084" s="582" t="e">
        <f t="shared" si="251"/>
        <v>#DIV/0!</v>
      </c>
      <c r="G2084" s="745"/>
      <c r="H2084" s="746"/>
      <c r="I2084" s="627" t="e">
        <f t="shared" si="248"/>
        <v>#DIV/0!</v>
      </c>
      <c r="J2084" s="748"/>
      <c r="K2084" s="746"/>
      <c r="L2084" s="587"/>
      <c r="M2084" s="746"/>
      <c r="N2084" s="746"/>
      <c r="O2084" s="587"/>
      <c r="P2084" s="746"/>
      <c r="Q2084" s="746"/>
      <c r="R2084" s="715"/>
      <c r="S2084" s="700"/>
      <c r="T2084" s="700"/>
      <c r="U2084" s="700"/>
      <c r="V2084" s="700"/>
      <c r="W2084" s="701"/>
      <c r="X2084" s="701"/>
      <c r="Y2084" s="701"/>
      <c r="Z2084" s="701"/>
    </row>
    <row r="2085" spans="1:26" s="702" customFormat="1" ht="36.75" customHeight="1">
      <c r="A2085" s="694"/>
      <c r="B2085" s="695" t="s">
        <v>34</v>
      </c>
      <c r="C2085" s="745">
        <v>2500000</v>
      </c>
      <c r="D2085" s="746">
        <f t="shared" si="244"/>
        <v>3123500</v>
      </c>
      <c r="E2085" s="746">
        <f t="shared" si="252"/>
        <v>123</v>
      </c>
      <c r="F2085" s="582">
        <f t="shared" si="251"/>
        <v>0.003937890187289899</v>
      </c>
      <c r="G2085" s="745">
        <f>2500000+623500</f>
        <v>3123500</v>
      </c>
      <c r="H2085" s="746">
        <f>4+97+4+9+9</f>
        <v>123</v>
      </c>
      <c r="I2085" s="627">
        <f t="shared" si="248"/>
        <v>0.003937890187289899</v>
      </c>
      <c r="J2085" s="748"/>
      <c r="K2085" s="746"/>
      <c r="L2085" s="587"/>
      <c r="M2085" s="746"/>
      <c r="N2085" s="746"/>
      <c r="O2085" s="587"/>
      <c r="P2085" s="746"/>
      <c r="Q2085" s="746"/>
      <c r="R2085" s="715"/>
      <c r="S2085" s="700"/>
      <c r="T2085" s="700"/>
      <c r="U2085" s="700"/>
      <c r="V2085" s="700"/>
      <c r="W2085" s="701"/>
      <c r="X2085" s="701"/>
      <c r="Y2085" s="701"/>
      <c r="Z2085" s="701"/>
    </row>
    <row r="2086" spans="1:26" s="639" customFormat="1" ht="48" hidden="1">
      <c r="A2086" s="657"/>
      <c r="B2086" s="798" t="s">
        <v>891</v>
      </c>
      <c r="C2086" s="659">
        <f>SUM(C2087:C2089)</f>
        <v>0</v>
      </c>
      <c r="D2086" s="660">
        <f aca="true" t="shared" si="253" ref="D2086:E2090">G2086+J2086+P2086+M2086</f>
        <v>0</v>
      </c>
      <c r="E2086" s="660">
        <f t="shared" si="253"/>
        <v>0</v>
      </c>
      <c r="F2086" s="582" t="e">
        <f t="shared" si="251"/>
        <v>#DIV/0!</v>
      </c>
      <c r="G2086" s="659">
        <f>SUM(G2087:G2089)</f>
        <v>0</v>
      </c>
      <c r="H2086" s="660">
        <f>SUM(H2087:H2089)</f>
        <v>0</v>
      </c>
      <c r="I2086" s="627" t="e">
        <f t="shared" si="248"/>
        <v>#DIV/0!</v>
      </c>
      <c r="J2086" s="661"/>
      <c r="K2086" s="660"/>
      <c r="L2086" s="662"/>
      <c r="M2086" s="660"/>
      <c r="N2086" s="660"/>
      <c r="O2086" s="800"/>
      <c r="P2086" s="660"/>
      <c r="Q2086" s="660"/>
      <c r="R2086" s="666"/>
      <c r="S2086" s="564"/>
      <c r="T2086" s="564"/>
      <c r="U2086" s="564"/>
      <c r="V2086" s="564"/>
      <c r="W2086" s="565"/>
      <c r="X2086" s="565"/>
      <c r="Y2086" s="565"/>
      <c r="Z2086" s="565"/>
    </row>
    <row r="2087" spans="1:26" s="639" customFormat="1" ht="36" hidden="1">
      <c r="A2087" s="647">
        <v>6050</v>
      </c>
      <c r="B2087" s="651" t="s">
        <v>225</v>
      </c>
      <c r="C2087" s="603"/>
      <c r="D2087" s="581">
        <f t="shared" si="253"/>
        <v>0</v>
      </c>
      <c r="E2087" s="581">
        <f t="shared" si="253"/>
        <v>0</v>
      </c>
      <c r="F2087" s="582" t="e">
        <f t="shared" si="251"/>
        <v>#DIV/0!</v>
      </c>
      <c r="G2087" s="603"/>
      <c r="H2087" s="581"/>
      <c r="I2087" s="627" t="e">
        <f t="shared" si="248"/>
        <v>#DIV/0!</v>
      </c>
      <c r="J2087" s="661"/>
      <c r="K2087" s="660"/>
      <c r="L2087" s="662"/>
      <c r="M2087" s="660"/>
      <c r="N2087" s="660"/>
      <c r="O2087" s="800"/>
      <c r="P2087" s="660"/>
      <c r="Q2087" s="660"/>
      <c r="R2087" s="666"/>
      <c r="S2087" s="564"/>
      <c r="T2087" s="564"/>
      <c r="U2087" s="564"/>
      <c r="V2087" s="564"/>
      <c r="W2087" s="565"/>
      <c r="X2087" s="565"/>
      <c r="Y2087" s="565"/>
      <c r="Z2087" s="565"/>
    </row>
    <row r="2088" spans="1:18" ht="36" hidden="1">
      <c r="A2088" s="647">
        <v>6058</v>
      </c>
      <c r="B2088" s="651" t="s">
        <v>225</v>
      </c>
      <c r="C2088" s="603"/>
      <c r="D2088" s="581">
        <f t="shared" si="253"/>
        <v>0</v>
      </c>
      <c r="E2088" s="581">
        <f t="shared" si="253"/>
        <v>0</v>
      </c>
      <c r="F2088" s="582" t="e">
        <f t="shared" si="251"/>
        <v>#DIV/0!</v>
      </c>
      <c r="G2088" s="603"/>
      <c r="H2088" s="581"/>
      <c r="I2088" s="627" t="e">
        <f t="shared" si="248"/>
        <v>#DIV/0!</v>
      </c>
      <c r="J2088" s="586"/>
      <c r="K2088" s="581"/>
      <c r="L2088" s="587"/>
      <c r="M2088" s="581"/>
      <c r="N2088" s="581"/>
      <c r="O2088" s="649"/>
      <c r="P2088" s="581"/>
      <c r="Q2088" s="581"/>
      <c r="R2088" s="653"/>
    </row>
    <row r="2089" spans="1:18" ht="36" hidden="1">
      <c r="A2089" s="647">
        <v>6059</v>
      </c>
      <c r="B2089" s="651" t="s">
        <v>225</v>
      </c>
      <c r="C2089" s="603"/>
      <c r="D2089" s="581">
        <f t="shared" si="253"/>
        <v>0</v>
      </c>
      <c r="E2089" s="581">
        <f t="shared" si="253"/>
        <v>0</v>
      </c>
      <c r="F2089" s="582" t="e">
        <f t="shared" si="251"/>
        <v>#DIV/0!</v>
      </c>
      <c r="G2089" s="603"/>
      <c r="H2089" s="581"/>
      <c r="I2089" s="627" t="e">
        <f t="shared" si="248"/>
        <v>#DIV/0!</v>
      </c>
      <c r="J2089" s="586"/>
      <c r="K2089" s="581"/>
      <c r="L2089" s="587"/>
      <c r="M2089" s="581"/>
      <c r="N2089" s="581"/>
      <c r="O2089" s="649"/>
      <c r="P2089" s="581"/>
      <c r="Q2089" s="581"/>
      <c r="R2089" s="653"/>
    </row>
    <row r="2090" spans="1:26" s="639" customFormat="1" ht="24">
      <c r="A2090" s="640">
        <v>92605</v>
      </c>
      <c r="B2090" s="742" t="s">
        <v>892</v>
      </c>
      <c r="C2090" s="608">
        <f>SUM(C2091:C2091)</f>
        <v>4200000</v>
      </c>
      <c r="D2090" s="595">
        <f t="shared" si="253"/>
        <v>4200000</v>
      </c>
      <c r="E2090" s="595">
        <f t="shared" si="253"/>
        <v>1464178</v>
      </c>
      <c r="F2090" s="596">
        <f t="shared" si="251"/>
        <v>34.861380952380955</v>
      </c>
      <c r="G2090" s="608">
        <f>SUM(G2091:G2092)</f>
        <v>4200000</v>
      </c>
      <c r="H2090" s="595">
        <f>SUM(H2091:H2092)</f>
        <v>1464178</v>
      </c>
      <c r="I2090" s="624">
        <f>H2090/G2090*100</f>
        <v>34.861380952380955</v>
      </c>
      <c r="J2090" s="600"/>
      <c r="K2090" s="595"/>
      <c r="L2090" s="601"/>
      <c r="M2090" s="595"/>
      <c r="N2090" s="595"/>
      <c r="O2090" s="645"/>
      <c r="P2090" s="595"/>
      <c r="Q2090" s="595"/>
      <c r="R2090" s="731"/>
      <c r="S2090" s="564"/>
      <c r="T2090" s="564"/>
      <c r="U2090" s="564"/>
      <c r="V2090" s="564"/>
      <c r="W2090" s="565"/>
      <c r="X2090" s="565"/>
      <c r="Y2090" s="565"/>
      <c r="Z2090" s="565"/>
    </row>
    <row r="2091" spans="1:18" ht="63.75" customHeight="1">
      <c r="A2091" s="647">
        <v>2820</v>
      </c>
      <c r="B2091" s="651" t="s">
        <v>593</v>
      </c>
      <c r="C2091" s="603">
        <v>4200000</v>
      </c>
      <c r="D2091" s="581">
        <f>G2091+J2091+P2091+M2091</f>
        <v>4200000</v>
      </c>
      <c r="E2091" s="581">
        <f aca="true" t="shared" si="254" ref="E2091:E2105">SUM(H2091+K2091+N2091+Q2091)</f>
        <v>1464178</v>
      </c>
      <c r="F2091" s="582">
        <f t="shared" si="251"/>
        <v>34.861380952380955</v>
      </c>
      <c r="G2091" s="603">
        <v>4200000</v>
      </c>
      <c r="H2091" s="581">
        <v>1464178</v>
      </c>
      <c r="I2091" s="669">
        <f>H2091/G2091*100</f>
        <v>34.861380952380955</v>
      </c>
      <c r="J2091" s="586"/>
      <c r="K2091" s="581"/>
      <c r="L2091" s="587"/>
      <c r="M2091" s="581"/>
      <c r="N2091" s="581"/>
      <c r="O2091" s="649"/>
      <c r="P2091" s="581"/>
      <c r="Q2091" s="581"/>
      <c r="R2091" s="653"/>
    </row>
    <row r="2092" spans="1:18" ht="27.75" customHeight="1" hidden="1">
      <c r="A2092" s="647">
        <v>4300</v>
      </c>
      <c r="B2092" s="651" t="s">
        <v>199</v>
      </c>
      <c r="C2092" s="603"/>
      <c r="D2092" s="581">
        <f>G2092+J2092+P2092+M2092</f>
        <v>0</v>
      </c>
      <c r="E2092" s="581">
        <f t="shared" si="254"/>
        <v>0</v>
      </c>
      <c r="F2092" s="582" t="e">
        <f t="shared" si="251"/>
        <v>#DIV/0!</v>
      </c>
      <c r="G2092" s="603"/>
      <c r="H2092" s="581"/>
      <c r="I2092" s="627" t="e">
        <f>H2092/G2092*100</f>
        <v>#DIV/0!</v>
      </c>
      <c r="J2092" s="586"/>
      <c r="K2092" s="581"/>
      <c r="L2092" s="587"/>
      <c r="M2092" s="581"/>
      <c r="N2092" s="581"/>
      <c r="O2092" s="649"/>
      <c r="P2092" s="581"/>
      <c r="Q2092" s="581"/>
      <c r="R2092" s="653"/>
    </row>
    <row r="2093" spans="1:18" ht="15.75" customHeight="1">
      <c r="A2093" s="640">
        <v>92695</v>
      </c>
      <c r="B2093" s="742" t="s">
        <v>893</v>
      </c>
      <c r="C2093" s="608">
        <f>SUM(C2095:C2105)</f>
        <v>200785</v>
      </c>
      <c r="D2093" s="595">
        <f>G2093+J2093+P2093+M2093</f>
        <v>244952</v>
      </c>
      <c r="E2093" s="595">
        <f>H2093+K2093+Q2093+N2093</f>
        <v>62884</v>
      </c>
      <c r="F2093" s="596">
        <f>E2093/D2093*100</f>
        <v>25.671968385642902</v>
      </c>
      <c r="G2093" s="608">
        <f>SUM(G2094:G2105)</f>
        <v>244952</v>
      </c>
      <c r="H2093" s="595">
        <f>SUM(H2094:H2105)</f>
        <v>62884</v>
      </c>
      <c r="I2093" s="624">
        <f>H2093/G2093*100</f>
        <v>25.671968385642902</v>
      </c>
      <c r="J2093" s="600"/>
      <c r="K2093" s="595"/>
      <c r="L2093" s="601"/>
      <c r="M2093" s="595"/>
      <c r="N2093" s="595"/>
      <c r="O2093" s="645"/>
      <c r="P2093" s="595"/>
      <c r="Q2093" s="595"/>
      <c r="R2093" s="731"/>
    </row>
    <row r="2094" spans="1:18" ht="120" hidden="1">
      <c r="A2094" s="647">
        <v>2820</v>
      </c>
      <c r="B2094" s="651" t="s">
        <v>35</v>
      </c>
      <c r="C2094" s="603"/>
      <c r="D2094" s="581">
        <f>G2094+J2094+P2094+M2094</f>
        <v>0</v>
      </c>
      <c r="E2094" s="581">
        <f>SUM(H2094+K2094+N2094+Q2094)</f>
        <v>0</v>
      </c>
      <c r="F2094" s="582" t="e">
        <f aca="true" t="shared" si="255" ref="F2094:F2111">E2094/D2094*100</f>
        <v>#DIV/0!</v>
      </c>
      <c r="G2094" s="603"/>
      <c r="H2094" s="581"/>
      <c r="I2094" s="627" t="e">
        <f aca="true" t="shared" si="256" ref="I2094:I2105">H2094/G2094*100</f>
        <v>#DIV/0!</v>
      </c>
      <c r="J2094" s="586"/>
      <c r="K2094" s="581"/>
      <c r="L2094" s="587"/>
      <c r="M2094" s="581"/>
      <c r="N2094" s="581"/>
      <c r="O2094" s="649"/>
      <c r="P2094" s="581"/>
      <c r="Q2094" s="581"/>
      <c r="R2094" s="653"/>
    </row>
    <row r="2095" spans="1:18" ht="144" hidden="1">
      <c r="A2095" s="647">
        <v>6230</v>
      </c>
      <c r="B2095" s="651" t="s">
        <v>36</v>
      </c>
      <c r="C2095" s="603"/>
      <c r="D2095" s="581">
        <f aca="true" t="shared" si="257" ref="D2095:D2105">G2095+J2095+P2095+M2095</f>
        <v>0</v>
      </c>
      <c r="E2095" s="581">
        <f t="shared" si="254"/>
        <v>0</v>
      </c>
      <c r="F2095" s="582" t="e">
        <f t="shared" si="255"/>
        <v>#DIV/0!</v>
      </c>
      <c r="G2095" s="603"/>
      <c r="H2095" s="581"/>
      <c r="I2095" s="627" t="e">
        <f t="shared" si="256"/>
        <v>#DIV/0!</v>
      </c>
      <c r="J2095" s="586"/>
      <c r="K2095" s="581"/>
      <c r="L2095" s="587"/>
      <c r="M2095" s="581"/>
      <c r="N2095" s="581"/>
      <c r="O2095" s="649"/>
      <c r="P2095" s="581"/>
      <c r="Q2095" s="581"/>
      <c r="R2095" s="653"/>
    </row>
    <row r="2096" spans="1:18" ht="39.75" customHeight="1">
      <c r="A2096" s="647">
        <v>3040</v>
      </c>
      <c r="B2096" s="651" t="s">
        <v>775</v>
      </c>
      <c r="C2096" s="603">
        <v>37000</v>
      </c>
      <c r="D2096" s="581">
        <f t="shared" si="257"/>
        <v>77000</v>
      </c>
      <c r="E2096" s="581">
        <f t="shared" si="254"/>
        <v>40000</v>
      </c>
      <c r="F2096" s="582">
        <f t="shared" si="255"/>
        <v>51.94805194805194</v>
      </c>
      <c r="G2096" s="603">
        <f>37000+40000</f>
        <v>77000</v>
      </c>
      <c r="H2096" s="581">
        <v>40000</v>
      </c>
      <c r="I2096" s="627">
        <f t="shared" si="256"/>
        <v>51.94805194805194</v>
      </c>
      <c r="J2096" s="586"/>
      <c r="K2096" s="581"/>
      <c r="L2096" s="587"/>
      <c r="M2096" s="581"/>
      <c r="N2096" s="581"/>
      <c r="O2096" s="649"/>
      <c r="P2096" s="581"/>
      <c r="Q2096" s="581"/>
      <c r="R2096" s="653"/>
    </row>
    <row r="2097" spans="1:18" ht="12.75">
      <c r="A2097" s="647">
        <v>3250</v>
      </c>
      <c r="B2097" s="651" t="s">
        <v>772</v>
      </c>
      <c r="C2097" s="603">
        <v>70000</v>
      </c>
      <c r="D2097" s="581">
        <f>G2097+J2097+P2097+M2097</f>
        <v>79800</v>
      </c>
      <c r="E2097" s="581">
        <f>SUM(H2097+K2097+N2097+Q2097)</f>
        <v>16143</v>
      </c>
      <c r="F2097" s="582">
        <f>E2097/D2097*100</f>
        <v>20.22932330827068</v>
      </c>
      <c r="G2097" s="603">
        <f>70000+9800</f>
        <v>79800</v>
      </c>
      <c r="H2097" s="581">
        <f>16142+1</f>
        <v>16143</v>
      </c>
      <c r="I2097" s="627">
        <f t="shared" si="256"/>
        <v>20.22932330827068</v>
      </c>
      <c r="J2097" s="586"/>
      <c r="K2097" s="581"/>
      <c r="L2097" s="587"/>
      <c r="M2097" s="581"/>
      <c r="N2097" s="581"/>
      <c r="O2097" s="649"/>
      <c r="P2097" s="581"/>
      <c r="Q2097" s="581"/>
      <c r="R2097" s="653"/>
    </row>
    <row r="2098" spans="1:18" ht="24.75" customHeight="1">
      <c r="A2098" s="647">
        <v>4110</v>
      </c>
      <c r="B2098" s="828" t="s">
        <v>187</v>
      </c>
      <c r="C2098" s="603">
        <v>11000</v>
      </c>
      <c r="D2098" s="581">
        <f>G2098+J2098+P2098+M2098</f>
        <v>1200</v>
      </c>
      <c r="E2098" s="581">
        <f>SUM(H2098+K2098+N2098+Q2098)</f>
        <v>0</v>
      </c>
      <c r="F2098" s="582">
        <f>E2098/D2098*100</f>
        <v>0</v>
      </c>
      <c r="G2098" s="603">
        <f>11000-9800</f>
        <v>1200</v>
      </c>
      <c r="H2098" s="581"/>
      <c r="I2098" s="627">
        <f t="shared" si="256"/>
        <v>0</v>
      </c>
      <c r="J2098" s="586"/>
      <c r="K2098" s="581"/>
      <c r="L2098" s="587"/>
      <c r="M2098" s="581"/>
      <c r="N2098" s="581"/>
      <c r="O2098" s="649"/>
      <c r="P2098" s="581"/>
      <c r="Q2098" s="581"/>
      <c r="R2098" s="653"/>
    </row>
    <row r="2099" spans="1:18" ht="12.75">
      <c r="A2099" s="647">
        <v>4120</v>
      </c>
      <c r="B2099" s="828" t="s">
        <v>619</v>
      </c>
      <c r="C2099" s="603">
        <v>1500</v>
      </c>
      <c r="D2099" s="581">
        <f>G2099+J2099+P2099+M2099</f>
        <v>1500</v>
      </c>
      <c r="E2099" s="581">
        <f>SUM(H2099+K2099+N2099+Q2099)</f>
        <v>0</v>
      </c>
      <c r="F2099" s="582">
        <f>E2099/D2099*100</f>
        <v>0</v>
      </c>
      <c r="G2099" s="603">
        <v>1500</v>
      </c>
      <c r="H2099" s="581"/>
      <c r="I2099" s="627">
        <f t="shared" si="256"/>
        <v>0</v>
      </c>
      <c r="J2099" s="586"/>
      <c r="K2099" s="581"/>
      <c r="L2099" s="587"/>
      <c r="M2099" s="581"/>
      <c r="N2099" s="581"/>
      <c r="O2099" s="649"/>
      <c r="P2099" s="581"/>
      <c r="Q2099" s="581"/>
      <c r="R2099" s="653"/>
    </row>
    <row r="2100" spans="1:18" ht="27" customHeight="1">
      <c r="A2100" s="647">
        <v>4210</v>
      </c>
      <c r="B2100" s="651" t="s">
        <v>691</v>
      </c>
      <c r="C2100" s="603">
        <v>23000</v>
      </c>
      <c r="D2100" s="581">
        <f>G2100+J2100+P2100+M2100</f>
        <v>23000</v>
      </c>
      <c r="E2100" s="581">
        <f>SUM(H2100+K2100+N2100+Q2100)</f>
        <v>1589</v>
      </c>
      <c r="F2100" s="582">
        <f t="shared" si="255"/>
        <v>6.908695652173913</v>
      </c>
      <c r="G2100" s="603">
        <v>23000</v>
      </c>
      <c r="H2100" s="581">
        <v>1589</v>
      </c>
      <c r="I2100" s="627">
        <f t="shared" si="256"/>
        <v>6.908695652173913</v>
      </c>
      <c r="J2100" s="586"/>
      <c r="K2100" s="581"/>
      <c r="L2100" s="587"/>
      <c r="M2100" s="581"/>
      <c r="N2100" s="581"/>
      <c r="O2100" s="649"/>
      <c r="P2100" s="581"/>
      <c r="Q2100" s="581"/>
      <c r="R2100" s="653"/>
    </row>
    <row r="2101" spans="1:18" ht="25.5" customHeight="1">
      <c r="A2101" s="647">
        <v>4210</v>
      </c>
      <c r="B2101" s="651" t="s">
        <v>37</v>
      </c>
      <c r="C2101" s="603">
        <v>22795</v>
      </c>
      <c r="D2101" s="581">
        <f t="shared" si="257"/>
        <v>22795</v>
      </c>
      <c r="E2101" s="581">
        <f t="shared" si="254"/>
        <v>202</v>
      </c>
      <c r="F2101" s="582">
        <f t="shared" si="255"/>
        <v>0.8861592454485633</v>
      </c>
      <c r="G2101" s="603">
        <v>22795</v>
      </c>
      <c r="H2101" s="581">
        <v>202</v>
      </c>
      <c r="I2101" s="627">
        <f t="shared" si="256"/>
        <v>0.8861592454485633</v>
      </c>
      <c r="J2101" s="586"/>
      <c r="K2101" s="581"/>
      <c r="L2101" s="587"/>
      <c r="M2101" s="581"/>
      <c r="N2101" s="581"/>
      <c r="O2101" s="649"/>
      <c r="P2101" s="581"/>
      <c r="Q2101" s="581"/>
      <c r="R2101" s="653"/>
    </row>
    <row r="2102" spans="1:18" ht="26.25" customHeight="1">
      <c r="A2102" s="647">
        <v>4300</v>
      </c>
      <c r="B2102" s="651" t="s">
        <v>894</v>
      </c>
      <c r="C2102" s="603">
        <v>23190</v>
      </c>
      <c r="D2102" s="581">
        <f>G2102+J2102+P2102+M2102</f>
        <v>23190</v>
      </c>
      <c r="E2102" s="581">
        <f>SUM(H2102+K2102+N2102+Q2102)</f>
        <v>800</v>
      </c>
      <c r="F2102" s="582">
        <f>E2102/D2102*100</f>
        <v>3.449762828805519</v>
      </c>
      <c r="G2102" s="603">
        <v>23190</v>
      </c>
      <c r="H2102" s="581">
        <v>800</v>
      </c>
      <c r="I2102" s="627">
        <f t="shared" si="256"/>
        <v>3.449762828805519</v>
      </c>
      <c r="J2102" s="586"/>
      <c r="K2102" s="581"/>
      <c r="L2102" s="587"/>
      <c r="M2102" s="581"/>
      <c r="N2102" s="581"/>
      <c r="O2102" s="649"/>
      <c r="P2102" s="581"/>
      <c r="Q2102" s="581"/>
      <c r="R2102" s="653"/>
    </row>
    <row r="2103" spans="1:18" ht="15.75" customHeight="1">
      <c r="A2103" s="647">
        <v>4300</v>
      </c>
      <c r="B2103" s="651" t="s">
        <v>199</v>
      </c>
      <c r="C2103" s="603">
        <v>12000</v>
      </c>
      <c r="D2103" s="581">
        <f t="shared" si="257"/>
        <v>12000</v>
      </c>
      <c r="E2103" s="581">
        <f t="shared" si="254"/>
        <v>0</v>
      </c>
      <c r="F2103" s="582">
        <f t="shared" si="255"/>
        <v>0</v>
      </c>
      <c r="G2103" s="603">
        <v>12000</v>
      </c>
      <c r="H2103" s="581"/>
      <c r="I2103" s="627">
        <f t="shared" si="256"/>
        <v>0</v>
      </c>
      <c r="J2103" s="586"/>
      <c r="K2103" s="581"/>
      <c r="L2103" s="587"/>
      <c r="M2103" s="581"/>
      <c r="N2103" s="581"/>
      <c r="O2103" s="649"/>
      <c r="P2103" s="581"/>
      <c r="Q2103" s="581"/>
      <c r="R2103" s="653"/>
    </row>
    <row r="2104" spans="1:18" ht="39" customHeight="1">
      <c r="A2104" s="647">
        <v>6060</v>
      </c>
      <c r="B2104" s="651" t="s">
        <v>628</v>
      </c>
      <c r="C2104" s="603"/>
      <c r="D2104" s="581">
        <f>G2104+J2104+P2104+M2104</f>
        <v>4167</v>
      </c>
      <c r="E2104" s="581">
        <f>SUM(H2104+K2104+N2104+Q2104)</f>
        <v>4150</v>
      </c>
      <c r="F2104" s="582">
        <f>E2104/D2104*100</f>
        <v>99.59203263738901</v>
      </c>
      <c r="G2104" s="603">
        <v>4167</v>
      </c>
      <c r="H2104" s="581">
        <v>4150</v>
      </c>
      <c r="I2104" s="627">
        <f t="shared" si="256"/>
        <v>99.59203263738901</v>
      </c>
      <c r="J2104" s="586"/>
      <c r="K2104" s="581"/>
      <c r="L2104" s="587"/>
      <c r="M2104" s="581"/>
      <c r="N2104" s="581"/>
      <c r="O2104" s="649"/>
      <c r="P2104" s="581"/>
      <c r="Q2104" s="581"/>
      <c r="R2104" s="653"/>
    </row>
    <row r="2105" spans="1:18" ht="18.75" customHeight="1" thickBot="1">
      <c r="A2105" s="647">
        <v>4430</v>
      </c>
      <c r="B2105" s="651" t="s">
        <v>38</v>
      </c>
      <c r="C2105" s="603">
        <v>300</v>
      </c>
      <c r="D2105" s="581">
        <f t="shared" si="257"/>
        <v>300</v>
      </c>
      <c r="E2105" s="581">
        <f t="shared" si="254"/>
        <v>0</v>
      </c>
      <c r="F2105" s="582">
        <f t="shared" si="255"/>
        <v>0</v>
      </c>
      <c r="G2105" s="603">
        <v>300</v>
      </c>
      <c r="H2105" s="581"/>
      <c r="I2105" s="627">
        <f t="shared" si="256"/>
        <v>0</v>
      </c>
      <c r="J2105" s="586"/>
      <c r="K2105" s="581"/>
      <c r="L2105" s="587"/>
      <c r="M2105" s="581"/>
      <c r="N2105" s="581"/>
      <c r="O2105" s="649"/>
      <c r="P2105" s="581"/>
      <c r="Q2105" s="581"/>
      <c r="R2105" s="653"/>
    </row>
    <row r="2106" spans="1:26" s="852" customFormat="1" ht="16.5" customHeight="1" thickTop="1">
      <c r="A2106" s="966"/>
      <c r="B2106" s="967" t="s">
        <v>895</v>
      </c>
      <c r="C2106" s="767">
        <f>C8+C43+C35+C227+C1834+C189+C619+C1066+C1908+C1084+C1149+C2073+C157+C270+C483+C516+C598+C603+C1615+C578+C1506+C510</f>
        <v>435150997</v>
      </c>
      <c r="D2106" s="569">
        <f>G2106+J2106+P2106+M2106</f>
        <v>443274968</v>
      </c>
      <c r="E2106" s="569">
        <f>E8+E43+E35+E227+E1834+E189+E619+E1066+E1908+E1084+E1149+E2073+E157+E270+E483+E516+E598+E603+E1615+E578+E1506+E510</f>
        <v>92864276</v>
      </c>
      <c r="F2106" s="968">
        <f t="shared" si="255"/>
        <v>20.949587209715844</v>
      </c>
      <c r="G2106" s="767">
        <f>G8+G43+G35+G227+G1834+G189+G619+G1066+G1908+G1084+G1149+G2073+G157+G270+G483+G516+G598+G603+G1615+G1506+G578+G510</f>
        <v>279607595</v>
      </c>
      <c r="H2106" s="569">
        <f>H8+H43+H35+H227+H1834+H189+H619+H1066+H1908+H1084+H1149+H2073+H157+H270+H483+H516+H598+H603+H1615+H578+H1506+H510</f>
        <v>58734200</v>
      </c>
      <c r="I2106" s="806">
        <f>H2106/G2106*100</f>
        <v>21.005938697766776</v>
      </c>
      <c r="J2106" s="768">
        <f>J8+J43+J35+J227+J1834+J189+J619+J1066+J1908+J1084+J1149+J2073+J157+J270+J483+J516+J598+J603+J1615+J1506+J578+J510</f>
        <v>19727942</v>
      </c>
      <c r="K2106" s="569">
        <f>K8+K43+K35+K227+K1834+K189+K619+K1066+K1908+K1084+K1149+K2073+K157+K270+K483+K516+K598+K603+K1615+K1506+K578+K510</f>
        <v>5001650</v>
      </c>
      <c r="L2106" s="969">
        <f>K2106/J2106*100</f>
        <v>25.353126038184826</v>
      </c>
      <c r="M2106" s="767">
        <f>M8+M43+M35+M227+M1834+M189+M619+M1066+M1908+M1084+M1149+M2073+M157+M270+M483+M516+M598+M603+M1615+M1506+M578+M510</f>
        <v>135119540</v>
      </c>
      <c r="N2106" s="569">
        <f>N8+N43+N35+N227+N1834+N189+N619+N1066+N1908+N1084+N1149+N2073+N157+N270+N483+N516+N598+N603+N1615+N578+N1506+N510</f>
        <v>26762607</v>
      </c>
      <c r="O2106" s="969">
        <f>N2106/M2106*100</f>
        <v>19.806614942590837</v>
      </c>
      <c r="P2106" s="574">
        <f>P8+P43+P35+P227+P1834+P189+P619+P1066+P1908+P1084+P1149+P2073+P157+P270+P483+P516+P598+P603+P1615+P1506+P578+P510</f>
        <v>8819891</v>
      </c>
      <c r="Q2106" s="569">
        <f>Q8+Q43+Q35+Q227+Q1834+Q189+Q619+Q1066+Q1908+Q1084+Q1149+Q2073+Q157+Q270+Q483+Q516+Q598+Q603+Q1615+Q1506+Q578+Q510</f>
        <v>2365819</v>
      </c>
      <c r="R2106" s="573">
        <f>Q2106/P2106*100</f>
        <v>26.823676165612476</v>
      </c>
      <c r="S2106" s="487"/>
      <c r="T2106" s="487"/>
      <c r="U2106" s="487"/>
      <c r="V2106" s="487"/>
      <c r="W2106" s="851"/>
      <c r="X2106" s="851"/>
      <c r="Y2106" s="851"/>
      <c r="Z2106" s="851"/>
    </row>
    <row r="2107" spans="1:26" s="975" customFormat="1" ht="15" customHeight="1">
      <c r="A2107" s="970"/>
      <c r="B2107" s="971" t="s">
        <v>896</v>
      </c>
      <c r="C2107" s="754">
        <v>406607820</v>
      </c>
      <c r="D2107" s="755">
        <f>G2107+M2107</f>
        <v>414727135</v>
      </c>
      <c r="E2107" s="755">
        <f>H2107+N2107</f>
        <v>85496807</v>
      </c>
      <c r="F2107" s="630">
        <f t="shared" si="255"/>
        <v>20.615194855769445</v>
      </c>
      <c r="G2107" s="754">
        <f>G2106</f>
        <v>279607595</v>
      </c>
      <c r="H2107" s="755">
        <f>H2106</f>
        <v>58734200</v>
      </c>
      <c r="I2107" s="627">
        <f>H2107/G2107*100</f>
        <v>21.005938697766776</v>
      </c>
      <c r="J2107" s="935"/>
      <c r="K2107" s="755"/>
      <c r="L2107" s="972"/>
      <c r="M2107" s="754">
        <f>M2106</f>
        <v>135119540</v>
      </c>
      <c r="N2107" s="755">
        <f>N2106</f>
        <v>26762607</v>
      </c>
      <c r="O2107" s="585">
        <f>N2107/M2107*100</f>
        <v>19.806614942590837</v>
      </c>
      <c r="P2107" s="756"/>
      <c r="Q2107" s="755"/>
      <c r="R2107" s="665"/>
      <c r="S2107" s="973"/>
      <c r="T2107" s="973"/>
      <c r="U2107" s="973"/>
      <c r="V2107" s="973"/>
      <c r="W2107" s="974"/>
      <c r="X2107" s="974"/>
      <c r="Y2107" s="974"/>
      <c r="Z2107" s="974"/>
    </row>
    <row r="2108" spans="1:26" s="702" customFormat="1" ht="12" hidden="1">
      <c r="A2108" s="976"/>
      <c r="B2108" s="977" t="s">
        <v>897</v>
      </c>
      <c r="C2108" s="745"/>
      <c r="D2108" s="746"/>
      <c r="E2108" s="746"/>
      <c r="F2108" s="582"/>
      <c r="G2108" s="978"/>
      <c r="H2108" s="746"/>
      <c r="I2108" s="627"/>
      <c r="J2108" s="978"/>
      <c r="K2108" s="746"/>
      <c r="L2108" s="979"/>
      <c r="M2108" s="978"/>
      <c r="N2108" s="746"/>
      <c r="O2108" s="629"/>
      <c r="P2108" s="748"/>
      <c r="Q2108" s="746"/>
      <c r="R2108" s="585"/>
      <c r="S2108" s="700"/>
      <c r="T2108" s="700"/>
      <c r="U2108" s="700"/>
      <c r="V2108" s="700"/>
      <c r="W2108" s="701"/>
      <c r="X2108" s="701"/>
      <c r="Y2108" s="701"/>
      <c r="Z2108" s="701"/>
    </row>
    <row r="2109" spans="1:26" s="702" customFormat="1" ht="42" customHeight="1" hidden="1">
      <c r="A2109" s="976"/>
      <c r="B2109" s="980" t="s">
        <v>898</v>
      </c>
      <c r="C2109" s="745">
        <v>2212680</v>
      </c>
      <c r="D2109" s="746">
        <f>G2109+J2109+M2109+P2109</f>
        <v>2330220</v>
      </c>
      <c r="E2109" s="746">
        <f>H2109+K2109+N2109+Q2109</f>
        <v>610084</v>
      </c>
      <c r="F2109" s="630">
        <f t="shared" si="255"/>
        <v>26.181390598312603</v>
      </c>
      <c r="G2109" s="978">
        <f>G188</f>
        <v>0</v>
      </c>
      <c r="H2109" s="746">
        <f>H188</f>
        <v>0</v>
      </c>
      <c r="I2109" s="627"/>
      <c r="J2109" s="978"/>
      <c r="K2109" s="746"/>
      <c r="L2109" s="979"/>
      <c r="M2109" s="745">
        <f>M283+M1151+M1292+M1993+M1513+M1586+M1587+M1532</f>
        <v>2330220</v>
      </c>
      <c r="N2109" s="746">
        <f>N283+N1151+N1292+N1993+N1513+N1586+N1587+N1532</f>
        <v>610084</v>
      </c>
      <c r="O2109" s="585">
        <f>N2109/M2109*100</f>
        <v>26.181390598312603</v>
      </c>
      <c r="P2109" s="748"/>
      <c r="Q2109" s="746"/>
      <c r="R2109" s="585"/>
      <c r="S2109" s="700"/>
      <c r="T2109" s="700"/>
      <c r="U2109" s="700"/>
      <c r="V2109" s="700"/>
      <c r="W2109" s="701"/>
      <c r="X2109" s="701"/>
      <c r="Y2109" s="701"/>
      <c r="Z2109" s="701"/>
    </row>
    <row r="2110" spans="1:26" s="917" customFormat="1" ht="12.75">
      <c r="A2110" s="970"/>
      <c r="B2110" s="981" t="s">
        <v>899</v>
      </c>
      <c r="C2110" s="754">
        <v>28521077</v>
      </c>
      <c r="D2110" s="755">
        <f>G2110+J2110+M2110+P2110</f>
        <v>28525733</v>
      </c>
      <c r="E2110" s="755">
        <f>H2110+K2110+N2110+Q2110</f>
        <v>7367469</v>
      </c>
      <c r="F2110" s="630">
        <f t="shared" si="255"/>
        <v>25.82744850062223</v>
      </c>
      <c r="G2110" s="935"/>
      <c r="H2110" s="755"/>
      <c r="I2110" s="982"/>
      <c r="J2110" s="935">
        <f>J2106-J2111</f>
        <v>19711342</v>
      </c>
      <c r="K2110" s="755">
        <f>K2106-K2111</f>
        <v>5001650</v>
      </c>
      <c r="L2110" s="972">
        <f>K2110/J2110*100</f>
        <v>25.37447729332686</v>
      </c>
      <c r="M2110" s="935"/>
      <c r="N2110" s="755"/>
      <c r="O2110" s="912"/>
      <c r="P2110" s="756">
        <f>P2106-P2111</f>
        <v>8814391</v>
      </c>
      <c r="Q2110" s="755">
        <f>Q2106-Q2111</f>
        <v>2365819</v>
      </c>
      <c r="R2110" s="665">
        <f>Q2110/P2110*100</f>
        <v>26.840413591818198</v>
      </c>
      <c r="S2110" s="915"/>
      <c r="T2110" s="915"/>
      <c r="U2110" s="915"/>
      <c r="V2110" s="915"/>
      <c r="W2110" s="916"/>
      <c r="X2110" s="916"/>
      <c r="Y2110" s="916"/>
      <c r="Z2110" s="916"/>
    </row>
    <row r="2111" spans="1:26" s="975" customFormat="1" ht="56.25" customHeight="1" thickBot="1">
      <c r="A2111" s="983"/>
      <c r="B2111" s="984" t="s">
        <v>580</v>
      </c>
      <c r="C2111" s="985">
        <v>22100</v>
      </c>
      <c r="D2111" s="986">
        <f>J2111+P2111</f>
        <v>22100</v>
      </c>
      <c r="E2111" s="986">
        <f>K2111+Q2111</f>
        <v>0</v>
      </c>
      <c r="F2111" s="837">
        <f t="shared" si="255"/>
        <v>0</v>
      </c>
      <c r="G2111" s="985"/>
      <c r="H2111" s="986"/>
      <c r="I2111" s="987"/>
      <c r="J2111" s="985">
        <f>J265+J969+J1952+J1388+J956+J1491+J1497+J955+J960</f>
        <v>16600</v>
      </c>
      <c r="K2111" s="988">
        <f>K265+K969+K1952+K1388+K956+K1491+K1497+K955+K960</f>
        <v>0</v>
      </c>
      <c r="L2111" s="989">
        <f>K2111/J2111*100</f>
        <v>0</v>
      </c>
      <c r="M2111" s="985"/>
      <c r="N2111" s="990"/>
      <c r="O2111" s="991"/>
      <c r="P2111" s="985">
        <f>P391+P387+P1424+P2022+P1497+P570+P1944</f>
        <v>5500</v>
      </c>
      <c r="Q2111" s="986">
        <f>Q391+Q387+Q1424+Q2022+Q1497+Q570+Q1944</f>
        <v>0</v>
      </c>
      <c r="R2111" s="992">
        <f>Q2111/P2111*100</f>
        <v>0</v>
      </c>
      <c r="S2111" s="973"/>
      <c r="T2111" s="973"/>
      <c r="U2111" s="973"/>
      <c r="V2111" s="973"/>
      <c r="W2111" s="974"/>
      <c r="X2111" s="974"/>
      <c r="Y2111" s="974"/>
      <c r="Z2111" s="974"/>
    </row>
    <row r="2112" spans="1:26" s="975" customFormat="1" ht="15" customHeight="1" thickTop="1">
      <c r="A2112" s="1" t="s">
        <v>1059</v>
      </c>
      <c r="B2112" s="971"/>
      <c r="C2112" s="934"/>
      <c r="D2112" s="993"/>
      <c r="E2112" s="934"/>
      <c r="F2112" s="864"/>
      <c r="G2112" s="934"/>
      <c r="H2112" s="934"/>
      <c r="I2112" s="979"/>
      <c r="J2112" s="993"/>
      <c r="K2112" s="934"/>
      <c r="L2112" s="979"/>
      <c r="M2112" s="934"/>
      <c r="N2112" s="994"/>
      <c r="O2112" s="972"/>
      <c r="P2112" s="934"/>
      <c r="Q2112" s="934"/>
      <c r="R2112" s="972"/>
      <c r="S2112" s="973"/>
      <c r="T2112" s="973"/>
      <c r="U2112" s="973"/>
      <c r="V2112" s="973"/>
      <c r="W2112" s="974"/>
      <c r="X2112" s="974"/>
      <c r="Y2112" s="974"/>
      <c r="Z2112" s="974"/>
    </row>
    <row r="2113" spans="1:14" ht="12.75">
      <c r="A2113" s="1" t="s">
        <v>581</v>
      </c>
      <c r="M2113" s="487"/>
      <c r="N2113" s="487"/>
    </row>
    <row r="2114" ht="12.75">
      <c r="A2114" s="1" t="s">
        <v>407</v>
      </c>
    </row>
  </sheetData>
  <printOptions horizontalCentered="1"/>
  <pageMargins left="0.2" right="0.2" top="0.51" bottom="0.19" header="0.28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31">
      <selection activeCell="A45" sqref="A45"/>
    </sheetView>
  </sheetViews>
  <sheetFormatPr defaultColWidth="9.00390625" defaultRowHeight="12.75"/>
  <cols>
    <col min="1" max="1" width="38.25390625" style="1025" customWidth="1"/>
    <col min="2" max="3" width="19.75390625" style="996" customWidth="1"/>
    <col min="4" max="16384" width="9.125" style="472" customWidth="1"/>
  </cols>
  <sheetData>
    <row r="1" ht="15.75">
      <c r="A1" s="995" t="s">
        <v>125</v>
      </c>
    </row>
    <row r="2" ht="15">
      <c r="A2" s="997" t="s">
        <v>39</v>
      </c>
    </row>
    <row r="3" ht="13.5" thickBot="1">
      <c r="A3" s="472"/>
    </row>
    <row r="4" spans="1:3" s="1001" customFormat="1" ht="27.75" customHeight="1">
      <c r="A4" s="998" t="s">
        <v>160</v>
      </c>
      <c r="B4" s="999" t="s">
        <v>165</v>
      </c>
      <c r="C4" s="1000" t="s">
        <v>163</v>
      </c>
    </row>
    <row r="5" spans="1:3" s="1005" customFormat="1" ht="10.5" customHeight="1" thickBot="1">
      <c r="A5" s="1002">
        <v>1</v>
      </c>
      <c r="B5" s="1003">
        <v>2</v>
      </c>
      <c r="C5" s="1004">
        <v>3</v>
      </c>
    </row>
    <row r="6" spans="1:3" s="995" customFormat="1" ht="21" customHeight="1">
      <c r="A6" s="1006" t="s">
        <v>126</v>
      </c>
      <c r="B6" s="1007">
        <f>SUM(B7:B8)</f>
        <v>376653478</v>
      </c>
      <c r="C6" s="1008">
        <f>SUM(C7:C8)</f>
        <v>99054624.10000001</v>
      </c>
    </row>
    <row r="7" spans="1:3" s="995" customFormat="1" ht="16.5" customHeight="1">
      <c r="A7" s="1009" t="s">
        <v>40</v>
      </c>
      <c r="B7" s="1026">
        <v>317633069</v>
      </c>
      <c r="C7" s="1027">
        <v>95999812.73</v>
      </c>
    </row>
    <row r="8" spans="1:3" s="995" customFormat="1" ht="16.5" customHeight="1">
      <c r="A8" s="1009" t="s">
        <v>41</v>
      </c>
      <c r="B8" s="1026">
        <v>59020409</v>
      </c>
      <c r="C8" s="1027">
        <v>3054811.37</v>
      </c>
    </row>
    <row r="9" spans="1:3" s="995" customFormat="1" ht="21" customHeight="1">
      <c r="A9" s="1010" t="s">
        <v>127</v>
      </c>
      <c r="B9" s="1011">
        <f>SUM(B10:B11)</f>
        <v>443274968</v>
      </c>
      <c r="C9" s="1012">
        <f>SUM(C10:C11)</f>
        <v>92864275.82000001</v>
      </c>
    </row>
    <row r="10" spans="1:3" ht="15" customHeight="1">
      <c r="A10" s="1009" t="s">
        <v>128</v>
      </c>
      <c r="B10" s="1013">
        <v>320329551</v>
      </c>
      <c r="C10" s="1014">
        <v>84820698.2</v>
      </c>
    </row>
    <row r="11" spans="1:3" ht="15" customHeight="1">
      <c r="A11" s="1009" t="s">
        <v>129</v>
      </c>
      <c r="B11" s="1013">
        <v>122945417</v>
      </c>
      <c r="C11" s="1014">
        <v>8043577.62</v>
      </c>
    </row>
    <row r="12" spans="1:3" s="995" customFormat="1" ht="21" customHeight="1">
      <c r="A12" s="1010" t="s">
        <v>130</v>
      </c>
      <c r="B12" s="1011">
        <f>B6-B9</f>
        <v>-66621490</v>
      </c>
      <c r="C12" s="1012">
        <f>C6-C9</f>
        <v>6190348.280000001</v>
      </c>
    </row>
    <row r="13" spans="1:3" s="995" customFormat="1" ht="21" customHeight="1">
      <c r="A13" s="1010" t="s">
        <v>131</v>
      </c>
      <c r="B13" s="1011">
        <f>B14-B27</f>
        <v>66621490</v>
      </c>
      <c r="C13" s="1012">
        <f>C14-C27</f>
        <v>17080129.55</v>
      </c>
    </row>
    <row r="14" spans="1:3" s="1018" customFormat="1" ht="15" customHeight="1">
      <c r="A14" s="1015" t="s">
        <v>132</v>
      </c>
      <c r="B14" s="1016">
        <f>B15+B17+B18+B20+B22+B24+B25</f>
        <v>78792190</v>
      </c>
      <c r="C14" s="1017">
        <f>C15+C25</f>
        <v>20085096.52</v>
      </c>
    </row>
    <row r="15" spans="1:3" ht="15" customHeight="1">
      <c r="A15" s="1009" t="s">
        <v>133</v>
      </c>
      <c r="B15" s="1013">
        <v>60000000</v>
      </c>
      <c r="C15" s="1019">
        <v>0</v>
      </c>
    </row>
    <row r="16" spans="1:3" ht="51">
      <c r="A16" s="1020" t="s">
        <v>134</v>
      </c>
      <c r="B16" s="1021">
        <v>0</v>
      </c>
      <c r="C16" s="1019">
        <v>0</v>
      </c>
    </row>
    <row r="17" spans="1:3" ht="15" customHeight="1">
      <c r="A17" s="1020" t="s">
        <v>135</v>
      </c>
      <c r="B17" s="1021">
        <v>0</v>
      </c>
      <c r="C17" s="1019">
        <v>0</v>
      </c>
    </row>
    <row r="18" spans="1:3" ht="15" customHeight="1">
      <c r="A18" s="1020" t="s">
        <v>136</v>
      </c>
      <c r="B18" s="1021">
        <v>0</v>
      </c>
      <c r="C18" s="1019">
        <v>0</v>
      </c>
    </row>
    <row r="19" spans="1:3" ht="15" customHeight="1">
      <c r="A19" s="1009" t="s">
        <v>137</v>
      </c>
      <c r="B19" s="1021">
        <v>0</v>
      </c>
      <c r="C19" s="1019">
        <v>0</v>
      </c>
    </row>
    <row r="20" spans="1:3" ht="15" customHeight="1">
      <c r="A20" s="1009" t="s">
        <v>138</v>
      </c>
      <c r="B20" s="1021">
        <v>0</v>
      </c>
      <c r="C20" s="1019">
        <v>0</v>
      </c>
    </row>
    <row r="21" spans="1:3" ht="51">
      <c r="A21" s="1020" t="s">
        <v>139</v>
      </c>
      <c r="B21" s="1021">
        <v>0</v>
      </c>
      <c r="C21" s="1019">
        <v>0</v>
      </c>
    </row>
    <row r="22" spans="1:3" ht="25.5">
      <c r="A22" s="1009" t="s">
        <v>140</v>
      </c>
      <c r="B22" s="1021">
        <v>0</v>
      </c>
      <c r="C22" s="1019">
        <v>0</v>
      </c>
    </row>
    <row r="23" spans="1:3" ht="51">
      <c r="A23" s="1020" t="s">
        <v>141</v>
      </c>
      <c r="B23" s="1021">
        <v>0</v>
      </c>
      <c r="C23" s="1019">
        <v>0</v>
      </c>
    </row>
    <row r="24" spans="1:3" ht="15" customHeight="1">
      <c r="A24" s="1009" t="s">
        <v>142</v>
      </c>
      <c r="B24" s="1021">
        <v>0</v>
      </c>
      <c r="C24" s="1019">
        <v>0</v>
      </c>
    </row>
    <row r="25" spans="1:3" ht="15" customHeight="1">
      <c r="A25" s="1009" t="s">
        <v>143</v>
      </c>
      <c r="B25" s="1013">
        <v>18792190</v>
      </c>
      <c r="C25" s="1014">
        <v>20085096.52</v>
      </c>
    </row>
    <row r="26" spans="1:3" ht="15" customHeight="1">
      <c r="A26" s="1009" t="s">
        <v>144</v>
      </c>
      <c r="B26" s="1013">
        <v>18792190</v>
      </c>
      <c r="C26" s="1014"/>
    </row>
    <row r="27" spans="1:3" s="1018" customFormat="1" ht="15" customHeight="1">
      <c r="A27" s="1015" t="s">
        <v>145</v>
      </c>
      <c r="B27" s="1016">
        <f>B28</f>
        <v>12170700</v>
      </c>
      <c r="C27" s="1017">
        <f>C28+C35</f>
        <v>3004966.97</v>
      </c>
    </row>
    <row r="28" spans="1:3" ht="15" customHeight="1">
      <c r="A28" s="1009" t="s">
        <v>146</v>
      </c>
      <c r="B28" s="1013">
        <v>12170700</v>
      </c>
      <c r="C28" s="1014">
        <v>3004966.97</v>
      </c>
    </row>
    <row r="29" spans="1:3" ht="51">
      <c r="A29" s="1020" t="s">
        <v>147</v>
      </c>
      <c r="B29" s="1021">
        <v>0</v>
      </c>
      <c r="C29" s="1019">
        <v>0</v>
      </c>
    </row>
    <row r="30" spans="1:3" ht="15" customHeight="1">
      <c r="A30" s="1009" t="s">
        <v>148</v>
      </c>
      <c r="B30" s="1021">
        <v>0</v>
      </c>
      <c r="C30" s="1019">
        <v>0</v>
      </c>
    </row>
    <row r="31" spans="1:3" ht="15" customHeight="1">
      <c r="A31" s="1009" t="s">
        <v>149</v>
      </c>
      <c r="B31" s="1021">
        <v>0</v>
      </c>
      <c r="C31" s="1019">
        <v>0</v>
      </c>
    </row>
    <row r="32" spans="1:3" ht="51">
      <c r="A32" s="1020" t="s">
        <v>150</v>
      </c>
      <c r="B32" s="1021">
        <v>0</v>
      </c>
      <c r="C32" s="1019">
        <v>0</v>
      </c>
    </row>
    <row r="33" spans="1:3" ht="15" customHeight="1">
      <c r="A33" s="1009" t="s">
        <v>151</v>
      </c>
      <c r="B33" s="1021">
        <v>0</v>
      </c>
      <c r="C33" s="1019">
        <v>0</v>
      </c>
    </row>
    <row r="34" spans="1:3" ht="51">
      <c r="A34" s="1020" t="s">
        <v>152</v>
      </c>
      <c r="B34" s="1021">
        <v>0</v>
      </c>
      <c r="C34" s="1019">
        <v>0</v>
      </c>
    </row>
    <row r="35" spans="1:3" ht="15" customHeight="1" thickBot="1">
      <c r="A35" s="1022" t="s">
        <v>153</v>
      </c>
      <c r="B35" s="1023">
        <v>0</v>
      </c>
      <c r="C35" s="1024">
        <v>0</v>
      </c>
    </row>
    <row r="36" ht="12.75">
      <c r="A36" s="8" t="s">
        <v>253</v>
      </c>
    </row>
    <row r="37" ht="12.75">
      <c r="A37" s="8" t="s">
        <v>254</v>
      </c>
    </row>
    <row r="38" ht="12.75">
      <c r="A38" s="8" t="s">
        <v>407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Mioduszewska</dc:creator>
  <cp:keywords/>
  <dc:description/>
  <cp:lastModifiedBy>sulewska</cp:lastModifiedBy>
  <cp:lastPrinted>2009-04-28T13:31:07Z</cp:lastPrinted>
  <dcterms:created xsi:type="dcterms:W3CDTF">2008-05-09T10:25:18Z</dcterms:created>
  <dcterms:modified xsi:type="dcterms:W3CDTF">2010-04-28T13:03:20Z</dcterms:modified>
  <cp:category/>
  <cp:version/>
  <cp:contentType/>
  <cp:contentStatus/>
</cp:coreProperties>
</file>