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4" activeTab="2"/>
  </bookViews>
  <sheets>
    <sheet name="WPF strona 1" sheetId="1" r:id="rId1"/>
    <sheet name="WPF strona 2" sheetId="2" r:id="rId2"/>
    <sheet name="Zal 3 Wykaz przedsięwzięć" sheetId="3" r:id="rId3"/>
  </sheets>
  <definedNames>
    <definedName name="_xlnm.Print_Titles" localSheetId="0">'WPF strona 1'!$A:$B</definedName>
    <definedName name="_xlnm.Print_Titles" localSheetId="2">'Zal 3 Wykaz przedsięwzięć'!$8:$10</definedName>
  </definedNames>
  <calcPr fullCalcOnLoad="1"/>
</workbook>
</file>

<file path=xl/comments3.xml><?xml version="1.0" encoding="utf-8"?>
<comments xmlns="http://schemas.openxmlformats.org/spreadsheetml/2006/main">
  <authors>
    <author>szpak</author>
  </authors>
  <commentList>
    <comment ref="B151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Regionalny Fundusz Filmowy i
Festiwal Pieśni Religijnych</t>
        </r>
      </text>
    </comment>
  </commentList>
</comments>
</file>

<file path=xl/sharedStrings.xml><?xml version="1.0" encoding="utf-8"?>
<sst xmlns="http://schemas.openxmlformats.org/spreadsheetml/2006/main" count="454" uniqueCount="330">
  <si>
    <t>Lp.</t>
  </si>
  <si>
    <t>Wyszczególnienie</t>
  </si>
  <si>
    <t>Plan na  30.09.2010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</si>
  <si>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</si>
  <si>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</si>
  <si>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</si>
  <si>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</si>
  <si>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</si>
  <si>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</si>
  <si>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</si>
  <si>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</si>
  <si>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</si>
  <si>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</si>
  <si>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</si>
  <si>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</si>
  <si>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</si>
  <si>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</si>
  <si>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</si>
  <si>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</si>
  <si>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</si>
  <si>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</si>
  <si>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</si>
  <si>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</si>
  <si>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</si>
  <si>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</si>
  <si>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Wydatki majątkowe, w tym:</t>
  </si>
  <si>
    <t>Przychody ( kredyty, pożyczki, emisje obligacji)</t>
  </si>
  <si>
    <t>Wynik finansowy budżetu (9-10+11)</t>
  </si>
  <si>
    <t>LP.</t>
  </si>
  <si>
    <t>plan na 30.09.2010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</si>
  <si>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</si>
  <si>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</si>
  <si>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</si>
  <si>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</si>
  <si>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</si>
  <si>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Planowana łączna kwota spłaty zobowiązań</t>
  </si>
  <si>
    <t>Planowana łączna kwota spłaty zobowiązań /dochody ogółem - max. 15% z art. 169 sufp</t>
  </si>
  <si>
    <t>Zadłużenie/dochody ogółem - max. 60% z art 170 sufp</t>
  </si>
  <si>
    <t xml:space="preserve">Wydatki bieżące razem </t>
  </si>
  <si>
    <t>Wydatki ogółem</t>
  </si>
  <si>
    <t>Wynik budżetu ( dochody ogółem - wydatki ogółem)</t>
  </si>
  <si>
    <t>Przychody budżetu</t>
  </si>
  <si>
    <t>Rozchody budżetu</t>
  </si>
  <si>
    <t>Wskaźnik pokrycia wydatków bieżących art. 242 UFP</t>
  </si>
  <si>
    <t>Nazwa i cel</t>
  </si>
  <si>
    <t>Jednostka odpowiedzialna lub koordynująca</t>
  </si>
  <si>
    <t>Łączne nakłady finansowe</t>
  </si>
  <si>
    <t>Limit zobowiązań</t>
  </si>
  <si>
    <t>od</t>
  </si>
  <si>
    <t>do</t>
  </si>
  <si>
    <t>- wydatki bieżące</t>
  </si>
  <si>
    <t>- wydatki majątkowe</t>
  </si>
  <si>
    <t>I.</t>
  </si>
  <si>
    <t>1.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</si>
  <si>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</si>
  <si>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</si>
  <si>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</si>
  <si>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</si>
  <si>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</si>
  <si>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</si>
  <si>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</si>
  <si>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</si>
  <si>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</si>
  <si>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Programy, projekty lub zadania pozostałe (razem)</t>
  </si>
  <si>
    <t>2.1</t>
  </si>
  <si>
    <t>2.2</t>
  </si>
  <si>
    <t>2.2.1</t>
  </si>
  <si>
    <t>2.3</t>
  </si>
  <si>
    <t>2.3.1</t>
  </si>
  <si>
    <t>2.3.2</t>
  </si>
  <si>
    <t>2.4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</si>
  <si>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</si>
  <si>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</si>
  <si>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>WYNIK KONTROLNY BUDŻETU (DOCHODY-WYDATKI-ROZCHODY+PRZYCHODY = 0 )</t>
  </si>
  <si>
    <t>DOCHODY OPERACYJNE</t>
  </si>
  <si>
    <t>WYDATKI OPERACYJNE</t>
  </si>
  <si>
    <t>NADWYŻKA OPERACYJNA</t>
  </si>
  <si>
    <t>MARŻA OPERACYJNA</t>
  </si>
  <si>
    <t>INFORMACJE  UZUPEŁNIAJĄCE</t>
  </si>
  <si>
    <t xml:space="preserve"> - wydatki bieżące</t>
  </si>
  <si>
    <t>WIELOLETNIA  PROGNOZA  FINANSOWA  MIASTA KOSZALIN  NA LATA  2011 - 2026</t>
  </si>
  <si>
    <t>PROGNOZA  DŁUGU  MIASTA  KOSZALIN  NA  LATA  2011 - 2026</t>
  </si>
  <si>
    <t>LATA:</t>
  </si>
  <si>
    <t xml:space="preserve">Maksymalny dopuszczalny wskaźnik spłaty z art. 243 ufp    </t>
  </si>
  <si>
    <r>
      <t xml:space="preserve">Spełnienie wskaźnika spłaty z art. 243 ufp po uwzględnieniu art. 244 ufp      </t>
    </r>
    <r>
      <rPr>
        <b/>
        <sz val="16"/>
        <rFont val="Calibri"/>
        <family val="2"/>
      </rPr>
      <t xml:space="preserve">  </t>
    </r>
  </si>
  <si>
    <t>wydatki majątkowe objęte limitem                                   art. 226 ust 4 ufp</t>
  </si>
  <si>
    <t>Załącznik Nr 1 do Uchwały</t>
  </si>
  <si>
    <t>Nr              /             / 2011</t>
  </si>
  <si>
    <t>Rady Miejskiej w Koszalinie</t>
  </si>
  <si>
    <t>z dnia  .. stycznia 2011 r.</t>
  </si>
  <si>
    <t>z złotych</t>
  </si>
  <si>
    <t>Środki do dyspozycji na wydatki majątkowe                      (6-7-8)</t>
  </si>
  <si>
    <t>Inne przychody nie związane z zaciągnięciem długu (spłata udzielonych pożyczek)</t>
  </si>
  <si>
    <t>Inne rozchody (bez spłaty  długu np. udzielane pożyczki)</t>
  </si>
  <si>
    <t>Wydatki bieżące (bez odsetek i prowizji od kredytów i pożyczek oraz wyemitowanych papierów wartościowych) w tym:</t>
  </si>
  <si>
    <t>Załącznik nr 3 do Uchwały</t>
  </si>
  <si>
    <t>Nr             /          /2011</t>
  </si>
  <si>
    <t>z dnia         stycznia 2011</t>
  </si>
  <si>
    <t>WYKAZ PRZEDSIĘWZIĘĆ MIASTA KOSZALIN  NA LATA 2011 - 2014</t>
  </si>
  <si>
    <t>w złotych</t>
  </si>
  <si>
    <t xml:space="preserve">okres realizacji </t>
  </si>
  <si>
    <t xml:space="preserve">limity wydatków w poszczególnych latach </t>
  </si>
  <si>
    <t xml:space="preserve">PRZEDSIĘWZIĘCIA  OGÓŁEM (I+II) : </t>
  </si>
  <si>
    <t>Programy projekty lub zadania (1+2)</t>
  </si>
  <si>
    <t>Programy, projekty lub zadania związane z programami realizowanymi z udziałem środków, o których mowa w art. 5 ust. 1 pkt. 2 i 3 (razem)</t>
  </si>
  <si>
    <t>Program "Uczenie się przez całe życie" Commenius</t>
  </si>
  <si>
    <t>Projekt realizowany przez G2 pn: "Przemoc środowiskowa - mediatorzy w szkole bez przemocy" mający na celu przekazanie uczniom wiedzy na temat psychologicznych aspektów agresji oraz technik radzenia sobie z przemocą. Partnerem projektu są szkoły z Niemiec</t>
  </si>
  <si>
    <t>Gimnazjum nr 2</t>
  </si>
  <si>
    <t>Projekt realizowany przez G9 pn: "Europe cultural cristol" mający na celu poznanie ciekawostek kulturalnych w krajach partnerskich (Hiszpania i Finlandia) oraz etapów tworzenia spektaklu teatralnego.</t>
  </si>
  <si>
    <t>Gimnazjum nr 9</t>
  </si>
  <si>
    <t>1.1.3</t>
  </si>
  <si>
    <t xml:space="preserve">Projekt realizowany przez ZS2 pn: "Żyjmy w zgodzie z naturą - od paliw do wodoru" - mający na celu promowanie ekologicznych zachowań w życiu codziennym. Partnerami w projekcie są szkoły z Hiszpanii, Niemiec, Wielkiej Brytanii, Szwecji i Francji. </t>
  </si>
  <si>
    <t>Zespół Szkół nr 2</t>
  </si>
  <si>
    <t>1.1.4</t>
  </si>
  <si>
    <t>Projekt realizowany przez ZS2 pn: "Młodzi profesjonaliści badają przyszłość swego miasta" - mający na celu promowanie badań naukowych i twórczego podejścia do dziedzin nauki zgodnie z realizowanymi przedmiotami. Partnerami projektu są szkoły z Niemiec, Hiszpanii.</t>
  </si>
  <si>
    <t>1.1.5</t>
  </si>
  <si>
    <t>Projekt realizowany przez ZS7 pn: "Szkoła Skautów - School of Scouts" - mający na celu nabywanie i rozwijanie umiejętności charakterystycznych dla skautów. Partnerami projektu są szkoły z Turcji i Węgier.</t>
  </si>
  <si>
    <t>Zespół Szkół nr 7</t>
  </si>
  <si>
    <t>1.1.6</t>
  </si>
  <si>
    <t xml:space="preserve">Projekt realizowany przez Szkołę Podstawową Integracyjną nr 21 pn: "Europa śpiewa" - celem projektu jest poprawa jakości w procesie nauczania i uczenia się. Celem jest również stworzenie powszechnej europejskiej metody jak uczyć muzyki. </t>
  </si>
  <si>
    <t>Szkoła Podstawowa nr 21</t>
  </si>
  <si>
    <t>1.1.7</t>
  </si>
  <si>
    <t>Projekt realizowany przez Szkołę Podstawową Integracyjną nr 21 pn: "Identyczne cele, różne sposoby, identyczne serca, różne uczucia" - celem projektu jest porównanie i wykorzystanie pozytywnych aspektów systemów edukacyjnych krajów uczestniczących w projekcie.</t>
  </si>
  <si>
    <t>Program  "Uczenie się przez całe życie" Leonardo da Vinci</t>
  </si>
  <si>
    <t>Projekt realizowany przez ZS7 pn: "Poznajemy nowe technologie budowlane i korzystamy z doświadczeń Unii Europejskiej" - mający na celu poznawanie nowych technologii budowlanych oraz uczestniczenie w kursach praktycznej nauki zawodu.</t>
  </si>
  <si>
    <t>Projekt realizowany przez ZS10 pn. "Poznanie systemu edukacji zawodowej w UE szansą podniesienia jakości szkoły" - mający na celu poznawanie systemów kształcenia zawodowego w UE w zakresie kształcenia techników i mechaników dla branży motoryzacyjnej.</t>
  </si>
  <si>
    <t>Zespół Szkół nr 10</t>
  </si>
  <si>
    <t xml:space="preserve">Program Operacyjny Kapitał Ludzki </t>
  </si>
  <si>
    <t>Projekt realizowany przez G2 pn: "Program poprawy osiągnięć edukacyjnych uczniów Gimnazjum Nr 2 im. Janusz Korczaka w Koszalinie" -celem projektu jest poprawa wyników nauczania, zwiększenie motywacji uczniów do podnoszenia poziomu wykształcenia oraz wyrównawcze.</t>
  </si>
  <si>
    <t>Gimnazjum nr 2, Urząd Miejski</t>
  </si>
  <si>
    <t>Koszaliński Program Integracji Społecznej "Start"</t>
  </si>
  <si>
    <t>Miejski Ośrodek Pomocy Społecznej</t>
  </si>
  <si>
    <t>1.3.3</t>
  </si>
  <si>
    <t>Wektor Zmian - Koszaliński Program Wychodzenia z Bezdomności</t>
  </si>
  <si>
    <t>1.3.4</t>
  </si>
  <si>
    <t>Modernizacja zarządzania w Urzędzie Miejskim w Koszalinie</t>
  </si>
  <si>
    <t>Urząd Miejski</t>
  </si>
  <si>
    <t>1.4</t>
  </si>
  <si>
    <t>Program Operacyjny Innowacyjna Gospodarka</t>
  </si>
  <si>
    <t>1.4.1</t>
  </si>
  <si>
    <t>Przeciwdziałanie wykluczeniu cyfrowemu uczniów koszalińskich szkół</t>
  </si>
  <si>
    <t>w tym majątkowe</t>
  </si>
  <si>
    <t>1.4.2</t>
  </si>
  <si>
    <t>Przeciwdziałanie wykluczeniu cyfrowemu mieszkańców Koszalina</t>
  </si>
  <si>
    <t>1.5</t>
  </si>
  <si>
    <t>Program Interreg IV A Europejska Współpraca Terytorialna - współpraca transgraniczna krajów Meklemburgia - Pomorze Przednie/Brandenburgia i Rzeczpospolita Polska (województwo Zachodniopomorskie) 2007-2013</t>
  </si>
  <si>
    <t>1.5.1</t>
  </si>
  <si>
    <t>Festiwal Młodzieży Euroregionu Pomerania 2011-2013</t>
  </si>
  <si>
    <t>1.5.2</t>
  </si>
  <si>
    <t>Prezentacje gospodarcze na obszarze Euroregionu Pomerania Schwedt n. Odrą - Koszalin 2009-2011</t>
  </si>
  <si>
    <t>1.5.3</t>
  </si>
  <si>
    <r>
      <t>Biblioteki Multimedialne mostem na pograniczu -</t>
    </r>
    <r>
      <rPr>
        <b/>
        <sz val="11"/>
        <rFont val="Calibri"/>
        <family val="2"/>
      </rPr>
      <t xml:space="preserve"> MultiCentrum w Koszalińskiej Bibliotece Publicznej </t>
    </r>
    <r>
      <rPr>
        <sz val="11"/>
        <rFont val="Calibri"/>
        <family val="2"/>
      </rPr>
      <t xml:space="preserve">i Regionalnej Bibliotece w Neubrandenburgu </t>
    </r>
  </si>
  <si>
    <t>Urząd Miejski, Koszalińska Biblioteka Publiczna</t>
  </si>
  <si>
    <t>1.5.4</t>
  </si>
  <si>
    <t>Pogłębianie niemiecko - polskiej współpracy młodzieży w Strasburgu i Koszalinie poprzez dalszą rozbudowę infrastruktury</t>
  </si>
  <si>
    <t>1.6</t>
  </si>
  <si>
    <t>Program Operacyjny Współpracy Transgranicznej Południowy Bałtyk 2007-2013</t>
  </si>
  <si>
    <t>1.6.1</t>
  </si>
  <si>
    <t xml:space="preserve">Catching the Future... (Zdobywanie przyszłości - Wymiana biznesowa i rozwojowa w Regionie Południowego Bałtyku) </t>
  </si>
  <si>
    <t>1.6.2</t>
  </si>
  <si>
    <t>Uczestnictwo gospodarstw domowych w zarządzaniu odpadami</t>
  </si>
  <si>
    <t>1.7</t>
  </si>
  <si>
    <t>6 Ramowy Program Unii Europejskiej</t>
  </si>
  <si>
    <t>Concerto ACT2 - Działania Miast w celu wdrożenia Energetycznie Efektywnego Budownictwa i Systemów Energii Odnawialnej w Europie</t>
  </si>
  <si>
    <t>1.8</t>
  </si>
  <si>
    <t xml:space="preserve">Program: Budowa i przebudowa dróg stanowiących zewnętrzny pierścień układu komunikacyjnego </t>
  </si>
  <si>
    <t>1.8.1</t>
  </si>
  <si>
    <t xml:space="preserve">Budowa i przebudowa dróg stanowiących zewnętrzny pierścień układu komunikacyjnego miasta Koszalina - I etap odcinek od ul. Gnieźnieńskiej do ul. Bowid </t>
  </si>
  <si>
    <t>Zarząd Dróg Miejskich</t>
  </si>
  <si>
    <t>1.8.2</t>
  </si>
  <si>
    <t>Uzbrojenie Strefy Zorganizowanej Działalności Inwestycyjno - Przemysłowej - odcinek od ul. BOWiD do ulicy Władysława IV</t>
  </si>
  <si>
    <t>1.9</t>
  </si>
  <si>
    <t>Program: Parki Miejskie</t>
  </si>
  <si>
    <t>Rewitalizacja Parku  Książąt Pomorskich "A" w Koszalinie</t>
  </si>
  <si>
    <t>1.10</t>
  </si>
  <si>
    <t>Program: Uzbrojenie terenów inwestycyjnych w Mieście</t>
  </si>
  <si>
    <t>Uzbrojenie Strefy Zorganizowanej Działalności Inwestycyjno - Przemysłowej w Koszalinie - Uzbrojenie terenu Słupskiej Strefy Ekonomicznej - Podstrefa Koszalin</t>
  </si>
  <si>
    <t>1.11</t>
  </si>
  <si>
    <t>Program: Porządkowanie gospodarki wodno - ściekowej w Mieście</t>
  </si>
  <si>
    <t>Uporządkowanie gospodarki wodno-ściekowej w m. Koszalin I etap</t>
  </si>
  <si>
    <t>Urząd Miejski, Miejskie Wodociągi i Kanalizacja</t>
  </si>
  <si>
    <t>1.12</t>
  </si>
  <si>
    <t>Program: Termomodernizacja budynków oświatowych w Gminie - Miasto Koszalin</t>
  </si>
  <si>
    <t>Termomodernizacja budynków oświatowych w Gminie - Miasto Koszalin</t>
  </si>
  <si>
    <t>1.13</t>
  </si>
  <si>
    <t>Program: Modernizacja obiektów kultury w Mieście</t>
  </si>
  <si>
    <t>1.13.1</t>
  </si>
  <si>
    <t>Filharmonia Koszalińska</t>
  </si>
  <si>
    <t>1.13.2</t>
  </si>
  <si>
    <t>Modernizacja Bałtyckiego Teatru Dramatycznego - etap II</t>
  </si>
  <si>
    <t>1.14</t>
  </si>
  <si>
    <t>Program: Portal edukacyjny województwa zachodniopomorskiego</t>
  </si>
  <si>
    <t>Portal edukacyjny województwa zachodniopomorskiego</t>
  </si>
  <si>
    <t>w tym bieżące</t>
  </si>
  <si>
    <t>1.15</t>
  </si>
  <si>
    <t>Program: Bezpieczny i Inteligentny Koszalin</t>
  </si>
  <si>
    <t>1.15.1</t>
  </si>
  <si>
    <t xml:space="preserve">Inteligentny Koszalin - rozbudowa infrastruktury społeczeństwa informacyjnego e-Koszalin - budowa sieci teleinformatycznej i systemu monitoringu wizyjnego </t>
  </si>
  <si>
    <t>1.15.2</t>
  </si>
  <si>
    <t xml:space="preserve">Budowa Inteligentnego Systemu Transportowego w Koszalinie </t>
  </si>
  <si>
    <t>1.16</t>
  </si>
  <si>
    <t>Program: System gospodarki odpadami oraz budowa zakładu termicznego przekształcania odpadów dla miast i gmin Pomorza Środkowego</t>
  </si>
  <si>
    <t>System gospodarki odpadami oraz budowa zakładu termicznego przekształcania odpadów dla miast i gmin Pomorza Środkowego</t>
  </si>
  <si>
    <t>Program: Targowiska Miejskie</t>
  </si>
  <si>
    <t xml:space="preserve"> Modernizacja nawierzchni targowiska przy ul. Połczyńskiej i Władysława IV</t>
  </si>
  <si>
    <t>Program: Modernizacja układu komunikacyjnego w rejonie 4. Marca - Połczyńskiej</t>
  </si>
  <si>
    <t>Przebudowa ulicy Gnieźnieńskiej (odcinek od ul. 4. Marca do Połczyńskiej)</t>
  </si>
  <si>
    <t>Program: Modernizacja układu komunikacyjnego - skrzyżowania i drogi krajowe, wojewódzkie i powiatowe</t>
  </si>
  <si>
    <t>Ulica Dzierżęcińska</t>
  </si>
  <si>
    <t>Ulica Syrenki - Gdańska</t>
  </si>
  <si>
    <t>2.3.3</t>
  </si>
  <si>
    <t>Droga Jamno - Łabusz</t>
  </si>
  <si>
    <t>2.3.4</t>
  </si>
  <si>
    <t>Ulica Krakusa i Wandy</t>
  </si>
  <si>
    <t>2.3.5</t>
  </si>
  <si>
    <t>Modernizacja rejonu ulic Tytusa Chałubińskiego-Leśna-Promykowa</t>
  </si>
  <si>
    <t>Program: Obiekty mostowe</t>
  </si>
  <si>
    <t>Remonty obiektów mostowych (w tym ul. Monte Cassino)</t>
  </si>
  <si>
    <t>2.5</t>
  </si>
  <si>
    <t>Program: Budowa dróg w Mieście</t>
  </si>
  <si>
    <t>2.5.1</t>
  </si>
  <si>
    <t>Osiedle Unii Europejskiej - drogi</t>
  </si>
  <si>
    <t>2.5.2</t>
  </si>
  <si>
    <t>Osiedle Podgórne - Batalionów Chłopskich - drogi</t>
  </si>
  <si>
    <t>2.5.3</t>
  </si>
  <si>
    <t>Osiedle Bukowe - drogi</t>
  </si>
  <si>
    <t>2.5.4</t>
  </si>
  <si>
    <t>Ulica Rzeczna</t>
  </si>
  <si>
    <t>2.6</t>
  </si>
  <si>
    <t>Program: Przebudowa dróg w mieście</t>
  </si>
  <si>
    <t>2.6.1</t>
  </si>
  <si>
    <t>Przebudowa skrzyżowania w ciągu ulicy J.Stawisińskiego - Pileckiego</t>
  </si>
  <si>
    <t>2.6.2</t>
  </si>
  <si>
    <t>Rejon ulic: Lutyków, Obotrytów, Piotra Skargi, Łużycka, Poprzeczna</t>
  </si>
  <si>
    <t>2.6.3</t>
  </si>
  <si>
    <t>Ulica Władysława Reymonta - Leopolda Staffa - Andrzeja Struga - Kazimierza Przerwy Tetmajera - Stefana Żeromskiego</t>
  </si>
  <si>
    <t>2.6.4</t>
  </si>
  <si>
    <t>Ulica Karola Szymanowskiego, Jana Matejki, Stanisława Moniuszki</t>
  </si>
  <si>
    <t>2.6.5</t>
  </si>
  <si>
    <t>Ulica Radogoszczańska, Ratajczaka</t>
  </si>
  <si>
    <t>2.6.6</t>
  </si>
  <si>
    <t>Ulica Paproci, ul. Wrzosów</t>
  </si>
  <si>
    <t>2.6.7</t>
  </si>
  <si>
    <t>Ewidencja dróg</t>
  </si>
  <si>
    <t>2.6.8</t>
  </si>
  <si>
    <t>Dokumentacja pod przyszłe inwestycje</t>
  </si>
  <si>
    <t>2.7</t>
  </si>
  <si>
    <t>Program: Parkingi w Mieście</t>
  </si>
  <si>
    <t xml:space="preserve">Parking przy ul.Niepodległości </t>
  </si>
  <si>
    <t>2.8</t>
  </si>
  <si>
    <t>Program: Budowa ścieżek rowerowych</t>
  </si>
  <si>
    <t>2.8.1</t>
  </si>
  <si>
    <t>Projekt: Budowa ścieżek rowerowych</t>
  </si>
  <si>
    <t>2.8.2</t>
  </si>
  <si>
    <t>Ścieżki rowerowe w ramach programu  "Bike the Baltic"</t>
  </si>
  <si>
    <t>2.9</t>
  </si>
  <si>
    <t>Program: Budownictwo mieszkaniowe</t>
  </si>
  <si>
    <t>2.9.1</t>
  </si>
  <si>
    <t>Budowa budynku z mieszkaniami komunalnymi przy ul. Lechickiej w Koszalinie</t>
  </si>
  <si>
    <t>2.9.2</t>
  </si>
  <si>
    <t>Budownictwo mieszkaniowe</t>
  </si>
  <si>
    <t>2.10</t>
  </si>
  <si>
    <t>Rewitalizacja zabytkowych parków miejskich (schody)</t>
  </si>
  <si>
    <t>2.11</t>
  </si>
  <si>
    <t>Program: Budowa, modernizacja, remonty placów zabaw, boisk i parków miejskich</t>
  </si>
  <si>
    <t>2.11.1</t>
  </si>
  <si>
    <t>Park osiedlowy ABC przy ulicy Melchiora Wańkowicza</t>
  </si>
  <si>
    <t>2.11.2</t>
  </si>
  <si>
    <t>Wyposażenie placów zabaw i boisk</t>
  </si>
  <si>
    <t>2.12</t>
  </si>
  <si>
    <t>Program: Remonty i inwestycje oświetlenia ulicznego</t>
  </si>
  <si>
    <t>Dokumentacje pod przyszłe inwestycje oświetleniowe</t>
  </si>
  <si>
    <t>2.13</t>
  </si>
  <si>
    <t>Program: Inwestycje budynków Żłobka Miejskiego</t>
  </si>
  <si>
    <t>Rozbudowa oddziału Żłobka Miejskiego "Maluch" ul. H. Jagoszewskiego</t>
  </si>
  <si>
    <t>2.14</t>
  </si>
  <si>
    <t>Program: Uzbrojenie terenów inwestycyjnych Miasta</t>
  </si>
  <si>
    <t>2.14.1</t>
  </si>
  <si>
    <t>ul. Różana - Lniana (porządkowanie gospodarki wodno-ściekowej)</t>
  </si>
  <si>
    <t>2.14.2</t>
  </si>
  <si>
    <t xml:space="preserve">Dokumentacja pod przyszłe inwestycje </t>
  </si>
  <si>
    <t>2.15</t>
  </si>
  <si>
    <t>Program: Realizacja programu budowy obiektów sportowych w Mieście</t>
  </si>
  <si>
    <t xml:space="preserve">Sala sportowa wraz z boiskiem przy Gimnazjum nr 6 </t>
  </si>
  <si>
    <t>2.16</t>
  </si>
  <si>
    <t>Program: Obiekty sportowo - rekreacyjne w mieście</t>
  </si>
  <si>
    <t>2.16.1</t>
  </si>
  <si>
    <t>Budowa hali widowiskowo - sportowej w Koszalinie</t>
  </si>
  <si>
    <t>Urząd Miejski, Politechnika Koszalińska</t>
  </si>
  <si>
    <t>2.16.2</t>
  </si>
  <si>
    <t>Moje Boisko Orlik 2012</t>
  </si>
  <si>
    <t>2.17</t>
  </si>
  <si>
    <t>Pozostałe</t>
  </si>
  <si>
    <t>2.17.1</t>
  </si>
  <si>
    <t>Remonty budynków komunalnych</t>
  </si>
  <si>
    <t>2.17.2</t>
  </si>
  <si>
    <t>Rozbudowa cmentarza komunalnego</t>
  </si>
  <si>
    <t>2.17.3</t>
  </si>
  <si>
    <t>Rozbudowa Powiatowego Urzędu Pracy w Koszalinie</t>
  </si>
  <si>
    <t>2.17.4</t>
  </si>
  <si>
    <t>Komenda Miejska Państwowej Straży Pożarnej - remonty budynku (zadanie zlecone powiatowi)</t>
  </si>
  <si>
    <t>KMPSP</t>
  </si>
  <si>
    <t>2.17.5</t>
  </si>
  <si>
    <t>Inwestycyjne Inicjatywy Społeczne</t>
  </si>
  <si>
    <t>2.17.6</t>
  </si>
  <si>
    <t>Budowa schroniska dla zwierząt</t>
  </si>
  <si>
    <t>2.17.7</t>
  </si>
  <si>
    <t>Rezerwa na inwestycje zakończone</t>
  </si>
  <si>
    <t>2.17.8</t>
  </si>
  <si>
    <t xml:space="preserve">Zagospodarowanie zielenią terenu położonego przy ul. Wielkopolskiej </t>
  </si>
  <si>
    <t xml:space="preserve">Remonty dróg w miastach na prawach powiatu </t>
  </si>
  <si>
    <t>Remonty dróg gminnych</t>
  </si>
  <si>
    <t>Remonty dróg wewnętrznych</t>
  </si>
  <si>
    <t>Gospodarka ściekowa i ochrona wód</t>
  </si>
  <si>
    <t>Oczyszczanie miast i wsi</t>
  </si>
  <si>
    <t>Utrzymanie zieleni w miastach i gminach</t>
  </si>
  <si>
    <t>Oświetlenie ulic placów i dróg</t>
  </si>
  <si>
    <t>Remonty placów zabaw</t>
  </si>
  <si>
    <t>Likwidacja nielegalnych wysypisk na terenach miejskich nie objętych żadną administracją</t>
  </si>
  <si>
    <t>Wydatki zapewniające ciągłość działania jednostki samorządu terytorialnego</t>
  </si>
  <si>
    <t>Promocja Miasta poprzez udział koszalińskich drużyn w meczach najwyższej klasy rozgrywkowej</t>
  </si>
  <si>
    <t>Zarządzanie boiskami sportowymi i "Doliną Sportową"</t>
  </si>
  <si>
    <t>Środki na zadania z zakresu kultury wynikające z zawartych porozumień</t>
  </si>
  <si>
    <t xml:space="preserve">Udzielanie schronienia osobom bezdomnym przebywającym na terenie Miasta Koszalina </t>
  </si>
  <si>
    <t>Prowadzenie schroniska dla bezdomnych zwierząt w Koszalinie</t>
  </si>
  <si>
    <t>Połączenie do Mielna</t>
  </si>
  <si>
    <t>Autor dokumentu: Anna Żyła</t>
  </si>
  <si>
    <t>Wprowadził do BIP: Agnieszka Sulewska</t>
  </si>
  <si>
    <t>Autor dokumentu: Sylwia Szpak</t>
  </si>
  <si>
    <t>Data wprowadzenia do BIP: 03.12.2010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</si>
</sst>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0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171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Continuous"/>
    </xf>
    <xf numFmtId="0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Continuous" vertical="center" wrapText="1"/>
    </xf>
    <xf numFmtId="0" fontId="21" fillId="0" borderId="13" xfId="0" applyFont="1" applyFill="1" applyBorder="1" applyAlignment="1">
      <alignment horizontal="centerContinuous" vertical="center" wrapText="1"/>
    </xf>
    <xf numFmtId="0" fontId="22" fillId="0" borderId="13" xfId="0" applyFont="1" applyFill="1" applyBorder="1" applyAlignment="1">
      <alignment horizontal="centerContinuous" vertical="center" wrapText="1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3" fontId="25" fillId="0" borderId="18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vertical="center"/>
    </xf>
    <xf numFmtId="10" fontId="25" fillId="0" borderId="2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10" fontId="25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172" fontId="19" fillId="0" borderId="10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2" fontId="19" fillId="0" borderId="11" xfId="0" applyNumberFormat="1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10" fontId="25" fillId="0" borderId="22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4" fillId="0" borderId="2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6" fontId="34" fillId="0" borderId="10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3" fontId="32" fillId="0" borderId="28" xfId="0" applyNumberFormat="1" applyFont="1" applyBorder="1" applyAlignment="1">
      <alignment horizontal="right" vertical="center" wrapText="1"/>
    </xf>
    <xf numFmtId="3" fontId="32" fillId="0" borderId="28" xfId="0" applyNumberFormat="1" applyFont="1" applyFill="1" applyBorder="1" applyAlignment="1">
      <alignment horizontal="right" vertical="center" wrapText="1"/>
    </xf>
    <xf numFmtId="3" fontId="32" fillId="0" borderId="28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center" vertical="center" wrapText="1"/>
    </xf>
    <xf numFmtId="3" fontId="34" fillId="0" borderId="28" xfId="0" applyNumberFormat="1" applyFont="1" applyBorder="1" applyAlignment="1">
      <alignment horizontal="right" vertical="center"/>
    </xf>
    <xf numFmtId="49" fontId="19" fillId="0" borderId="32" xfId="0" applyNumberFormat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0" fontId="19" fillId="0" borderId="33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6" fontId="34" fillId="0" borderId="10" xfId="0" applyNumberFormat="1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28" xfId="0" applyNumberFormat="1" applyFont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3" fontId="19" fillId="0" borderId="21" xfId="0" applyNumberFormat="1" applyFont="1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3" fontId="36" fillId="0" borderId="28" xfId="0" applyNumberFormat="1" applyFont="1" applyBorder="1" applyAlignment="1">
      <alignment horizontal="right" vertical="center" wrapText="1"/>
    </xf>
    <xf numFmtId="0" fontId="35" fillId="0" borderId="3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vertical="center" wrapText="1"/>
    </xf>
    <xf numFmtId="3" fontId="32" fillId="0" borderId="23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vertical="center"/>
    </xf>
    <xf numFmtId="3" fontId="19" fillId="0" borderId="34" xfId="0" applyNumberFormat="1" applyFont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0" fontId="35" fillId="0" borderId="17" xfId="0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right" vertical="center" wrapText="1"/>
    </xf>
    <xf numFmtId="3" fontId="34" fillId="0" borderId="17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2" fontId="19" fillId="0" borderId="17" xfId="0" applyNumberFormat="1" applyFont="1" applyFill="1" applyBorder="1" applyAlignment="1">
      <alignment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2" fontId="34" fillId="0" borderId="17" xfId="0" applyNumberFormat="1" applyFont="1" applyFill="1" applyBorder="1" applyAlignment="1">
      <alignment vertical="center" wrapText="1"/>
    </xf>
    <xf numFmtId="0" fontId="34" fillId="24" borderId="17" xfId="0" applyFont="1" applyFill="1" applyBorder="1" applyAlignment="1">
      <alignment horizontal="center" vertical="center"/>
    </xf>
    <xf numFmtId="2" fontId="34" fillId="24" borderId="17" xfId="0" applyNumberFormat="1" applyFont="1" applyFill="1" applyBorder="1" applyAlignment="1">
      <alignment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3" fontId="34" fillId="24" borderId="17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lef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32" fillId="0" borderId="3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right" vertical="center" wrapText="1"/>
    </xf>
    <xf numFmtId="3" fontId="19" fillId="0" borderId="34" xfId="0" applyNumberFormat="1" applyFont="1" applyFill="1" applyBorder="1" applyAlignment="1">
      <alignment horizontal="right" vertical="center" wrapText="1"/>
    </xf>
    <xf numFmtId="2" fontId="19" fillId="0" borderId="24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/>
    </xf>
    <xf numFmtId="2" fontId="19" fillId="0" borderId="41" xfId="0" applyNumberFormat="1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3" fontId="19" fillId="0" borderId="42" xfId="0" applyNumberFormat="1" applyFont="1" applyBorder="1" applyAlignment="1">
      <alignment horizontal="right" vertical="center" wrapText="1"/>
    </xf>
    <xf numFmtId="3" fontId="19" fillId="0" borderId="40" xfId="0" applyNumberFormat="1" applyFont="1" applyFill="1" applyBorder="1" applyAlignment="1">
      <alignment vertical="center" wrapText="1"/>
    </xf>
    <xf numFmtId="3" fontId="19" fillId="0" borderId="40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vertical="center" wrapText="1"/>
    </xf>
    <xf numFmtId="3" fontId="23" fillId="0" borderId="26" xfId="0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vertical="center" wrapText="1"/>
    </xf>
    <xf numFmtId="0" fontId="33" fillId="0" borderId="28" xfId="0" applyFont="1" applyFill="1" applyBorder="1" applyAlignment="1">
      <alignment vertical="center" wrapText="1"/>
    </xf>
    <xf numFmtId="0" fontId="38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3" fontId="32" fillId="0" borderId="2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3" fontId="19" fillId="0" borderId="43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3" fontId="19" fillId="0" borderId="45" xfId="0" applyNumberFormat="1" applyFont="1" applyBorder="1" applyAlignment="1">
      <alignment vertical="center" wrapText="1"/>
    </xf>
    <xf numFmtId="3" fontId="19" fillId="0" borderId="44" xfId="0" applyNumberFormat="1" applyFont="1" applyBorder="1" applyAlignment="1">
      <alignment vertical="center" wrapText="1"/>
    </xf>
    <xf numFmtId="3" fontId="19" fillId="0" borderId="46" xfId="0" applyNumberFormat="1" applyFont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19" fillId="0" borderId="47" xfId="0" applyNumberFormat="1" applyFont="1" applyFill="1" applyBorder="1" applyAlignment="1">
      <alignment vertical="center" wrapText="1"/>
    </xf>
    <xf numFmtId="3" fontId="19" fillId="0" borderId="47" xfId="0" applyNumberFormat="1" applyFont="1" applyFill="1" applyBorder="1" applyAlignment="1">
      <alignment horizontal="right" vertical="center" wrapText="1"/>
    </xf>
    <xf numFmtId="3" fontId="19" fillId="0" borderId="47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center" vertical="center" wrapText="1"/>
    </xf>
    <xf numFmtId="3" fontId="34" fillId="0" borderId="28" xfId="0" applyNumberFormat="1" applyFont="1" applyBorder="1" applyAlignment="1">
      <alignment horizontal="right" vertical="center" wrapText="1"/>
    </xf>
    <xf numFmtId="0" fontId="34" fillId="0" borderId="23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26" fillId="0" borderId="12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zoomScale="90" zoomScaleNormal="90" zoomScalePageLayoutView="0" workbookViewId="0" topLeftCell="A23">
      <selection activeCell="A39" sqref="A39"/>
    </sheetView>
  </sheetViews>
  <sheetFormatPr defaultColWidth="11.57421875" defaultRowHeight="12.75"/>
  <cols>
    <col min="1" max="1" width="4.00390625" style="33" customWidth="1"/>
    <col min="2" max="2" width="34.8515625" style="34" customWidth="1"/>
    <col min="3" max="3" width="11.7109375" style="34" hidden="1" customWidth="1"/>
    <col min="4" max="5" width="11.7109375" style="33" hidden="1" customWidth="1"/>
    <col min="6" max="6" width="12.421875" style="34" hidden="1" customWidth="1"/>
    <col min="7" max="7" width="10.28125" style="35" customWidth="1"/>
    <col min="8" max="18" width="10.28125" style="33" customWidth="1"/>
    <col min="19" max="19" width="10.57421875" style="33" customWidth="1"/>
    <col min="20" max="22" width="10.28125" style="33" customWidth="1"/>
    <col min="23" max="23" width="15.00390625" style="33" hidden="1" customWidth="1"/>
    <col min="24" max="16384" width="11.57421875" style="33" customWidth="1"/>
  </cols>
  <sheetData>
    <row r="1" spans="1:21" s="6" customFormat="1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5"/>
      <c r="O1" s="5"/>
      <c r="P1" s="5"/>
      <c r="Q1" s="1"/>
      <c r="S1" s="1"/>
      <c r="T1" s="1" t="s">
        <v>86</v>
      </c>
      <c r="U1" s="1"/>
    </row>
    <row r="2" spans="1:21" s="6" customFormat="1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5"/>
      <c r="O2" s="7"/>
      <c r="P2" s="7"/>
      <c r="Q2" s="2"/>
      <c r="S2" s="2"/>
      <c r="T2" s="2" t="s">
        <v>87</v>
      </c>
      <c r="U2" s="2"/>
    </row>
    <row r="3" spans="1:21" s="6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7"/>
      <c r="P3" s="7"/>
      <c r="Q3" s="1"/>
      <c r="S3" s="1"/>
      <c r="T3" s="1" t="s">
        <v>88</v>
      </c>
      <c r="U3" s="1"/>
    </row>
    <row r="4" spans="1:21" s="6" customFormat="1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8"/>
      <c r="O4" s="8"/>
      <c r="P4" s="8"/>
      <c r="Q4" s="3"/>
      <c r="S4" s="3"/>
      <c r="T4" s="3" t="s">
        <v>89</v>
      </c>
      <c r="U4" s="3"/>
    </row>
    <row r="5" spans="1:23" s="11" customFormat="1" ht="19.5" customHeight="1">
      <c r="A5" s="97" t="s">
        <v>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9"/>
      <c r="P5" s="10"/>
      <c r="Q5" s="10"/>
      <c r="R5" s="10"/>
      <c r="S5" s="10"/>
      <c r="T5" s="10"/>
      <c r="U5" s="10"/>
      <c r="V5" s="10"/>
      <c r="W5" s="10"/>
    </row>
    <row r="6" spans="1:23" s="46" customFormat="1" ht="11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4"/>
      <c r="P6" s="45"/>
      <c r="Q6" s="45"/>
      <c r="R6" s="45"/>
      <c r="S6" s="45"/>
      <c r="T6" s="45"/>
      <c r="U6" s="45"/>
      <c r="V6" s="94" t="s">
        <v>90</v>
      </c>
      <c r="W6" s="45"/>
    </row>
    <row r="7" spans="1:23" s="11" customFormat="1" ht="1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9"/>
      <c r="P7" s="10"/>
      <c r="Q7" s="10"/>
      <c r="R7" s="10"/>
      <c r="S7" s="10"/>
      <c r="T7" s="10"/>
      <c r="U7" s="10"/>
      <c r="V7" s="10"/>
      <c r="W7" s="10"/>
    </row>
    <row r="8" spans="1:23" s="11" customFormat="1" ht="15.75" customHeight="1">
      <c r="A8" s="61"/>
      <c r="B8" s="62"/>
      <c r="C8" s="60"/>
      <c r="D8" s="60"/>
      <c r="E8" s="60"/>
      <c r="F8" s="60"/>
      <c r="G8" s="63" t="s">
        <v>82</v>
      </c>
      <c r="H8" s="64"/>
      <c r="I8" s="64"/>
      <c r="J8" s="64"/>
      <c r="K8" s="64"/>
      <c r="L8" s="64"/>
      <c r="M8" s="64"/>
      <c r="N8" s="64"/>
      <c r="O8" s="65"/>
      <c r="P8" s="66"/>
      <c r="Q8" s="66"/>
      <c r="R8" s="66"/>
      <c r="S8" s="66"/>
      <c r="T8" s="66"/>
      <c r="U8" s="66"/>
      <c r="V8" s="67"/>
      <c r="W8" s="10"/>
    </row>
    <row r="9" spans="1:23" s="11" customFormat="1" ht="33.75" customHeight="1">
      <c r="A9" s="92" t="s">
        <v>0</v>
      </c>
      <c r="B9" s="93" t="s">
        <v>1</v>
      </c>
      <c r="C9" s="48">
        <v>2007</v>
      </c>
      <c r="D9" s="48">
        <v>2008</v>
      </c>
      <c r="E9" s="48">
        <v>2009</v>
      </c>
      <c r="F9" s="38" t="s">
        <v>2</v>
      </c>
      <c r="G9" s="48">
        <v>2011</v>
      </c>
      <c r="H9" s="48">
        <v>2012</v>
      </c>
      <c r="I9" s="48">
        <v>2013</v>
      </c>
      <c r="J9" s="48">
        <v>2014</v>
      </c>
      <c r="K9" s="48">
        <v>2015</v>
      </c>
      <c r="L9" s="48">
        <v>2016</v>
      </c>
      <c r="M9" s="48">
        <v>2017</v>
      </c>
      <c r="N9" s="48">
        <v>2018</v>
      </c>
      <c r="O9" s="48">
        <v>2019</v>
      </c>
      <c r="P9" s="48">
        <v>2020</v>
      </c>
      <c r="Q9" s="48">
        <v>2021</v>
      </c>
      <c r="R9" s="48">
        <v>2022</v>
      </c>
      <c r="S9" s="48">
        <v>2023</v>
      </c>
      <c r="T9" s="48">
        <v>2024</v>
      </c>
      <c r="U9" s="48">
        <v>2025</v>
      </c>
      <c r="V9" s="48">
        <v>2026</v>
      </c>
      <c r="W9" s="48">
        <v>2027</v>
      </c>
    </row>
    <row r="10" spans="1:23" s="16" customFormat="1" ht="19.5" customHeight="1">
      <c r="A10" s="50">
        <v>1</v>
      </c>
      <c r="B10" s="12" t="s">
        <v>3</v>
      </c>
      <c r="C10" s="13">
        <f>C11+C12</f>
        <v>324295200</v>
      </c>
      <c r="D10" s="14">
        <f>D11+D12</f>
        <v>334047500</v>
      </c>
      <c r="E10" s="14">
        <f>E11+E12</f>
        <v>338022848</v>
      </c>
      <c r="F10" s="15">
        <f>F11+F12</f>
        <v>375944903</v>
      </c>
      <c r="G10" s="15">
        <f>G11+G12</f>
        <v>426239700</v>
      </c>
      <c r="H10" s="15">
        <f aca="true" t="shared" si="0" ref="H10:W10">H11+H12</f>
        <v>475640397</v>
      </c>
      <c r="I10" s="15">
        <f t="shared" si="0"/>
        <v>449166229.28000003</v>
      </c>
      <c r="J10" s="15">
        <f t="shared" si="0"/>
        <v>414879375.6384</v>
      </c>
      <c r="K10" s="15">
        <f t="shared" si="0"/>
        <v>422116256.907552</v>
      </c>
      <c r="L10" s="15">
        <f t="shared" si="0"/>
        <v>422116256.907552</v>
      </c>
      <c r="M10" s="15">
        <f t="shared" si="0"/>
        <v>422116256.907552</v>
      </c>
      <c r="N10" s="15">
        <f t="shared" si="0"/>
        <v>422116256.907552</v>
      </c>
      <c r="O10" s="15">
        <f t="shared" si="0"/>
        <v>422116256.907552</v>
      </c>
      <c r="P10" s="15">
        <f t="shared" si="0"/>
        <v>422116256.907552</v>
      </c>
      <c r="Q10" s="15">
        <f t="shared" si="0"/>
        <v>422116256.907552</v>
      </c>
      <c r="R10" s="15">
        <f t="shared" si="0"/>
        <v>422116256.907552</v>
      </c>
      <c r="S10" s="15">
        <f t="shared" si="0"/>
        <v>422116256.907552</v>
      </c>
      <c r="T10" s="15">
        <f t="shared" si="0"/>
        <v>422116256.907552</v>
      </c>
      <c r="U10" s="15">
        <f t="shared" si="0"/>
        <v>422116256.907552</v>
      </c>
      <c r="V10" s="15">
        <f t="shared" si="0"/>
        <v>422116256.907552</v>
      </c>
      <c r="W10" s="15">
        <f t="shared" si="0"/>
        <v>422116256.907552</v>
      </c>
    </row>
    <row r="11" spans="1:23" s="19" customFormat="1" ht="19.5" customHeight="1">
      <c r="A11" s="42" t="s">
        <v>4</v>
      </c>
      <c r="B11" s="17" t="s">
        <v>5</v>
      </c>
      <c r="C11" s="18">
        <v>296653800</v>
      </c>
      <c r="D11" s="18">
        <v>303157200</v>
      </c>
      <c r="E11" s="18">
        <v>321072989</v>
      </c>
      <c r="F11" s="18">
        <v>325945486</v>
      </c>
      <c r="G11" s="28">
        <v>344552200</v>
      </c>
      <c r="H11" s="18">
        <f>G11*106%</f>
        <v>365225332</v>
      </c>
      <c r="I11" s="18">
        <f>H11*104%</f>
        <v>379834345.28000003</v>
      </c>
      <c r="J11" s="18">
        <f>I11*103%</f>
        <v>391229375.6384</v>
      </c>
      <c r="K11" s="18">
        <f>J11*103%</f>
        <v>402966256.907552</v>
      </c>
      <c r="L11" s="18">
        <f>K11</f>
        <v>402966256.907552</v>
      </c>
      <c r="M11" s="18">
        <f>L11</f>
        <v>402966256.907552</v>
      </c>
      <c r="N11" s="18">
        <f>M11</f>
        <v>402966256.907552</v>
      </c>
      <c r="O11" s="18">
        <f aca="true" t="shared" si="1" ref="O11:W11">N11</f>
        <v>402966256.907552</v>
      </c>
      <c r="P11" s="18">
        <f t="shared" si="1"/>
        <v>402966256.907552</v>
      </c>
      <c r="Q11" s="18">
        <f t="shared" si="1"/>
        <v>402966256.907552</v>
      </c>
      <c r="R11" s="18">
        <f t="shared" si="1"/>
        <v>402966256.907552</v>
      </c>
      <c r="S11" s="18">
        <f t="shared" si="1"/>
        <v>402966256.907552</v>
      </c>
      <c r="T11" s="18">
        <f t="shared" si="1"/>
        <v>402966256.907552</v>
      </c>
      <c r="U11" s="18">
        <f t="shared" si="1"/>
        <v>402966256.907552</v>
      </c>
      <c r="V11" s="18">
        <f t="shared" si="1"/>
        <v>402966256.907552</v>
      </c>
      <c r="W11" s="18">
        <f t="shared" si="1"/>
        <v>402966256.907552</v>
      </c>
    </row>
    <row r="12" spans="1:23" s="19" customFormat="1" ht="17.25" customHeight="1">
      <c r="A12" s="42" t="s">
        <v>6</v>
      </c>
      <c r="B12" s="17" t="s">
        <v>7</v>
      </c>
      <c r="C12" s="18">
        <v>27641400</v>
      </c>
      <c r="D12" s="18">
        <v>30890300</v>
      </c>
      <c r="E12" s="18">
        <v>16949859</v>
      </c>
      <c r="F12" s="18">
        <v>49999417</v>
      </c>
      <c r="G12" s="28">
        <v>81687500</v>
      </c>
      <c r="H12" s="18">
        <f>83415065+H13-3000000</f>
        <v>110415065</v>
      </c>
      <c r="I12" s="18">
        <f>44331884+I13</f>
        <v>69331884</v>
      </c>
      <c r="J12" s="18">
        <f>10000000+J13</f>
        <v>23650000</v>
      </c>
      <c r="K12" s="18">
        <f aca="true" t="shared" si="2" ref="K12:W12">5000000+K13</f>
        <v>19150000</v>
      </c>
      <c r="L12" s="18">
        <f t="shared" si="2"/>
        <v>19150000</v>
      </c>
      <c r="M12" s="18">
        <f t="shared" si="2"/>
        <v>19150000</v>
      </c>
      <c r="N12" s="18">
        <f t="shared" si="2"/>
        <v>19150000</v>
      </c>
      <c r="O12" s="18">
        <f t="shared" si="2"/>
        <v>19150000</v>
      </c>
      <c r="P12" s="18">
        <f t="shared" si="2"/>
        <v>19150000</v>
      </c>
      <c r="Q12" s="18">
        <f t="shared" si="2"/>
        <v>19150000</v>
      </c>
      <c r="R12" s="18">
        <f t="shared" si="2"/>
        <v>19150000</v>
      </c>
      <c r="S12" s="18">
        <f t="shared" si="2"/>
        <v>19150000</v>
      </c>
      <c r="T12" s="18">
        <f t="shared" si="2"/>
        <v>19150000</v>
      </c>
      <c r="U12" s="18">
        <f t="shared" si="2"/>
        <v>19150000</v>
      </c>
      <c r="V12" s="18">
        <f t="shared" si="2"/>
        <v>19150000</v>
      </c>
      <c r="W12" s="18">
        <f t="shared" si="2"/>
        <v>19150000</v>
      </c>
    </row>
    <row r="13" spans="1:23" s="19" customFormat="1" ht="15.75" customHeight="1">
      <c r="A13" s="42" t="s">
        <v>8</v>
      </c>
      <c r="B13" s="17" t="s">
        <v>9</v>
      </c>
      <c r="C13" s="18">
        <v>19479000</v>
      </c>
      <c r="D13" s="18">
        <v>18817700</v>
      </c>
      <c r="E13" s="18">
        <v>13491215</v>
      </c>
      <c r="F13" s="18">
        <v>19558014</v>
      </c>
      <c r="G13" s="28">
        <v>14600000</v>
      </c>
      <c r="H13" s="18">
        <v>30000000</v>
      </c>
      <c r="I13" s="18">
        <v>25000000</v>
      </c>
      <c r="J13" s="18">
        <v>13650000</v>
      </c>
      <c r="K13" s="18">
        <v>14150000</v>
      </c>
      <c r="L13" s="18">
        <v>14150000</v>
      </c>
      <c r="M13" s="18">
        <v>14150000</v>
      </c>
      <c r="N13" s="18">
        <v>14150000</v>
      </c>
      <c r="O13" s="18">
        <v>14150000</v>
      </c>
      <c r="P13" s="18">
        <v>14150000</v>
      </c>
      <c r="Q13" s="18">
        <v>14150000</v>
      </c>
      <c r="R13" s="18">
        <v>14150000</v>
      </c>
      <c r="S13" s="18">
        <v>14150000</v>
      </c>
      <c r="T13" s="18">
        <v>14150000</v>
      </c>
      <c r="U13" s="18">
        <v>14150000</v>
      </c>
      <c r="V13" s="18">
        <v>14150000</v>
      </c>
      <c r="W13" s="18">
        <v>14150000</v>
      </c>
    </row>
    <row r="14" spans="1:23" s="19" customFormat="1" ht="47.25" customHeight="1">
      <c r="A14" s="51">
        <v>2</v>
      </c>
      <c r="B14" s="12" t="s">
        <v>94</v>
      </c>
      <c r="C14" s="13">
        <v>245747200</v>
      </c>
      <c r="D14" s="13">
        <v>268471555</v>
      </c>
      <c r="E14" s="13">
        <v>299323276</v>
      </c>
      <c r="F14" s="13">
        <f>325061635-4000000</f>
        <v>321061635</v>
      </c>
      <c r="G14" s="13">
        <v>337380200</v>
      </c>
      <c r="H14" s="13">
        <f>H34-H27</f>
        <v>317830097</v>
      </c>
      <c r="I14" s="13">
        <f aca="true" t="shared" si="3" ref="I14:W14">I34-I27</f>
        <v>321040037.03</v>
      </c>
      <c r="J14" s="13">
        <f t="shared" si="3"/>
        <v>321843037.03</v>
      </c>
      <c r="K14" s="13">
        <f t="shared" si="3"/>
        <v>322586637.03</v>
      </c>
      <c r="L14" s="13">
        <f t="shared" si="3"/>
        <v>323430137.03</v>
      </c>
      <c r="M14" s="13">
        <f t="shared" si="3"/>
        <v>324601176.03</v>
      </c>
      <c r="N14" s="13">
        <f t="shared" si="3"/>
        <v>325470476.03</v>
      </c>
      <c r="O14" s="13">
        <f t="shared" si="3"/>
        <v>326132676.03</v>
      </c>
      <c r="P14" s="13">
        <f t="shared" si="3"/>
        <v>326788276.03</v>
      </c>
      <c r="Q14" s="13">
        <f t="shared" si="3"/>
        <v>327444576.03</v>
      </c>
      <c r="R14" s="13">
        <f t="shared" si="3"/>
        <v>328037776.03</v>
      </c>
      <c r="S14" s="13">
        <f t="shared" si="3"/>
        <v>328377776.03</v>
      </c>
      <c r="T14" s="13">
        <f t="shared" si="3"/>
        <v>328715076.03</v>
      </c>
      <c r="U14" s="13">
        <f t="shared" si="3"/>
        <v>329057776.03</v>
      </c>
      <c r="V14" s="13">
        <f t="shared" si="3"/>
        <v>329397776.03</v>
      </c>
      <c r="W14" s="13">
        <f t="shared" si="3"/>
        <v>329446676.03</v>
      </c>
    </row>
    <row r="15" spans="1:23" s="29" customFormat="1" ht="25.5" customHeight="1">
      <c r="A15" s="53" t="s">
        <v>4</v>
      </c>
      <c r="B15" s="27" t="s">
        <v>10</v>
      </c>
      <c r="C15" s="28">
        <v>110651151</v>
      </c>
      <c r="D15" s="28">
        <v>119582402</v>
      </c>
      <c r="E15" s="28">
        <v>129852415</v>
      </c>
      <c r="F15" s="28">
        <v>137098819</v>
      </c>
      <c r="G15" s="28">
        <v>166111890</v>
      </c>
      <c r="H15" s="28">
        <f>G15*101%</f>
        <v>167773008.9</v>
      </c>
      <c r="I15" s="28">
        <f>H15*101%</f>
        <v>169450738.98900002</v>
      </c>
      <c r="J15" s="28">
        <f>I15*101%</f>
        <v>171145246.37889004</v>
      </c>
      <c r="K15" s="28">
        <f>J15*101%</f>
        <v>172856698.84267893</v>
      </c>
      <c r="L15" s="28">
        <f>K15</f>
        <v>172856698.84267893</v>
      </c>
      <c r="M15" s="28">
        <f aca="true" t="shared" si="4" ref="M15:W15">L15</f>
        <v>172856698.84267893</v>
      </c>
      <c r="N15" s="28">
        <f t="shared" si="4"/>
        <v>172856698.84267893</v>
      </c>
      <c r="O15" s="28">
        <f t="shared" si="4"/>
        <v>172856698.84267893</v>
      </c>
      <c r="P15" s="28">
        <f t="shared" si="4"/>
        <v>172856698.84267893</v>
      </c>
      <c r="Q15" s="28">
        <f t="shared" si="4"/>
        <v>172856698.84267893</v>
      </c>
      <c r="R15" s="28">
        <f t="shared" si="4"/>
        <v>172856698.84267893</v>
      </c>
      <c r="S15" s="28">
        <f t="shared" si="4"/>
        <v>172856698.84267893</v>
      </c>
      <c r="T15" s="28">
        <f t="shared" si="4"/>
        <v>172856698.84267893</v>
      </c>
      <c r="U15" s="28">
        <f t="shared" si="4"/>
        <v>172856698.84267893</v>
      </c>
      <c r="V15" s="28">
        <f t="shared" si="4"/>
        <v>172856698.84267893</v>
      </c>
      <c r="W15" s="28">
        <f t="shared" si="4"/>
        <v>172856698.84267893</v>
      </c>
    </row>
    <row r="16" spans="1:23" s="19" customFormat="1" ht="23.25" customHeight="1">
      <c r="A16" s="42" t="s">
        <v>6</v>
      </c>
      <c r="B16" s="17" t="s">
        <v>11</v>
      </c>
      <c r="C16" s="20">
        <v>0</v>
      </c>
      <c r="D16" s="20">
        <v>0</v>
      </c>
      <c r="E16" s="20">
        <v>0</v>
      </c>
      <c r="F16" s="20">
        <v>0</v>
      </c>
      <c r="G16" s="54">
        <v>35814157</v>
      </c>
      <c r="H16" s="20">
        <f>G16*101%</f>
        <v>36172298.57</v>
      </c>
      <c r="I16" s="20">
        <f aca="true" t="shared" si="5" ref="I16:V16">H16*101%</f>
        <v>36534021.555700004</v>
      </c>
      <c r="J16" s="20">
        <f t="shared" si="5"/>
        <v>36899361.771257006</v>
      </c>
      <c r="K16" s="20">
        <f t="shared" si="5"/>
        <v>37268355.38896958</v>
      </c>
      <c r="L16" s="20">
        <f t="shared" si="5"/>
        <v>37641038.94285928</v>
      </c>
      <c r="M16" s="20">
        <f t="shared" si="5"/>
        <v>38017449.33228787</v>
      </c>
      <c r="N16" s="20">
        <f t="shared" si="5"/>
        <v>38397623.82561075</v>
      </c>
      <c r="O16" s="20">
        <f t="shared" si="5"/>
        <v>38781600.06386685</v>
      </c>
      <c r="P16" s="20">
        <f t="shared" si="5"/>
        <v>39169416.064505525</v>
      </c>
      <c r="Q16" s="20">
        <f t="shared" si="5"/>
        <v>39561110.22515058</v>
      </c>
      <c r="R16" s="20">
        <f t="shared" si="5"/>
        <v>39956721.327402085</v>
      </c>
      <c r="S16" s="20">
        <f t="shared" si="5"/>
        <v>40356288.54067611</v>
      </c>
      <c r="T16" s="20">
        <f t="shared" si="5"/>
        <v>40759851.42608287</v>
      </c>
      <c r="U16" s="20">
        <f t="shared" si="5"/>
        <v>41167449.9403437</v>
      </c>
      <c r="V16" s="20">
        <f t="shared" si="5"/>
        <v>41579124.43974714</v>
      </c>
      <c r="W16" s="20">
        <f>V16*102%</f>
        <v>42410706.928542085</v>
      </c>
    </row>
    <row r="17" spans="1:23" s="19" customFormat="1" ht="15.75" customHeight="1">
      <c r="A17" s="42" t="s">
        <v>12</v>
      </c>
      <c r="B17" s="17" t="s">
        <v>13</v>
      </c>
      <c r="C17" s="18">
        <v>0</v>
      </c>
      <c r="D17" s="18">
        <v>0</v>
      </c>
      <c r="E17" s="18">
        <v>0</v>
      </c>
      <c r="F17" s="18">
        <v>0</v>
      </c>
      <c r="G17" s="2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</row>
    <row r="18" spans="1:23" s="19" customFormat="1" ht="41.25" customHeight="1">
      <c r="A18" s="42" t="s">
        <v>8</v>
      </c>
      <c r="B18" s="17" t="s">
        <v>14</v>
      </c>
      <c r="C18" s="18">
        <v>0</v>
      </c>
      <c r="D18" s="18">
        <v>0</v>
      </c>
      <c r="E18" s="18">
        <v>0</v>
      </c>
      <c r="F18" s="18">
        <v>0</v>
      </c>
      <c r="G18" s="2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s="19" customFormat="1" ht="25.5">
      <c r="A19" s="42" t="s">
        <v>15</v>
      </c>
      <c r="B19" s="17" t="s">
        <v>16</v>
      </c>
      <c r="C19" s="21" t="s">
        <v>17</v>
      </c>
      <c r="D19" s="20" t="s">
        <v>17</v>
      </c>
      <c r="E19" s="20" t="s">
        <v>17</v>
      </c>
      <c r="F19" s="18" t="s">
        <v>17</v>
      </c>
      <c r="G19" s="22">
        <v>28310643</v>
      </c>
      <c r="H19" s="22">
        <v>27373920</v>
      </c>
      <c r="I19" s="22">
        <v>25767365</v>
      </c>
      <c r="J19" s="22">
        <v>21340238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s="19" customFormat="1" ht="30" customHeight="1">
      <c r="A20" s="52">
        <v>3</v>
      </c>
      <c r="B20" s="23" t="s">
        <v>18</v>
      </c>
      <c r="C20" s="24">
        <f aca="true" t="shared" si="6" ref="C20:P20">C10-C14</f>
        <v>78548000</v>
      </c>
      <c r="D20" s="25">
        <f t="shared" si="6"/>
        <v>65575945</v>
      </c>
      <c r="E20" s="25">
        <f t="shared" si="6"/>
        <v>38699572</v>
      </c>
      <c r="F20" s="26">
        <f t="shared" si="6"/>
        <v>54883268</v>
      </c>
      <c r="G20" s="14">
        <f t="shared" si="6"/>
        <v>88859500</v>
      </c>
      <c r="H20" s="25">
        <f t="shared" si="6"/>
        <v>157810300</v>
      </c>
      <c r="I20" s="25">
        <f t="shared" si="6"/>
        <v>128126192.25000006</v>
      </c>
      <c r="J20" s="14">
        <f t="shared" si="6"/>
        <v>93036338.60840005</v>
      </c>
      <c r="K20" s="25">
        <f t="shared" si="6"/>
        <v>99529619.87755203</v>
      </c>
      <c r="L20" s="25">
        <f t="shared" si="6"/>
        <v>98686119.87755203</v>
      </c>
      <c r="M20" s="25">
        <f t="shared" si="6"/>
        <v>97515080.87755203</v>
      </c>
      <c r="N20" s="25">
        <f t="shared" si="6"/>
        <v>96645780.87755203</v>
      </c>
      <c r="O20" s="25">
        <f t="shared" si="6"/>
        <v>95983580.87755203</v>
      </c>
      <c r="P20" s="25">
        <f t="shared" si="6"/>
        <v>95327980.87755203</v>
      </c>
      <c r="Q20" s="25">
        <f aca="true" t="shared" si="7" ref="Q20:W20">Q10-Q14</f>
        <v>94671680.87755203</v>
      </c>
      <c r="R20" s="25">
        <f t="shared" si="7"/>
        <v>94078480.87755203</v>
      </c>
      <c r="S20" s="25">
        <f t="shared" si="7"/>
        <v>93738480.87755203</v>
      </c>
      <c r="T20" s="25">
        <f t="shared" si="7"/>
        <v>93401180.87755203</v>
      </c>
      <c r="U20" s="25">
        <f t="shared" si="7"/>
        <v>93058480.87755203</v>
      </c>
      <c r="V20" s="25">
        <f t="shared" si="7"/>
        <v>92718480.87755203</v>
      </c>
      <c r="W20" s="25">
        <f t="shared" si="7"/>
        <v>92669580.87755203</v>
      </c>
    </row>
    <row r="21" spans="1:23" s="19" customFormat="1" ht="35.25" customHeight="1">
      <c r="A21" s="42">
        <v>4</v>
      </c>
      <c r="B21" s="17" t="s">
        <v>19</v>
      </c>
      <c r="C21" s="18"/>
      <c r="D21" s="18">
        <f>29902215-42</f>
        <v>29902173</v>
      </c>
      <c r="E21" s="18">
        <v>41401955</v>
      </c>
      <c r="F21" s="18">
        <f>SUM(F22)</f>
        <v>19389140</v>
      </c>
      <c r="G21" s="28">
        <f>SUM(G22)</f>
        <v>15361600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9" customFormat="1" ht="37.5" customHeight="1">
      <c r="A22" s="42" t="s">
        <v>4</v>
      </c>
      <c r="B22" s="17" t="s">
        <v>20</v>
      </c>
      <c r="C22" s="18"/>
      <c r="D22" s="18">
        <v>0</v>
      </c>
      <c r="E22" s="18">
        <v>0</v>
      </c>
      <c r="F22" s="18">
        <v>19389140</v>
      </c>
      <c r="G22" s="28">
        <v>15361600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s="19" customFormat="1" ht="38.25">
      <c r="A23" s="42">
        <v>5</v>
      </c>
      <c r="B23" s="17" t="s">
        <v>92</v>
      </c>
      <c r="C23" s="18">
        <v>485500</v>
      </c>
      <c r="D23" s="18">
        <v>0</v>
      </c>
      <c r="E23" s="18">
        <v>0</v>
      </c>
      <c r="F23" s="18">
        <v>0</v>
      </c>
      <c r="G23" s="28"/>
      <c r="H23" s="18"/>
      <c r="I23" s="18">
        <v>4000000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s="19" customFormat="1" ht="18.75" customHeight="1">
      <c r="A24" s="52">
        <v>6</v>
      </c>
      <c r="B24" s="23" t="s">
        <v>21</v>
      </c>
      <c r="C24" s="24">
        <f aca="true" t="shared" si="8" ref="C24:W24">C20+C21+C23</f>
        <v>79033500</v>
      </c>
      <c r="D24" s="25">
        <f t="shared" si="8"/>
        <v>95478118</v>
      </c>
      <c r="E24" s="25">
        <f t="shared" si="8"/>
        <v>80101527</v>
      </c>
      <c r="F24" s="26">
        <f t="shared" si="8"/>
        <v>74272408</v>
      </c>
      <c r="G24" s="14">
        <f t="shared" si="8"/>
        <v>104221100</v>
      </c>
      <c r="H24" s="25">
        <f t="shared" si="8"/>
        <v>157810300</v>
      </c>
      <c r="I24" s="25">
        <f t="shared" si="8"/>
        <v>132126192.25000006</v>
      </c>
      <c r="J24" s="25">
        <f t="shared" si="8"/>
        <v>93036338.60840005</v>
      </c>
      <c r="K24" s="25">
        <f t="shared" si="8"/>
        <v>99529619.87755203</v>
      </c>
      <c r="L24" s="25">
        <f t="shared" si="8"/>
        <v>98686119.87755203</v>
      </c>
      <c r="M24" s="25">
        <f t="shared" si="8"/>
        <v>97515080.87755203</v>
      </c>
      <c r="N24" s="25">
        <f t="shared" si="8"/>
        <v>96645780.87755203</v>
      </c>
      <c r="O24" s="25">
        <f t="shared" si="8"/>
        <v>95983580.87755203</v>
      </c>
      <c r="P24" s="25">
        <f t="shared" si="8"/>
        <v>95327980.87755203</v>
      </c>
      <c r="Q24" s="25">
        <f t="shared" si="8"/>
        <v>94671680.87755203</v>
      </c>
      <c r="R24" s="25">
        <f t="shared" si="8"/>
        <v>94078480.87755203</v>
      </c>
      <c r="S24" s="25">
        <f t="shared" si="8"/>
        <v>93738480.87755203</v>
      </c>
      <c r="T24" s="25">
        <f t="shared" si="8"/>
        <v>93401180.87755203</v>
      </c>
      <c r="U24" s="25">
        <f t="shared" si="8"/>
        <v>93058480.87755203</v>
      </c>
      <c r="V24" s="25">
        <f t="shared" si="8"/>
        <v>92718480.87755203</v>
      </c>
      <c r="W24" s="25">
        <f t="shared" si="8"/>
        <v>92669580.87755203</v>
      </c>
    </row>
    <row r="25" spans="1:23" s="19" customFormat="1" ht="20.25" customHeight="1">
      <c r="A25" s="42">
        <v>7</v>
      </c>
      <c r="B25" s="17" t="s">
        <v>22</v>
      </c>
      <c r="C25" s="18">
        <v>27085200</v>
      </c>
      <c r="D25" s="18">
        <v>10355254</v>
      </c>
      <c r="E25" s="18">
        <v>12572824</v>
      </c>
      <c r="F25" s="18">
        <f>SUM(F26:F27)</f>
        <v>15770700</v>
      </c>
      <c r="G25" s="28">
        <f>SUM(G26:G27)</f>
        <v>24280100</v>
      </c>
      <c r="H25" s="18">
        <f aca="true" t="shared" si="9" ref="H25:P25">SUM(H26:H27)</f>
        <v>28940300</v>
      </c>
      <c r="I25" s="18">
        <f t="shared" si="9"/>
        <v>27032800</v>
      </c>
      <c r="J25" s="18">
        <f t="shared" si="9"/>
        <v>24563200</v>
      </c>
      <c r="K25" s="18">
        <f t="shared" si="9"/>
        <v>21819800</v>
      </c>
      <c r="L25" s="18">
        <f t="shared" si="9"/>
        <v>17642800</v>
      </c>
      <c r="M25" s="18">
        <f t="shared" si="9"/>
        <v>25444900</v>
      </c>
      <c r="N25" s="18">
        <f t="shared" si="9"/>
        <v>19575600</v>
      </c>
      <c r="O25" s="18">
        <f t="shared" si="9"/>
        <v>18913400</v>
      </c>
      <c r="P25" s="18">
        <f t="shared" si="9"/>
        <v>18257800</v>
      </c>
      <c r="Q25" s="18">
        <f aca="true" t="shared" si="10" ref="Q25:W25">SUM(Q26:Q27)</f>
        <v>16664000</v>
      </c>
      <c r="R25" s="18">
        <f t="shared" si="10"/>
        <v>10070800</v>
      </c>
      <c r="S25" s="18">
        <f t="shared" si="10"/>
        <v>9730800</v>
      </c>
      <c r="T25" s="18">
        <f t="shared" si="10"/>
        <v>9393500</v>
      </c>
      <c r="U25" s="18">
        <f t="shared" si="10"/>
        <v>9050800</v>
      </c>
      <c r="V25" s="18">
        <f t="shared" si="10"/>
        <v>8710800</v>
      </c>
      <c r="W25" s="18">
        <f t="shared" si="10"/>
        <v>161900</v>
      </c>
    </row>
    <row r="26" spans="1:23" s="29" customFormat="1" ht="25.5">
      <c r="A26" s="53" t="s">
        <v>4</v>
      </c>
      <c r="B26" s="27" t="s">
        <v>23</v>
      </c>
      <c r="C26" s="28">
        <v>24709850</v>
      </c>
      <c r="D26" s="28">
        <v>7881283</v>
      </c>
      <c r="E26" s="28">
        <v>8538691</v>
      </c>
      <c r="F26" s="28">
        <v>12170700</v>
      </c>
      <c r="G26" s="28">
        <v>17146500</v>
      </c>
      <c r="H26" s="28">
        <v>20034400</v>
      </c>
      <c r="I26" s="28">
        <v>18937400</v>
      </c>
      <c r="J26" s="28">
        <v>17270800</v>
      </c>
      <c r="K26" s="28">
        <v>15271000</v>
      </c>
      <c r="L26" s="28">
        <v>11937500</v>
      </c>
      <c r="M26" s="28">
        <v>20437500</v>
      </c>
      <c r="N26" s="28">
        <v>15437500</v>
      </c>
      <c r="O26" s="28">
        <v>15437500</v>
      </c>
      <c r="P26" s="28">
        <v>15437500</v>
      </c>
      <c r="Q26" s="28">
        <v>14500000</v>
      </c>
      <c r="R26" s="28">
        <v>8500000</v>
      </c>
      <c r="S26" s="28">
        <v>8500000</v>
      </c>
      <c r="T26" s="28">
        <v>8500000</v>
      </c>
      <c r="U26" s="28">
        <v>8500000</v>
      </c>
      <c r="V26" s="28">
        <v>8500000</v>
      </c>
      <c r="W26" s="28"/>
    </row>
    <row r="27" spans="1:23" s="19" customFormat="1" ht="15.75" customHeight="1">
      <c r="A27" s="42" t="s">
        <v>6</v>
      </c>
      <c r="B27" s="17" t="s">
        <v>24</v>
      </c>
      <c r="C27" s="18">
        <v>2375300</v>
      </c>
      <c r="D27" s="18">
        <v>2473971</v>
      </c>
      <c r="E27" s="18">
        <v>3719133</v>
      </c>
      <c r="F27" s="18">
        <v>3600000</v>
      </c>
      <c r="G27" s="28">
        <v>7133600</v>
      </c>
      <c r="H27" s="18">
        <v>8905900</v>
      </c>
      <c r="I27" s="18">
        <v>8095400</v>
      </c>
      <c r="J27" s="18">
        <v>7292400</v>
      </c>
      <c r="K27" s="18">
        <v>6548800</v>
      </c>
      <c r="L27" s="18">
        <v>5705300</v>
      </c>
      <c r="M27" s="18">
        <v>5007400</v>
      </c>
      <c r="N27" s="18">
        <v>4138100</v>
      </c>
      <c r="O27" s="18">
        <v>3475900</v>
      </c>
      <c r="P27" s="18">
        <v>2820300</v>
      </c>
      <c r="Q27" s="18">
        <v>2164000</v>
      </c>
      <c r="R27" s="18">
        <v>1570800</v>
      </c>
      <c r="S27" s="18">
        <v>1230800</v>
      </c>
      <c r="T27" s="18">
        <v>893500</v>
      </c>
      <c r="U27" s="18">
        <v>550800</v>
      </c>
      <c r="V27" s="18">
        <v>210800</v>
      </c>
      <c r="W27" s="18">
        <v>161900</v>
      </c>
    </row>
    <row r="28" spans="1:23" s="19" customFormat="1" ht="25.5">
      <c r="A28" s="42">
        <v>8</v>
      </c>
      <c r="B28" s="17" t="s">
        <v>93</v>
      </c>
      <c r="C28" s="18">
        <v>5000000</v>
      </c>
      <c r="D28" s="18">
        <v>41392516</v>
      </c>
      <c r="E28" s="18">
        <v>20076631</v>
      </c>
      <c r="F28" s="18">
        <v>0</v>
      </c>
      <c r="G28" s="28">
        <v>2000000</v>
      </c>
      <c r="H28" s="18">
        <v>2000000</v>
      </c>
      <c r="I28" s="18"/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</row>
    <row r="29" spans="1:23" s="19" customFormat="1" ht="25.5">
      <c r="A29" s="51">
        <v>9</v>
      </c>
      <c r="B29" s="12" t="s">
        <v>91</v>
      </c>
      <c r="C29" s="13">
        <f aca="true" t="shared" si="11" ref="C29:P29">C24-C25-C28</f>
        <v>46948300</v>
      </c>
      <c r="D29" s="14">
        <f t="shared" si="11"/>
        <v>43730348</v>
      </c>
      <c r="E29" s="14">
        <f t="shared" si="11"/>
        <v>47452072</v>
      </c>
      <c r="F29" s="15">
        <f t="shared" si="11"/>
        <v>58501708</v>
      </c>
      <c r="G29" s="14">
        <f t="shared" si="11"/>
        <v>77941000</v>
      </c>
      <c r="H29" s="14">
        <f t="shared" si="11"/>
        <v>126870000</v>
      </c>
      <c r="I29" s="14">
        <f t="shared" si="11"/>
        <v>105093392.25000006</v>
      </c>
      <c r="J29" s="14">
        <f t="shared" si="11"/>
        <v>68473138.60840005</v>
      </c>
      <c r="K29" s="14">
        <f t="shared" si="11"/>
        <v>77709819.87755203</v>
      </c>
      <c r="L29" s="14">
        <f t="shared" si="11"/>
        <v>81043319.87755203</v>
      </c>
      <c r="M29" s="14">
        <f t="shared" si="11"/>
        <v>72070180.87755203</v>
      </c>
      <c r="N29" s="14">
        <f t="shared" si="11"/>
        <v>77070180.87755203</v>
      </c>
      <c r="O29" s="14">
        <f t="shared" si="11"/>
        <v>77070180.87755203</v>
      </c>
      <c r="P29" s="14">
        <f t="shared" si="11"/>
        <v>77070180.87755203</v>
      </c>
      <c r="Q29" s="14">
        <f aca="true" t="shared" si="12" ref="Q29:W29">Q24-Q25-Q28</f>
        <v>78007680.87755203</v>
      </c>
      <c r="R29" s="14">
        <f t="shared" si="12"/>
        <v>84007680.87755203</v>
      </c>
      <c r="S29" s="14">
        <f t="shared" si="12"/>
        <v>84007680.87755203</v>
      </c>
      <c r="T29" s="14">
        <f t="shared" si="12"/>
        <v>84007680.87755203</v>
      </c>
      <c r="U29" s="14">
        <f t="shared" si="12"/>
        <v>84007680.87755203</v>
      </c>
      <c r="V29" s="14">
        <f t="shared" si="12"/>
        <v>84007680.87755203</v>
      </c>
      <c r="W29" s="14">
        <f t="shared" si="12"/>
        <v>92507680.87755203</v>
      </c>
    </row>
    <row r="30" spans="1:23" s="19" customFormat="1" ht="15" customHeight="1">
      <c r="A30" s="53">
        <v>10</v>
      </c>
      <c r="B30" s="27" t="s">
        <v>25</v>
      </c>
      <c r="C30" s="28">
        <v>59892500</v>
      </c>
      <c r="D30" s="28">
        <v>64715148</v>
      </c>
      <c r="E30" s="28">
        <v>82452072</v>
      </c>
      <c r="F30" s="28">
        <f>113911708+4000000+1000000</f>
        <v>118911708</v>
      </c>
      <c r="G30" s="28">
        <v>167901000</v>
      </c>
      <c r="H30" s="28">
        <f>131000000-2000000</f>
        <v>129000000</v>
      </c>
      <c r="I30" s="28">
        <f>87000000+14093392+4000000</f>
        <v>105093392</v>
      </c>
      <c r="J30" s="28">
        <f>70000000-1526861</f>
        <v>68473139</v>
      </c>
      <c r="K30" s="28">
        <f>55000000+25944506-1707825-1526861</f>
        <v>77709820</v>
      </c>
      <c r="L30" s="28">
        <f>55000000+29278006-1707825-1526861</f>
        <v>81043320</v>
      </c>
      <c r="M30" s="28">
        <f>55000000+29278006-10207825-2000000</f>
        <v>72070181</v>
      </c>
      <c r="N30" s="28">
        <f>55000000+34278006+10207825-20415650-2000000</f>
        <v>77070181</v>
      </c>
      <c r="O30" s="28">
        <f>55000000+34278006-10207825-2000000</f>
        <v>77070181</v>
      </c>
      <c r="P30" s="28">
        <f>55000000+34278006-10207825-2000000</f>
        <v>77070181</v>
      </c>
      <c r="Q30" s="28">
        <f>55000000+35215506-10207825-2000000</f>
        <v>78007681</v>
      </c>
      <c r="R30" s="28">
        <f>55000000+41215506-10207825-2000000</f>
        <v>84007681</v>
      </c>
      <c r="S30" s="28">
        <f>55000000+41215506-10207825-2000000</f>
        <v>84007681</v>
      </c>
      <c r="T30" s="28">
        <f>55000000+41215506-10207825-2000000</f>
        <v>84007681</v>
      </c>
      <c r="U30" s="28">
        <f>55000000+41215506-10207825-2000000</f>
        <v>84007681</v>
      </c>
      <c r="V30" s="28">
        <f>55000000+41215506-10207825-2000000</f>
        <v>84007681</v>
      </c>
      <c r="W30" s="28">
        <f>96215706+1800</f>
        <v>96217506</v>
      </c>
    </row>
    <row r="31" spans="1:23" s="19" customFormat="1" ht="28.5" customHeight="1">
      <c r="A31" s="42" t="s">
        <v>4</v>
      </c>
      <c r="B31" s="17" t="s">
        <v>85</v>
      </c>
      <c r="C31" s="18" t="s">
        <v>17</v>
      </c>
      <c r="D31" s="20" t="s">
        <v>17</v>
      </c>
      <c r="E31" s="20" t="s">
        <v>17</v>
      </c>
      <c r="F31" s="18" t="s">
        <v>17</v>
      </c>
      <c r="G31" s="22">
        <v>159919500</v>
      </c>
      <c r="H31" s="22">
        <v>105458339</v>
      </c>
      <c r="I31" s="22">
        <v>67403443</v>
      </c>
      <c r="J31" s="22">
        <v>26900000</v>
      </c>
      <c r="K31" s="22">
        <v>0</v>
      </c>
      <c r="L31" s="22">
        <v>0</v>
      </c>
      <c r="M31" s="22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s="19" customFormat="1" ht="27.75" customHeight="1">
      <c r="A32" s="42">
        <v>11</v>
      </c>
      <c r="B32" s="17" t="s">
        <v>26</v>
      </c>
      <c r="C32" s="18">
        <v>12944200</v>
      </c>
      <c r="D32" s="18">
        <v>20984800</v>
      </c>
      <c r="E32" s="18">
        <v>35000000</v>
      </c>
      <c r="F32" s="18">
        <v>60410000</v>
      </c>
      <c r="G32" s="28">
        <v>89960000</v>
      </c>
      <c r="H32" s="18">
        <v>2130000</v>
      </c>
      <c r="I32" s="18"/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</row>
    <row r="33" spans="1:23" s="29" customFormat="1" ht="19.5" customHeight="1">
      <c r="A33" s="57">
        <v>12</v>
      </c>
      <c r="B33" s="59" t="s">
        <v>27</v>
      </c>
      <c r="C33" s="55">
        <f aca="true" t="shared" si="13" ref="C33:I33">C29-C30+C32</f>
        <v>0</v>
      </c>
      <c r="D33" s="55">
        <f t="shared" si="13"/>
        <v>0</v>
      </c>
      <c r="E33" s="55">
        <f t="shared" si="13"/>
        <v>0</v>
      </c>
      <c r="F33" s="58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0.2500000596046448</v>
      </c>
      <c r="J33" s="55">
        <f aca="true" t="shared" si="14" ref="J33:P33">J29-J30-J32</f>
        <v>-0.39159995317459106</v>
      </c>
      <c r="K33" s="55">
        <f t="shared" si="14"/>
        <v>-0.12244796752929688</v>
      </c>
      <c r="L33" s="55">
        <f t="shared" si="14"/>
        <v>-0.12244796752929688</v>
      </c>
      <c r="M33" s="55">
        <f t="shared" si="14"/>
        <v>-0.12244796752929688</v>
      </c>
      <c r="N33" s="55">
        <f t="shared" si="14"/>
        <v>-0.12244796752929688</v>
      </c>
      <c r="O33" s="55">
        <f t="shared" si="14"/>
        <v>-0.12244796752929688</v>
      </c>
      <c r="P33" s="55">
        <f t="shared" si="14"/>
        <v>-0.12244796752929688</v>
      </c>
      <c r="Q33" s="55">
        <f aca="true" t="shared" si="15" ref="Q33:W33">Q29-Q30-Q32</f>
        <v>-0.12244796752929688</v>
      </c>
      <c r="R33" s="55">
        <f t="shared" si="15"/>
        <v>-0.12244796752929688</v>
      </c>
      <c r="S33" s="55">
        <f t="shared" si="15"/>
        <v>-0.12244796752929688</v>
      </c>
      <c r="T33" s="55">
        <f t="shared" si="15"/>
        <v>-0.12244796752929688</v>
      </c>
      <c r="U33" s="55">
        <f t="shared" si="15"/>
        <v>-0.12244796752929688</v>
      </c>
      <c r="V33" s="55">
        <f t="shared" si="15"/>
        <v>-0.12244796752929688</v>
      </c>
      <c r="W33" s="55">
        <f t="shared" si="15"/>
        <v>-3709825.1224479675</v>
      </c>
    </row>
    <row r="34" spans="2:23" s="19" customFormat="1" ht="12.75" hidden="1">
      <c r="B34" s="30"/>
      <c r="C34" s="31"/>
      <c r="D34" s="32"/>
      <c r="E34" s="32"/>
      <c r="F34" s="31"/>
      <c r="G34" s="56">
        <v>344513800</v>
      </c>
      <c r="H34" s="32">
        <f>G34*95%-552113</f>
        <v>326735997</v>
      </c>
      <c r="I34" s="32">
        <f>H34*99%+5666800</f>
        <v>329135437.03</v>
      </c>
      <c r="J34" s="32">
        <f>I34</f>
        <v>329135437.03</v>
      </c>
      <c r="K34" s="32">
        <f>J34*100%</f>
        <v>329135437.03</v>
      </c>
      <c r="L34" s="32">
        <f>K34*100%</f>
        <v>329135437.03</v>
      </c>
      <c r="M34" s="32">
        <f>L34*100%-1526861+2000000</f>
        <v>329608576.03</v>
      </c>
      <c r="N34" s="32">
        <f>M34*100%</f>
        <v>329608576.03</v>
      </c>
      <c r="O34" s="32">
        <f aca="true" t="shared" si="16" ref="O34:W34">N34*100%</f>
        <v>329608576.03</v>
      </c>
      <c r="P34" s="32">
        <f t="shared" si="16"/>
        <v>329608576.03</v>
      </c>
      <c r="Q34" s="32">
        <f t="shared" si="16"/>
        <v>329608576.03</v>
      </c>
      <c r="R34" s="32">
        <f>Q34*100%</f>
        <v>329608576.03</v>
      </c>
      <c r="S34" s="32">
        <f t="shared" si="16"/>
        <v>329608576.03</v>
      </c>
      <c r="T34" s="32">
        <f t="shared" si="16"/>
        <v>329608576.03</v>
      </c>
      <c r="U34" s="32">
        <f t="shared" si="16"/>
        <v>329608576.03</v>
      </c>
      <c r="V34" s="32">
        <f t="shared" si="16"/>
        <v>329608576.03</v>
      </c>
      <c r="W34" s="32">
        <f t="shared" si="16"/>
        <v>329608576.03</v>
      </c>
    </row>
    <row r="35" spans="2:8" s="19" customFormat="1" ht="12.75">
      <c r="B35" s="30"/>
      <c r="C35" s="31"/>
      <c r="D35" s="32"/>
      <c r="E35" s="32"/>
      <c r="F35" s="31"/>
      <c r="G35" s="56"/>
      <c r="H35" s="32"/>
    </row>
    <row r="36" spans="1:8" s="19" customFormat="1" ht="12.75">
      <c r="A36" s="33" t="s">
        <v>326</v>
      </c>
      <c r="B36" s="30"/>
      <c r="C36" s="31"/>
      <c r="D36" s="32"/>
      <c r="E36" s="32"/>
      <c r="F36" s="31"/>
      <c r="G36" s="56"/>
      <c r="H36" s="32"/>
    </row>
    <row r="37" spans="1:8" s="19" customFormat="1" ht="12.75">
      <c r="A37" s="33" t="s">
        <v>327</v>
      </c>
      <c r="B37" s="30"/>
      <c r="C37" s="31"/>
      <c r="D37" s="32"/>
      <c r="E37" s="32"/>
      <c r="F37" s="31"/>
      <c r="G37" s="56"/>
      <c r="H37" s="32"/>
    </row>
    <row r="38" spans="1:8" s="19" customFormat="1" ht="12.75">
      <c r="A38" s="33" t="s">
        <v>329</v>
      </c>
      <c r="B38" s="30"/>
      <c r="C38" s="31"/>
      <c r="D38" s="32"/>
      <c r="E38" s="32"/>
      <c r="F38" s="31"/>
      <c r="G38" s="56"/>
      <c r="H38" s="32"/>
    </row>
    <row r="39" spans="2:8" s="19" customFormat="1" ht="12.75">
      <c r="B39" s="30"/>
      <c r="C39" s="31"/>
      <c r="D39" s="32"/>
      <c r="E39" s="32"/>
      <c r="F39" s="31"/>
      <c r="G39" s="56"/>
      <c r="H39" s="32"/>
    </row>
    <row r="40" spans="2:8" s="19" customFormat="1" ht="12.75">
      <c r="B40" s="30"/>
      <c r="C40" s="31"/>
      <c r="D40" s="32"/>
      <c r="E40" s="32"/>
      <c r="F40" s="31"/>
      <c r="G40" s="56"/>
      <c r="H40" s="32"/>
    </row>
    <row r="41" spans="2:8" s="19" customFormat="1" ht="12.75">
      <c r="B41" s="30"/>
      <c r="C41" s="31"/>
      <c r="D41" s="32"/>
      <c r="E41" s="32"/>
      <c r="F41" s="31"/>
      <c r="G41" s="56"/>
      <c r="H41" s="32"/>
    </row>
    <row r="42" spans="2:8" s="19" customFormat="1" ht="12.75">
      <c r="B42" s="30"/>
      <c r="C42" s="31"/>
      <c r="D42" s="32"/>
      <c r="E42" s="32"/>
      <c r="F42" s="31"/>
      <c r="G42" s="56"/>
      <c r="H42" s="32"/>
    </row>
    <row r="43" spans="2:8" s="19" customFormat="1" ht="12.75">
      <c r="B43" s="30"/>
      <c r="C43" s="31"/>
      <c r="D43" s="32"/>
      <c r="E43" s="32"/>
      <c r="F43" s="31"/>
      <c r="G43" s="56"/>
      <c r="H43" s="32"/>
    </row>
    <row r="44" spans="2:8" s="19" customFormat="1" ht="12.75">
      <c r="B44" s="30"/>
      <c r="C44" s="31"/>
      <c r="D44" s="32"/>
      <c r="E44" s="32"/>
      <c r="F44" s="31"/>
      <c r="G44" s="56"/>
      <c r="H44" s="32"/>
    </row>
    <row r="45" spans="2:8" s="19" customFormat="1" ht="12.75">
      <c r="B45" s="30"/>
      <c r="C45" s="31"/>
      <c r="D45" s="32"/>
      <c r="E45" s="32"/>
      <c r="F45" s="31"/>
      <c r="G45" s="56"/>
      <c r="H45" s="32"/>
    </row>
    <row r="46" spans="2:8" s="19" customFormat="1" ht="12.75">
      <c r="B46" s="30"/>
      <c r="C46" s="31"/>
      <c r="D46" s="32"/>
      <c r="E46" s="32"/>
      <c r="F46" s="31"/>
      <c r="G46" s="56"/>
      <c r="H46" s="32"/>
    </row>
    <row r="47" spans="2:8" s="19" customFormat="1" ht="12.75">
      <c r="B47" s="30"/>
      <c r="C47" s="31"/>
      <c r="D47" s="32"/>
      <c r="E47" s="32"/>
      <c r="F47" s="31"/>
      <c r="G47" s="56"/>
      <c r="H47" s="32"/>
    </row>
    <row r="48" spans="2:8" s="19" customFormat="1" ht="12.75">
      <c r="B48" s="30"/>
      <c r="C48" s="31"/>
      <c r="D48" s="32"/>
      <c r="E48" s="32"/>
      <c r="F48" s="31"/>
      <c r="G48" s="56"/>
      <c r="H48" s="32"/>
    </row>
    <row r="49" spans="2:8" s="19" customFormat="1" ht="12.75">
      <c r="B49" s="30"/>
      <c r="C49" s="31"/>
      <c r="D49" s="32"/>
      <c r="E49" s="32"/>
      <c r="F49" s="31"/>
      <c r="G49" s="56"/>
      <c r="H49" s="32"/>
    </row>
    <row r="50" spans="2:8" s="19" customFormat="1" ht="12.75">
      <c r="B50" s="30"/>
      <c r="C50" s="31"/>
      <c r="D50" s="32"/>
      <c r="E50" s="32"/>
      <c r="F50" s="31"/>
      <c r="G50" s="56"/>
      <c r="H50" s="32"/>
    </row>
    <row r="51" spans="2:8" s="19" customFormat="1" ht="12.75">
      <c r="B51" s="30"/>
      <c r="C51" s="31"/>
      <c r="D51" s="32"/>
      <c r="E51" s="32"/>
      <c r="F51" s="31"/>
      <c r="G51" s="56"/>
      <c r="H51" s="32"/>
    </row>
    <row r="52" spans="2:8" s="19" customFormat="1" ht="12.75">
      <c r="B52" s="30"/>
      <c r="C52" s="31"/>
      <c r="D52" s="32"/>
      <c r="E52" s="32"/>
      <c r="F52" s="31"/>
      <c r="G52" s="56"/>
      <c r="H52" s="32"/>
    </row>
    <row r="53" spans="2:7" s="19" customFormat="1" ht="12.75">
      <c r="B53" s="30"/>
      <c r="C53" s="30"/>
      <c r="F53" s="30"/>
      <c r="G53" s="29"/>
    </row>
    <row r="54" spans="2:7" s="19" customFormat="1" ht="12.75">
      <c r="B54" s="30"/>
      <c r="C54" s="30"/>
      <c r="F54" s="30"/>
      <c r="G54" s="29"/>
    </row>
    <row r="55" spans="2:7" s="19" customFormat="1" ht="12.75">
      <c r="B55" s="30"/>
      <c r="C55" s="30"/>
      <c r="F55" s="30"/>
      <c r="G55" s="29"/>
    </row>
    <row r="56" spans="2:7" s="19" customFormat="1" ht="12.75">
      <c r="B56" s="30"/>
      <c r="C56" s="30"/>
      <c r="F56" s="30"/>
      <c r="G56" s="29"/>
    </row>
    <row r="57" spans="2:7" s="19" customFormat="1" ht="12.75">
      <c r="B57" s="30"/>
      <c r="C57" s="30"/>
      <c r="F57" s="30"/>
      <c r="G57" s="29"/>
    </row>
    <row r="58" spans="2:7" s="19" customFormat="1" ht="12.75">
      <c r="B58" s="30"/>
      <c r="C58" s="30"/>
      <c r="F58" s="30"/>
      <c r="G58" s="29"/>
    </row>
    <row r="59" spans="2:7" s="19" customFormat="1" ht="12.75">
      <c r="B59" s="30"/>
      <c r="C59" s="30"/>
      <c r="F59" s="30"/>
      <c r="G59" s="29"/>
    </row>
    <row r="60" spans="2:7" s="19" customFormat="1" ht="12.75">
      <c r="B60" s="30"/>
      <c r="C60" s="30"/>
      <c r="F60" s="30"/>
      <c r="G60" s="29"/>
    </row>
    <row r="61" spans="2:7" s="19" customFormat="1" ht="12.75">
      <c r="B61" s="30"/>
      <c r="C61" s="30"/>
      <c r="F61" s="30"/>
      <c r="G61" s="29"/>
    </row>
    <row r="62" spans="2:7" s="19" customFormat="1" ht="12.75">
      <c r="B62" s="30"/>
      <c r="C62" s="30"/>
      <c r="F62" s="30"/>
      <c r="G62" s="29"/>
    </row>
    <row r="63" spans="2:7" s="19" customFormat="1" ht="12.75">
      <c r="B63" s="30"/>
      <c r="C63" s="30"/>
      <c r="F63" s="30"/>
      <c r="G63" s="29"/>
    </row>
    <row r="64" spans="2:7" s="19" customFormat="1" ht="12.75">
      <c r="B64" s="30"/>
      <c r="C64" s="30"/>
      <c r="F64" s="30"/>
      <c r="G64" s="29"/>
    </row>
    <row r="65" spans="2:7" s="19" customFormat="1" ht="12.75">
      <c r="B65" s="30"/>
      <c r="C65" s="30"/>
      <c r="F65" s="30"/>
      <c r="G65" s="29"/>
    </row>
    <row r="66" spans="2:7" s="19" customFormat="1" ht="12.75">
      <c r="B66" s="30"/>
      <c r="C66" s="30"/>
      <c r="F66" s="30"/>
      <c r="G66" s="29"/>
    </row>
    <row r="67" spans="2:7" s="19" customFormat="1" ht="12.75">
      <c r="B67" s="30"/>
      <c r="C67" s="30"/>
      <c r="F67" s="30"/>
      <c r="G67" s="29"/>
    </row>
    <row r="68" spans="2:7" s="19" customFormat="1" ht="12.75">
      <c r="B68" s="30"/>
      <c r="C68" s="30"/>
      <c r="F68" s="30"/>
      <c r="G68" s="29"/>
    </row>
    <row r="69" spans="2:7" s="19" customFormat="1" ht="12.75">
      <c r="B69" s="30"/>
      <c r="C69" s="30"/>
      <c r="F69" s="30"/>
      <c r="G69" s="29"/>
    </row>
    <row r="70" spans="2:7" s="19" customFormat="1" ht="12.75">
      <c r="B70" s="30"/>
      <c r="C70" s="30"/>
      <c r="F70" s="30"/>
      <c r="G70" s="29"/>
    </row>
    <row r="71" spans="2:7" s="19" customFormat="1" ht="12.75">
      <c r="B71" s="30"/>
      <c r="C71" s="30"/>
      <c r="F71" s="30"/>
      <c r="G71" s="29"/>
    </row>
    <row r="72" spans="2:7" s="19" customFormat="1" ht="12.75">
      <c r="B72" s="30"/>
      <c r="C72" s="30"/>
      <c r="F72" s="30"/>
      <c r="G72" s="29"/>
    </row>
    <row r="73" spans="2:7" s="19" customFormat="1" ht="12.75">
      <c r="B73" s="30"/>
      <c r="C73" s="30"/>
      <c r="F73" s="30"/>
      <c r="G73" s="29"/>
    </row>
    <row r="74" spans="2:7" s="19" customFormat="1" ht="12.75">
      <c r="B74" s="30"/>
      <c r="C74" s="30"/>
      <c r="F74" s="30"/>
      <c r="G74" s="29"/>
    </row>
    <row r="75" spans="2:7" s="19" customFormat="1" ht="12.75">
      <c r="B75" s="30"/>
      <c r="C75" s="30"/>
      <c r="F75" s="30"/>
      <c r="G75" s="29"/>
    </row>
    <row r="76" spans="2:7" s="19" customFormat="1" ht="12.75">
      <c r="B76" s="30"/>
      <c r="C76" s="30"/>
      <c r="F76" s="30"/>
      <c r="G76" s="29"/>
    </row>
    <row r="77" spans="2:7" s="19" customFormat="1" ht="12.75">
      <c r="B77" s="30"/>
      <c r="C77" s="30"/>
      <c r="F77" s="30"/>
      <c r="G77" s="29"/>
    </row>
    <row r="78" spans="2:7" s="19" customFormat="1" ht="12.75">
      <c r="B78" s="30"/>
      <c r="C78" s="30"/>
      <c r="F78" s="30"/>
      <c r="G78" s="29"/>
    </row>
    <row r="79" spans="2:7" s="19" customFormat="1" ht="12.75">
      <c r="B79" s="30"/>
      <c r="C79" s="30"/>
      <c r="F79" s="30"/>
      <c r="G79" s="29"/>
    </row>
    <row r="80" spans="2:7" s="19" customFormat="1" ht="12.75">
      <c r="B80" s="30"/>
      <c r="C80" s="30"/>
      <c r="F80" s="30"/>
      <c r="G80" s="29"/>
    </row>
    <row r="81" spans="2:7" s="19" customFormat="1" ht="12.75">
      <c r="B81" s="30"/>
      <c r="C81" s="30"/>
      <c r="F81" s="30"/>
      <c r="G81" s="29"/>
    </row>
    <row r="82" spans="2:7" s="19" customFormat="1" ht="12.75">
      <c r="B82" s="30"/>
      <c r="C82" s="30"/>
      <c r="F82" s="30"/>
      <c r="G82" s="29"/>
    </row>
    <row r="83" spans="2:7" s="19" customFormat="1" ht="12.75">
      <c r="B83" s="30"/>
      <c r="C83" s="30"/>
      <c r="F83" s="30"/>
      <c r="G83" s="29"/>
    </row>
    <row r="84" spans="2:7" s="19" customFormat="1" ht="12.75">
      <c r="B84" s="30"/>
      <c r="C84" s="30"/>
      <c r="F84" s="30"/>
      <c r="G84" s="29"/>
    </row>
    <row r="85" spans="2:7" s="19" customFormat="1" ht="12.75">
      <c r="B85" s="30"/>
      <c r="C85" s="30"/>
      <c r="F85" s="30"/>
      <c r="G85" s="29"/>
    </row>
    <row r="86" spans="2:7" s="19" customFormat="1" ht="12.75">
      <c r="B86" s="30"/>
      <c r="C86" s="30"/>
      <c r="F86" s="30"/>
      <c r="G86" s="29"/>
    </row>
    <row r="87" spans="2:7" s="19" customFormat="1" ht="12.75">
      <c r="B87" s="30"/>
      <c r="C87" s="30"/>
      <c r="F87" s="30"/>
      <c r="G87" s="29"/>
    </row>
    <row r="88" spans="2:7" s="19" customFormat="1" ht="12.75">
      <c r="B88" s="30"/>
      <c r="C88" s="30"/>
      <c r="F88" s="30"/>
      <c r="G88" s="29"/>
    </row>
    <row r="89" spans="2:7" s="19" customFormat="1" ht="12.75">
      <c r="B89" s="30"/>
      <c r="C89" s="30"/>
      <c r="F89" s="30"/>
      <c r="G89" s="29"/>
    </row>
    <row r="90" spans="2:7" s="19" customFormat="1" ht="12.75">
      <c r="B90" s="30"/>
      <c r="C90" s="30"/>
      <c r="F90" s="30"/>
      <c r="G90" s="29"/>
    </row>
    <row r="91" spans="2:7" s="19" customFormat="1" ht="12.75">
      <c r="B91" s="30"/>
      <c r="C91" s="30"/>
      <c r="F91" s="30"/>
      <c r="G91" s="29"/>
    </row>
    <row r="92" spans="2:7" s="19" customFormat="1" ht="12.75">
      <c r="B92" s="30"/>
      <c r="C92" s="30"/>
      <c r="F92" s="30"/>
      <c r="G92" s="29"/>
    </row>
    <row r="93" spans="2:7" s="19" customFormat="1" ht="12.75">
      <c r="B93" s="30"/>
      <c r="C93" s="30"/>
      <c r="F93" s="30"/>
      <c r="G93" s="29"/>
    </row>
    <row r="94" spans="2:7" s="19" customFormat="1" ht="12.75">
      <c r="B94" s="30"/>
      <c r="C94" s="30"/>
      <c r="F94" s="30"/>
      <c r="G94" s="29"/>
    </row>
    <row r="95" spans="2:7" s="19" customFormat="1" ht="12.75">
      <c r="B95" s="30"/>
      <c r="C95" s="30"/>
      <c r="F95" s="30"/>
      <c r="G95" s="29"/>
    </row>
    <row r="96" spans="2:7" s="19" customFormat="1" ht="12.75">
      <c r="B96" s="30"/>
      <c r="C96" s="30"/>
      <c r="F96" s="30"/>
      <c r="G96" s="29"/>
    </row>
    <row r="97" spans="2:7" s="19" customFormat="1" ht="12.75">
      <c r="B97" s="30"/>
      <c r="C97" s="30"/>
      <c r="F97" s="30"/>
      <c r="G97" s="29"/>
    </row>
    <row r="98" spans="2:7" s="19" customFormat="1" ht="12.75">
      <c r="B98" s="30"/>
      <c r="C98" s="30"/>
      <c r="F98" s="30"/>
      <c r="G98" s="29"/>
    </row>
    <row r="99" spans="2:7" s="19" customFormat="1" ht="12.75">
      <c r="B99" s="30"/>
      <c r="C99" s="30"/>
      <c r="F99" s="30"/>
      <c r="G99" s="29"/>
    </row>
    <row r="100" spans="2:7" s="19" customFormat="1" ht="12.75">
      <c r="B100" s="30"/>
      <c r="C100" s="30"/>
      <c r="F100" s="30"/>
      <c r="G100" s="29"/>
    </row>
    <row r="101" spans="2:7" s="19" customFormat="1" ht="12.75">
      <c r="B101" s="30"/>
      <c r="C101" s="30"/>
      <c r="F101" s="30"/>
      <c r="G101" s="29"/>
    </row>
    <row r="102" spans="2:7" s="19" customFormat="1" ht="12.75">
      <c r="B102" s="30"/>
      <c r="C102" s="30"/>
      <c r="F102" s="30"/>
      <c r="G102" s="29"/>
    </row>
    <row r="103" spans="2:7" s="19" customFormat="1" ht="12.75">
      <c r="B103" s="30"/>
      <c r="C103" s="30"/>
      <c r="F103" s="30"/>
      <c r="G103" s="29"/>
    </row>
    <row r="104" spans="2:7" s="19" customFormat="1" ht="12.75">
      <c r="B104" s="30"/>
      <c r="C104" s="30"/>
      <c r="F104" s="30"/>
      <c r="G104" s="29"/>
    </row>
    <row r="105" spans="2:7" s="19" customFormat="1" ht="12.75">
      <c r="B105" s="30"/>
      <c r="C105" s="30"/>
      <c r="F105" s="30"/>
      <c r="G105" s="29"/>
    </row>
    <row r="106" spans="2:7" s="19" customFormat="1" ht="12.75">
      <c r="B106" s="30"/>
      <c r="C106" s="30"/>
      <c r="F106" s="30"/>
      <c r="G106" s="29"/>
    </row>
    <row r="107" spans="2:7" s="19" customFormat="1" ht="12.75">
      <c r="B107" s="30"/>
      <c r="C107" s="30"/>
      <c r="F107" s="30"/>
      <c r="G107" s="29"/>
    </row>
    <row r="108" spans="2:7" s="19" customFormat="1" ht="12.75">
      <c r="B108" s="30"/>
      <c r="C108" s="30"/>
      <c r="F108" s="30"/>
      <c r="G108" s="29"/>
    </row>
    <row r="109" spans="2:7" s="19" customFormat="1" ht="12.75">
      <c r="B109" s="30"/>
      <c r="C109" s="30"/>
      <c r="F109" s="30"/>
      <c r="G109" s="29"/>
    </row>
    <row r="110" spans="2:7" s="19" customFormat="1" ht="12.75">
      <c r="B110" s="30"/>
      <c r="C110" s="30"/>
      <c r="F110" s="30"/>
      <c r="G110" s="29"/>
    </row>
    <row r="111" spans="2:7" s="19" customFormat="1" ht="12.75">
      <c r="B111" s="30"/>
      <c r="C111" s="30"/>
      <c r="F111" s="30"/>
      <c r="G111" s="29"/>
    </row>
    <row r="112" spans="2:7" s="19" customFormat="1" ht="12.75">
      <c r="B112" s="30"/>
      <c r="C112" s="30"/>
      <c r="F112" s="30"/>
      <c r="G112" s="29"/>
    </row>
    <row r="113" spans="2:7" s="19" customFormat="1" ht="12.75">
      <c r="B113" s="30"/>
      <c r="C113" s="30"/>
      <c r="F113" s="30"/>
      <c r="G113" s="29"/>
    </row>
    <row r="114" spans="2:7" s="19" customFormat="1" ht="12.75">
      <c r="B114" s="30"/>
      <c r="C114" s="30"/>
      <c r="F114" s="30"/>
      <c r="G114" s="29"/>
    </row>
    <row r="115" spans="2:7" s="19" customFormat="1" ht="12.75">
      <c r="B115" s="30"/>
      <c r="C115" s="30"/>
      <c r="F115" s="30"/>
      <c r="G115" s="29"/>
    </row>
    <row r="116" spans="2:7" s="19" customFormat="1" ht="12.75">
      <c r="B116" s="30"/>
      <c r="C116" s="30"/>
      <c r="F116" s="30"/>
      <c r="G116" s="29"/>
    </row>
    <row r="117" spans="2:7" s="19" customFormat="1" ht="12.75">
      <c r="B117" s="30"/>
      <c r="C117" s="30"/>
      <c r="F117" s="30"/>
      <c r="G117" s="29"/>
    </row>
    <row r="118" spans="2:7" s="19" customFormat="1" ht="12.75">
      <c r="B118" s="30"/>
      <c r="C118" s="30"/>
      <c r="F118" s="30"/>
      <c r="G118" s="29"/>
    </row>
    <row r="119" spans="2:7" s="19" customFormat="1" ht="12.75">
      <c r="B119" s="30"/>
      <c r="C119" s="30"/>
      <c r="F119" s="30"/>
      <c r="G119" s="29"/>
    </row>
    <row r="120" spans="2:7" s="19" customFormat="1" ht="12.75">
      <c r="B120" s="30"/>
      <c r="C120" s="30"/>
      <c r="F120" s="30"/>
      <c r="G120" s="29"/>
    </row>
    <row r="121" spans="2:7" s="19" customFormat="1" ht="12.75">
      <c r="B121" s="30"/>
      <c r="C121" s="30"/>
      <c r="F121" s="30"/>
      <c r="G121" s="29"/>
    </row>
    <row r="122" spans="2:7" s="19" customFormat="1" ht="12.75">
      <c r="B122" s="30"/>
      <c r="C122" s="30"/>
      <c r="F122" s="30"/>
      <c r="G122" s="29"/>
    </row>
    <row r="123" spans="2:7" s="19" customFormat="1" ht="12.75">
      <c r="B123" s="30"/>
      <c r="C123" s="30"/>
      <c r="F123" s="30"/>
      <c r="G123" s="29"/>
    </row>
    <row r="124" spans="2:7" s="19" customFormat="1" ht="12.75">
      <c r="B124" s="30"/>
      <c r="C124" s="30"/>
      <c r="F124" s="30"/>
      <c r="G124" s="29"/>
    </row>
    <row r="125" spans="2:7" s="19" customFormat="1" ht="12.75">
      <c r="B125" s="30"/>
      <c r="C125" s="30"/>
      <c r="F125" s="30"/>
      <c r="G125" s="29"/>
    </row>
    <row r="126" spans="2:7" s="19" customFormat="1" ht="12.75">
      <c r="B126" s="30"/>
      <c r="C126" s="30"/>
      <c r="F126" s="30"/>
      <c r="G126" s="29"/>
    </row>
    <row r="127" spans="2:7" s="19" customFormat="1" ht="12.75">
      <c r="B127" s="30"/>
      <c r="C127" s="30"/>
      <c r="F127" s="30"/>
      <c r="G127" s="29"/>
    </row>
    <row r="128" spans="2:7" s="19" customFormat="1" ht="12.75">
      <c r="B128" s="30"/>
      <c r="C128" s="30"/>
      <c r="F128" s="30"/>
      <c r="G128" s="29"/>
    </row>
    <row r="129" spans="2:7" s="19" customFormat="1" ht="12.75">
      <c r="B129" s="30"/>
      <c r="C129" s="30"/>
      <c r="F129" s="30"/>
      <c r="G129" s="29"/>
    </row>
    <row r="130" spans="2:7" s="19" customFormat="1" ht="12.75">
      <c r="B130" s="30"/>
      <c r="C130" s="30"/>
      <c r="F130" s="30"/>
      <c r="G130" s="29"/>
    </row>
    <row r="131" spans="2:7" s="19" customFormat="1" ht="12.75">
      <c r="B131" s="30"/>
      <c r="C131" s="30"/>
      <c r="F131" s="30"/>
      <c r="G131" s="29"/>
    </row>
    <row r="132" spans="2:7" s="19" customFormat="1" ht="12.75">
      <c r="B132" s="30"/>
      <c r="C132" s="30"/>
      <c r="F132" s="30"/>
      <c r="G132" s="29"/>
    </row>
    <row r="133" spans="2:7" s="19" customFormat="1" ht="12.75">
      <c r="B133" s="30"/>
      <c r="C133" s="30"/>
      <c r="F133" s="30"/>
      <c r="G133" s="29"/>
    </row>
    <row r="134" spans="2:7" s="19" customFormat="1" ht="12.75">
      <c r="B134" s="30"/>
      <c r="C134" s="30"/>
      <c r="F134" s="30"/>
      <c r="G134" s="29"/>
    </row>
    <row r="135" spans="2:7" s="19" customFormat="1" ht="12.75">
      <c r="B135" s="30"/>
      <c r="C135" s="30"/>
      <c r="F135" s="30"/>
      <c r="G135" s="29"/>
    </row>
  </sheetData>
  <sheetProtection selectLockedCells="1" selectUnlockedCells="1"/>
  <printOptions horizontalCentered="1" verticalCentered="1"/>
  <pageMargins left="0" right="0" top="0.7874015748031497" bottom="0" header="0.5905511811023623" footer="0"/>
  <pageSetup firstPageNumber="2" useFirstPageNumber="1" horizontalDpi="300" verticalDpi="300" orientation="landscape" paperSize="8" scale="95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="90" zoomScaleNormal="90" zoomScalePageLayoutView="0" workbookViewId="0" topLeftCell="A9">
      <selection activeCell="A31" sqref="A31"/>
    </sheetView>
  </sheetViews>
  <sheetFormatPr defaultColWidth="11.57421875" defaultRowHeight="12.75"/>
  <cols>
    <col min="1" max="1" width="3.7109375" style="82" customWidth="1"/>
    <col min="2" max="2" width="30.140625" style="35" customWidth="1"/>
    <col min="3" max="6" width="15.57421875" style="35" hidden="1" customWidth="1"/>
    <col min="7" max="22" width="10.7109375" style="35" customWidth="1"/>
    <col min="23" max="23" width="15.00390625" style="35" hidden="1" customWidth="1"/>
    <col min="24" max="16384" width="11.57421875" style="35" customWidth="1"/>
  </cols>
  <sheetData>
    <row r="1" spans="1:16" ht="49.5" customHeight="1" hidden="1">
      <c r="A1" s="369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s="43" customFormat="1" ht="39.75" customHeight="1" hidden="1">
      <c r="A2" s="371" t="s">
        <v>81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22" s="43" customFormat="1" ht="39.75" customHeight="1">
      <c r="A3" s="95"/>
      <c r="B3" s="9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V3" s="94" t="s">
        <v>90</v>
      </c>
    </row>
    <row r="4" spans="1:23" ht="14.25" customHeight="1">
      <c r="A4" s="61"/>
      <c r="B4" s="62"/>
      <c r="C4" s="37"/>
      <c r="D4" s="36"/>
      <c r="E4" s="36"/>
      <c r="F4" s="36"/>
      <c r="G4" s="63" t="s">
        <v>82</v>
      </c>
      <c r="H4" s="64"/>
      <c r="I4" s="64"/>
      <c r="J4" s="64"/>
      <c r="K4" s="64"/>
      <c r="L4" s="64"/>
      <c r="M4" s="64"/>
      <c r="N4" s="64"/>
      <c r="O4" s="65"/>
      <c r="P4" s="66"/>
      <c r="Q4" s="66"/>
      <c r="R4" s="66"/>
      <c r="S4" s="66"/>
      <c r="T4" s="66"/>
      <c r="U4" s="66"/>
      <c r="V4" s="96"/>
      <c r="W4" s="39"/>
    </row>
    <row r="5" spans="1:23" ht="33" customHeight="1">
      <c r="A5" s="92" t="s">
        <v>0</v>
      </c>
      <c r="B5" s="93" t="s">
        <v>1</v>
      </c>
      <c r="C5" s="40">
        <v>2007</v>
      </c>
      <c r="D5" s="40">
        <v>2008</v>
      </c>
      <c r="E5" s="40">
        <v>2009</v>
      </c>
      <c r="F5" s="41" t="s">
        <v>29</v>
      </c>
      <c r="G5" s="48">
        <v>2011</v>
      </c>
      <c r="H5" s="48">
        <v>2012</v>
      </c>
      <c r="I5" s="48">
        <v>2013</v>
      </c>
      <c r="J5" s="48">
        <v>2014</v>
      </c>
      <c r="K5" s="48">
        <v>2015</v>
      </c>
      <c r="L5" s="48">
        <v>2016</v>
      </c>
      <c r="M5" s="48">
        <v>2017</v>
      </c>
      <c r="N5" s="48">
        <v>2018</v>
      </c>
      <c r="O5" s="48">
        <v>2019</v>
      </c>
      <c r="P5" s="48">
        <v>2020</v>
      </c>
      <c r="Q5" s="48">
        <v>2021</v>
      </c>
      <c r="R5" s="48">
        <v>2022</v>
      </c>
      <c r="S5" s="48">
        <v>2023</v>
      </c>
      <c r="T5" s="48">
        <v>2024</v>
      </c>
      <c r="U5" s="48">
        <v>2025</v>
      </c>
      <c r="V5" s="48">
        <v>2026</v>
      </c>
      <c r="W5" s="99">
        <v>2027</v>
      </c>
    </row>
    <row r="6" spans="1:23" s="29" customFormat="1" ht="20.25" customHeight="1">
      <c r="A6" s="68">
        <v>13</v>
      </c>
      <c r="B6" s="27" t="s">
        <v>30</v>
      </c>
      <c r="C6" s="22">
        <v>0</v>
      </c>
      <c r="D6" s="22">
        <v>0</v>
      </c>
      <c r="E6" s="22">
        <v>84018300</v>
      </c>
      <c r="F6" s="22">
        <f>E6+'WPF strona 1'!F32-'WPF strona 1'!F26</f>
        <v>132257600</v>
      </c>
      <c r="G6" s="22">
        <f>F6+'WPF strona 1'!G32-'WPF strona 1'!G26</f>
        <v>205071100</v>
      </c>
      <c r="H6" s="22">
        <f>G6+'WPF strona 1'!H32-'WPF strona 1'!H26</f>
        <v>187166700</v>
      </c>
      <c r="I6" s="22">
        <f>H6+'WPF strona 1'!I32-'WPF strona 1'!I26</f>
        <v>168229300</v>
      </c>
      <c r="J6" s="22">
        <f>I6+'WPF strona 1'!J32-'WPF strona 1'!J26</f>
        <v>150958500</v>
      </c>
      <c r="K6" s="22">
        <f>J6+'WPF strona 1'!K32-'WPF strona 1'!K26</f>
        <v>135687500</v>
      </c>
      <c r="L6" s="22">
        <f>K6+'WPF strona 1'!L32-'WPF strona 1'!L26</f>
        <v>123750000</v>
      </c>
      <c r="M6" s="22">
        <f>L6+'WPF strona 1'!M32-'WPF strona 1'!M26</f>
        <v>103312500</v>
      </c>
      <c r="N6" s="22">
        <f>M6+'WPF strona 1'!N32-'WPF strona 1'!N26</f>
        <v>87875000</v>
      </c>
      <c r="O6" s="22">
        <f>N6+'WPF strona 1'!O32-'WPF strona 1'!O26</f>
        <v>72437500</v>
      </c>
      <c r="P6" s="22">
        <f>O6+'WPF strona 1'!P32-'WPF strona 1'!P26</f>
        <v>57000000</v>
      </c>
      <c r="Q6" s="22">
        <f>P6+'WPF strona 1'!Q32-'WPF strona 1'!Q26</f>
        <v>42500000</v>
      </c>
      <c r="R6" s="22">
        <f>Q6+'WPF strona 1'!R32-'WPF strona 1'!R26</f>
        <v>34000000</v>
      </c>
      <c r="S6" s="22">
        <f>R6+'WPF strona 1'!S32-'WPF strona 1'!S26</f>
        <v>25500000</v>
      </c>
      <c r="T6" s="22">
        <f>S6+'WPF strona 1'!T32-'WPF strona 1'!T26</f>
        <v>17000000</v>
      </c>
      <c r="U6" s="22">
        <f>T6+'WPF strona 1'!U32-'WPF strona 1'!U26</f>
        <v>8500000</v>
      </c>
      <c r="V6" s="22">
        <f>U6+'WPF strona 1'!V32-'WPF strona 1'!V26</f>
        <v>0</v>
      </c>
      <c r="W6" s="100">
        <f>V6+'WPF strona 1'!W32-'WPF strona 1'!W26</f>
        <v>0</v>
      </c>
    </row>
    <row r="7" spans="1:23" s="29" customFormat="1" ht="35.25" customHeight="1">
      <c r="A7" s="53" t="s">
        <v>4</v>
      </c>
      <c r="B7" s="27" t="s">
        <v>31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101">
        <v>0</v>
      </c>
    </row>
    <row r="8" spans="1:23" s="29" customFormat="1" ht="44.25" customHeight="1">
      <c r="A8" s="53" t="s">
        <v>6</v>
      </c>
      <c r="B8" s="27" t="s">
        <v>32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101">
        <v>2027</v>
      </c>
    </row>
    <row r="9" spans="1:23" s="29" customFormat="1" ht="65.25" customHeight="1">
      <c r="A9" s="53">
        <v>14</v>
      </c>
      <c r="B9" s="27" t="s">
        <v>34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101">
        <v>0</v>
      </c>
    </row>
    <row r="10" spans="1:23" s="29" customFormat="1" ht="27" customHeight="1">
      <c r="A10" s="53">
        <v>15</v>
      </c>
      <c r="B10" s="27" t="s">
        <v>35</v>
      </c>
      <c r="C10" s="22">
        <f>'WPF strona 1'!C26</f>
        <v>24709850</v>
      </c>
      <c r="D10" s="22">
        <f>'WPF strona 1'!D26</f>
        <v>7881283</v>
      </c>
      <c r="E10" s="22">
        <v>8408700</v>
      </c>
      <c r="F10" s="22">
        <f>'WPF strona 1'!F26</f>
        <v>12170700</v>
      </c>
      <c r="G10" s="22">
        <f>'WPF strona 1'!G26</f>
        <v>17146500</v>
      </c>
      <c r="H10" s="22">
        <f>'WPF strona 1'!H26</f>
        <v>20034400</v>
      </c>
      <c r="I10" s="22">
        <f>'WPF strona 1'!I26</f>
        <v>18937400</v>
      </c>
      <c r="J10" s="22">
        <f>'WPF strona 1'!J26</f>
        <v>17270800</v>
      </c>
      <c r="K10" s="22">
        <f>'WPF strona 1'!K26</f>
        <v>15271000</v>
      </c>
      <c r="L10" s="22">
        <f>'WPF strona 1'!L26</f>
        <v>11937500</v>
      </c>
      <c r="M10" s="22">
        <f>'WPF strona 1'!M26</f>
        <v>20437500</v>
      </c>
      <c r="N10" s="22">
        <f>'WPF strona 1'!N26</f>
        <v>15437500</v>
      </c>
      <c r="O10" s="22">
        <f>'WPF strona 1'!O26</f>
        <v>15437500</v>
      </c>
      <c r="P10" s="22">
        <f>'WPF strona 1'!P26</f>
        <v>15437500</v>
      </c>
      <c r="Q10" s="22">
        <f>'WPF strona 1'!Q26</f>
        <v>14500000</v>
      </c>
      <c r="R10" s="22">
        <f>'WPF strona 1'!R26</f>
        <v>8500000</v>
      </c>
      <c r="S10" s="22">
        <f>'WPF strona 1'!S26</f>
        <v>8500000</v>
      </c>
      <c r="T10" s="22">
        <f>'WPF strona 1'!T26</f>
        <v>8500000</v>
      </c>
      <c r="U10" s="22">
        <f>'WPF strona 1'!U26</f>
        <v>8500000</v>
      </c>
      <c r="V10" s="22">
        <f>'WPF strona 1'!V26</f>
        <v>8500000</v>
      </c>
      <c r="W10" s="100">
        <f>'WPF strona 1'!W26</f>
        <v>0</v>
      </c>
    </row>
    <row r="11" spans="1:23" s="29" customFormat="1" ht="30.75" customHeight="1">
      <c r="A11" s="69">
        <v>16</v>
      </c>
      <c r="B11" s="70" t="s">
        <v>83</v>
      </c>
      <c r="C11" s="71" t="s">
        <v>17</v>
      </c>
      <c r="D11" s="71" t="s">
        <v>17</v>
      </c>
      <c r="E11" s="71" t="s">
        <v>17</v>
      </c>
      <c r="F11" s="72">
        <f>1/3*(('WPF strona 1'!C11+'WPF strona 1'!C13-'WPF strona 2'!C15)/'WPF strona 1'!C10+('WPF strona 1'!D11+'WPF strona 1'!D13-'WPF strona 2'!D15)/'WPF strona 1'!D10+('WPF strona 1'!E11+'WPF strona 1'!E13-'WPF strona 2'!E15)/'WPF strona 1'!E10)</f>
        <v>0.15191051144530301</v>
      </c>
      <c r="G11" s="73">
        <f>1/3*(('WPF strona 1'!D11+'WPF strona 1'!D13-'WPF strona 2'!D15)/'WPF strona 1'!D10+('WPF strona 1'!E11+'WPF strona 1'!E13-'WPF strona 2'!E15)/'WPF strona 1'!E10+('WPF strona 1'!F11+'WPF strona 1'!F13-'WPF strona 2'!F15)/'WPF strona 1'!F10)</f>
        <v>0.10048429747380411</v>
      </c>
      <c r="H11" s="98">
        <f>1/3*(('WPF strona 1'!E11+'WPF strona 1'!E13-'WPF strona 2'!E15)/'WPF strona 1'!E10+('WPF strona 1'!F11+'WPF strona 1'!F13-'WPF strona 2'!F15)/'WPF strona 1'!F10+('WPF strona 1'!G11+'WPF strona 1'!G13-'WPF strona 2'!G15)/'WPF strona 1'!G10)</f>
        <v>0.06101172592285496</v>
      </c>
      <c r="I11" s="73">
        <f>1/3*(('WPF strona 1'!F11+'WPF strona 1'!F13-'WPF strona 2'!F15)/'WPF strona 1'!F10+('WPF strona 1'!G11+'WPF strona 1'!G13-'WPF strona 2'!G15)/'WPF strona 1'!G10+('WPF strona 1'!H11+'WPF strona 1'!H13-'WPF strona 2'!H15)/'WPF strona 1'!H10)</f>
        <v>0.07792522446913824</v>
      </c>
      <c r="J11" s="73">
        <f>1/3*(('WPF strona 1'!G11+'WPF strona 1'!G13-'WPF strona 2'!G15)/'WPF strona 1'!G10+('WPF strona 1'!H11+'WPF strona 1'!H13-'WPF strona 2'!H15)/'WPF strona 1'!H10+('WPF strona 1'!I11+'WPF strona 1'!I13-'WPF strona 2'!I15)/'WPF strona 1'!I10)</f>
        <v>0.1156230380106823</v>
      </c>
      <c r="K11" s="73">
        <f>1/3*(('WPF strona 1'!H11+'WPF strona 1'!H13-'WPF strona 2'!H15)/'WPF strona 1'!H10+('WPF strona 1'!I11+'WPF strona 1'!I13-'WPF strona 2'!I15)/'WPF strona 1'!I10+('WPF strona 1'!J11+'WPF strona 1'!J13-'WPF strona 2'!J15)/'WPF strona 1'!J10)</f>
        <v>0.16503152569097826</v>
      </c>
      <c r="L11" s="73">
        <f>1/3*(('WPF strona 1'!I11+'WPF strona 1'!I13-'WPF strona 2'!I15)/'WPF strona 1'!I10+('WPF strona 1'!J11+'WPF strona 1'!J13-'WPF strona 2'!J15)/'WPF strona 1'!J10+('WPF strona 1'!K11+'WPF strona 1'!K13-'WPF strona 2'!K15)/'WPF strona 1'!K10)</f>
        <v>0.18650952397023707</v>
      </c>
      <c r="M11" s="73">
        <f>1/3*(('WPF strona 1'!J11+'WPF strona 1'!J13-'WPF strona 2'!J15)/'WPF strona 1'!J10+('WPF strona 1'!K11+'WPF strona 1'!K13-'WPF strona 2'!K15)/'WPF strona 1'!K10+('WPF strona 1'!L11+'WPF strona 1'!L13-'WPF strona 2'!L15)/'WPF strona 1'!L10)</f>
        <v>0.1998081502920094</v>
      </c>
      <c r="N11" s="73">
        <f>1/3*(('WPF strona 1'!K11+'WPF strona 1'!K13-'WPF strona 2'!K15)/'WPF strona 1'!K10+('WPF strona 1'!L11+'WPF strona 1'!L13-'WPF strona 2'!L15)/'WPF strona 1'!L10+('WPF strona 1'!M11+'WPF strona 1'!M13-'WPF strona 2'!M15)/'WPF strona 1'!M10)</f>
        <v>0.2080543107269764</v>
      </c>
      <c r="O11" s="73">
        <f>1/3*(('WPF strona 1'!L11+'WPF strona 1'!L13-'WPF strona 2'!L15)/'WPF strona 1'!L10+('WPF strona 1'!M11+'WPF strona 1'!M13-'WPF strona 2'!M15)/'WPF strona 1'!M10+('WPF strona 1'!N11+'WPF strona 1'!N13-'WPF strona 2'!N15)/'WPF strona 1'!N10)</f>
        <v>0.20768068616876723</v>
      </c>
      <c r="P11" s="73">
        <f>1/3*(('WPF strona 1'!M11+'WPF strona 1'!M13-'WPF strona 2'!M15)/'WPF strona 1'!M10+('WPF strona 1'!N11+'WPF strona 1'!N13-'WPF strona 2'!N15)/'WPF strona 1'!N10+('WPF strona 1'!O11+'WPF strona 1'!O13-'WPF strona 2'!O15)/'WPF strona 1'!O10)</f>
        <v>0.20730706161055804</v>
      </c>
      <c r="Q11" s="73">
        <f>1/3*(('WPF strona 1'!N11+'WPF strona 1'!N13-'WPF strona 2'!N15)/'WPF strona 1'!N10+('WPF strona 1'!O11+'WPF strona 1'!O13-'WPF strona 2'!O15)/'WPF strona 1'!O10+('WPF strona 1'!P11+'WPF strona 1'!P13-'WPF strona 2'!P15)/'WPF strona 1'!P10)</f>
        <v>0.20730706161055804</v>
      </c>
      <c r="R11" s="73">
        <f>1/3*(('WPF strona 1'!O11+'WPF strona 1'!O13-'WPF strona 2'!O15)/'WPF strona 1'!O10+('WPF strona 1'!P11+'WPF strona 1'!P13-'WPF strona 2'!P15)/'WPF strona 1'!P10+('WPF strona 1'!Q11+'WPF strona 1'!Q13-'WPF strona 2'!Q15)/'WPF strona 1'!Q10)</f>
        <v>0.20730706161055804</v>
      </c>
      <c r="S11" s="73">
        <f>1/3*(('WPF strona 1'!P11+'WPF strona 1'!P13-'WPF strona 2'!P15)/'WPF strona 1'!P10+('WPF strona 1'!Q11+'WPF strona 1'!Q13-'WPF strona 2'!Q15)/'WPF strona 1'!Q10+('WPF strona 1'!R11+'WPF strona 1'!R13-'WPF strona 2'!R15)/'WPF strona 1'!R10)</f>
        <v>0.20730706161055804</v>
      </c>
      <c r="T11" s="73">
        <f>1/3*(('WPF strona 1'!Q11+'WPF strona 1'!Q13-'WPF strona 2'!Q15)/'WPF strona 1'!Q10+('WPF strona 1'!R11+'WPF strona 1'!R13-'WPF strona 2'!R15)/'WPF strona 1'!R10+('WPF strona 1'!S11+'WPF strona 1'!S13-'WPF strona 2'!S15)/'WPF strona 1'!S10)</f>
        <v>0.20730706161055804</v>
      </c>
      <c r="U11" s="73">
        <f>1/3*(('WPF strona 1'!R11+'WPF strona 1'!R13-'WPF strona 2'!R15)/'WPF strona 1'!R10+('WPF strona 1'!S11+'WPF strona 1'!S13-'WPF strona 2'!S15)/'WPF strona 1'!S10+('WPF strona 1'!T11+'WPF strona 1'!T13-'WPF strona 2'!T15)/'WPF strona 1'!T10)</f>
        <v>0.20730706161055804</v>
      </c>
      <c r="V11" s="73">
        <f>1/3*(('WPF strona 1'!S11+'WPF strona 1'!S13-'WPF strona 2'!S15)/'WPF strona 1'!S10+('WPF strona 1'!T11+'WPF strona 1'!T13-'WPF strona 2'!T15)/'WPF strona 1'!T10+('WPF strona 1'!U11+'WPF strona 1'!U13-'WPF strona 2'!U15)/'WPF strona 1'!U10)</f>
        <v>0.20730706161055804</v>
      </c>
      <c r="W11" s="102">
        <f>1/3*(('WPF strona 1'!T11+'WPF strona 1'!T13-'WPF strona 2'!T15)/'WPF strona 1'!T10+('WPF strona 1'!U11+'WPF strona 1'!U13-'WPF strona 2'!U15)/'WPF strona 1'!U10+('WPF strona 1'!V11+'WPF strona 1'!V13-'WPF strona 2'!V15)/'WPF strona 1'!V10)</f>
        <v>0.20730706161055804</v>
      </c>
    </row>
    <row r="12" spans="1:23" s="29" customFormat="1" ht="41.25" customHeight="1">
      <c r="A12" s="69">
        <v>17</v>
      </c>
      <c r="B12" s="70" t="s">
        <v>84</v>
      </c>
      <c r="C12" s="71" t="s">
        <v>17</v>
      </c>
      <c r="D12" s="71" t="s">
        <v>17</v>
      </c>
      <c r="E12" s="71" t="s">
        <v>17</v>
      </c>
      <c r="F12" s="74">
        <f>('WPF strona 1'!F27+'WPF strona 1'!F26)/'WPF strona 1'!F10</f>
        <v>0.04194949811568532</v>
      </c>
      <c r="G12" s="73">
        <f>('WPF strona 1'!G27+'WPF strona 1'!G26)/'WPF strona 1'!G10</f>
        <v>0.05696348791536781</v>
      </c>
      <c r="H12" s="98">
        <f>('WPF strona 1'!H27+'WPF strona 1'!H26)/'WPF strona 1'!H10</f>
        <v>0.06084491599648547</v>
      </c>
      <c r="I12" s="73">
        <f>('WPF strona 1'!I27+'WPF strona 1'!I26)/'WPF strona 1'!I10</f>
        <v>0.060184399978895936</v>
      </c>
      <c r="J12" s="73">
        <f>('WPF strona 1'!J27+'WPF strona 1'!J26)/'WPF strona 1'!J10</f>
        <v>0.05920564251284634</v>
      </c>
      <c r="K12" s="73">
        <f>('WPF strona 1'!K27+'WPF strona 1'!K26)/'WPF strona 1'!K10</f>
        <v>0.05169144671151287</v>
      </c>
      <c r="L12" s="73">
        <f>('WPF strona 1'!L27+'WPF strona 1'!L26)/'WPF strona 1'!L10</f>
        <v>0.04179606852683706</v>
      </c>
      <c r="M12" s="73">
        <f>('WPF strona 1'!M27+'WPF strona 1'!M26)/'WPF strona 1'!M10</f>
        <v>0.060279365183446856</v>
      </c>
      <c r="N12" s="73">
        <f>('WPF strona 1'!N27+'WPF strona 1'!N26)/'WPF strona 1'!N10</f>
        <v>0.04637490188937989</v>
      </c>
      <c r="O12" s="73">
        <f>('WPF strona 1'!O27+'WPF strona 1'!O26)/'WPF strona 1'!O10</f>
        <v>0.044806139755338155</v>
      </c>
      <c r="P12" s="73">
        <f>('WPF strona 1'!P27+'WPF strona 1'!P26)/'WPF strona 1'!P10</f>
        <v>0.04325301312429351</v>
      </c>
      <c r="Q12" s="73">
        <f>('WPF strona 1'!Q27+'WPF strona 1'!Q26)/'WPF strona 1'!Q10</f>
        <v>0.03947727605205595</v>
      </c>
      <c r="R12" s="73">
        <f>('WPF strona 1'!R27+'WPF strona 1'!R26)/'WPF strona 1'!R10</f>
        <v>0.02385788236108048</v>
      </c>
      <c r="S12" s="73">
        <f>('WPF strona 1'!S27+'WPF strona 1'!S26)/'WPF strona 1'!S10</f>
        <v>0.02305241705516959</v>
      </c>
      <c r="T12" s="73">
        <f>('WPF strona 1'!T27+'WPF strona 1'!T26)/'WPF strona 1'!T10</f>
        <v>0.022253348091393878</v>
      </c>
      <c r="U12" s="73">
        <f>('WPF strona 1'!U27+'WPF strona 1'!U26)/'WPF strona 1'!U10</f>
        <v>0.021441486443347816</v>
      </c>
      <c r="V12" s="73">
        <f>('WPF strona 1'!V27+'WPF strona 1'!V26)/'WPF strona 1'!V10</f>
        <v>0.020636021137436927</v>
      </c>
      <c r="W12" s="103">
        <f>('WPF strona 1'!W27+'WPF strona 1'!W26)/'WPF strona 1'!W10</f>
        <v>0.0003835436265499195</v>
      </c>
    </row>
    <row r="13" spans="1:23" s="29" customFormat="1" ht="39.75" customHeight="1">
      <c r="A13" s="53">
        <v>18</v>
      </c>
      <c r="B13" s="27" t="s">
        <v>36</v>
      </c>
      <c r="C13" s="75">
        <f>'WPF strona 1'!C25/'WPF strona 1'!C10%</f>
        <v>8.352020011397023</v>
      </c>
      <c r="D13" s="75">
        <f>'WPF strona 1'!D25/'WPF strona 1'!D10%</f>
        <v>3.0999345901406237</v>
      </c>
      <c r="E13" s="75">
        <f>'WPF strona 1'!E25/'WPF strona 1'!E10%</f>
        <v>3.7195189835214926</v>
      </c>
      <c r="F13" s="75">
        <f>'WPF strona 1'!F25/'WPF strona 1'!F10%</f>
        <v>4.194949811568532</v>
      </c>
      <c r="G13" s="75">
        <f>'WPF strona 1'!G25/'WPF strona 1'!G10%</f>
        <v>5.6963487915367805</v>
      </c>
      <c r="H13" s="75">
        <f>'WPF strona 1'!H25/'WPF strona 1'!H10%</f>
        <v>6.084491599648548</v>
      </c>
      <c r="I13" s="75">
        <f>'WPF strona 1'!I25/'WPF strona 1'!I10%</f>
        <v>6.018439997889594</v>
      </c>
      <c r="J13" s="75">
        <f>'WPF strona 1'!J25/'WPF strona 1'!J10%</f>
        <v>5.920564251284634</v>
      </c>
      <c r="K13" s="75">
        <f>'WPF strona 1'!K25/'WPF strona 1'!K10%</f>
        <v>5.169144671151287</v>
      </c>
      <c r="L13" s="75">
        <f>'WPF strona 1'!L25/'WPF strona 1'!L10%</f>
        <v>4.179606852683706</v>
      </c>
      <c r="M13" s="75">
        <f>'WPF strona 1'!M25/'WPF strona 1'!M10%</f>
        <v>6.027936518344686</v>
      </c>
      <c r="N13" s="75">
        <f>'WPF strona 1'!N25/'WPF strona 1'!N10%</f>
        <v>4.6374901889379885</v>
      </c>
      <c r="O13" s="75">
        <f>'WPF strona 1'!O25/'WPF strona 1'!O10%</f>
        <v>4.4806139755338155</v>
      </c>
      <c r="P13" s="75">
        <f>'WPF strona 1'!P25/'WPF strona 1'!P10%</f>
        <v>4.325301312429351</v>
      </c>
      <c r="Q13" s="75">
        <f>'WPF strona 1'!Q25/'WPF strona 1'!Q10%</f>
        <v>3.947727605205595</v>
      </c>
      <c r="R13" s="75">
        <f>'WPF strona 1'!R25/'WPF strona 1'!R10%</f>
        <v>2.3857882361080476</v>
      </c>
      <c r="S13" s="75">
        <f>'WPF strona 1'!S25/'WPF strona 1'!S10%</f>
        <v>2.3052417055169587</v>
      </c>
      <c r="T13" s="75">
        <f>'WPF strona 1'!T25/'WPF strona 1'!T10%</f>
        <v>2.2253348091393876</v>
      </c>
      <c r="U13" s="75">
        <f>'WPF strona 1'!U25/'WPF strona 1'!U10%</f>
        <v>2.1441486443347815</v>
      </c>
      <c r="V13" s="75">
        <f>'WPF strona 1'!V25/'WPF strona 1'!V10%</f>
        <v>2.0636021137436926</v>
      </c>
      <c r="W13" s="104">
        <f>'WPF strona 1'!W25/'WPF strona 1'!W10%</f>
        <v>0.038354362654991946</v>
      </c>
    </row>
    <row r="14" spans="1:23" s="29" customFormat="1" ht="29.25" customHeight="1">
      <c r="A14" s="53">
        <v>19</v>
      </c>
      <c r="B14" s="27" t="s">
        <v>37</v>
      </c>
      <c r="C14" s="75">
        <f>C6/'WPF strona 1'!C10%</f>
        <v>0</v>
      </c>
      <c r="D14" s="75">
        <f>D6/'WPF strona 1'!D10%</f>
        <v>0</v>
      </c>
      <c r="E14" s="75">
        <f>E6/'WPF strona 1'!E10%</f>
        <v>24.855805013511986</v>
      </c>
      <c r="F14" s="75">
        <f>F6/'WPF strona 1'!F10%</f>
        <v>35.18004871048883</v>
      </c>
      <c r="G14" s="75">
        <f>G6/'WPF strona 1'!G10%</f>
        <v>48.111684575603824</v>
      </c>
      <c r="H14" s="75">
        <f>H6/'WPF strona 1'!H10%</f>
        <v>39.350463329127194</v>
      </c>
      <c r="I14" s="75">
        <f>I6/'WPF strona 1'!I10%</f>
        <v>37.45368396677251</v>
      </c>
      <c r="J14" s="75">
        <f>J6/'WPF strona 1'!J10%</f>
        <v>36.38611819826209</v>
      </c>
      <c r="K14" s="75">
        <f>K6/'WPF strona 1'!K10%</f>
        <v>32.14458049875985</v>
      </c>
      <c r="L14" s="75">
        <f>L6/'WPF strona 1'!L10%</f>
        <v>29.31656811955067</v>
      </c>
      <c r="M14" s="75">
        <f>M6/'WPF strona 1'!M10%</f>
        <v>24.47489247556427</v>
      </c>
      <c r="N14" s="75">
        <f>N6/'WPF strona 1'!N10%</f>
        <v>20.817724634388</v>
      </c>
      <c r="O14" s="75">
        <f>O6/'WPF strona 1'!O10%</f>
        <v>17.160556793211732</v>
      </c>
      <c r="P14" s="75">
        <f>P6/'WPF strona 1'!P10%</f>
        <v>13.503388952035461</v>
      </c>
      <c r="Q14" s="75">
        <f>Q6/'WPF strona 1'!Q10%</f>
        <v>10.068316323886089</v>
      </c>
      <c r="R14" s="75">
        <f>R6/'WPF strona 1'!R10%</f>
        <v>8.05465305910887</v>
      </c>
      <c r="S14" s="75">
        <f>S6/'WPF strona 1'!S10%</f>
        <v>6.0409897943316535</v>
      </c>
      <c r="T14" s="75">
        <f>T6/'WPF strona 1'!T10%</f>
        <v>4.027326529554435</v>
      </c>
      <c r="U14" s="75">
        <f>U6/'WPF strona 1'!U10%</f>
        <v>2.0136632647772177</v>
      </c>
      <c r="V14" s="75">
        <f>V6/'WPF strona 1'!V10%</f>
        <v>0</v>
      </c>
      <c r="W14" s="104">
        <f>W6/'WPF strona 1'!W10%</f>
        <v>0</v>
      </c>
    </row>
    <row r="15" spans="1:23" s="29" customFormat="1" ht="19.5" customHeight="1">
      <c r="A15" s="53">
        <v>20</v>
      </c>
      <c r="B15" s="27" t="s">
        <v>38</v>
      </c>
      <c r="C15" s="22">
        <f>'WPF strona 1'!C14+'WPF strona 1'!C27</f>
        <v>248122500</v>
      </c>
      <c r="D15" s="22">
        <f>'WPF strona 1'!D14+'WPF strona 1'!D27</f>
        <v>270945526</v>
      </c>
      <c r="E15" s="22">
        <f>'WPF strona 1'!E14+'WPF strona 1'!E27</f>
        <v>303042409</v>
      </c>
      <c r="F15" s="22">
        <f>'WPF strona 1'!F14+'WPF strona 1'!F27</f>
        <v>324661635</v>
      </c>
      <c r="G15" s="22">
        <f>'WPF strona 1'!G14+'WPF strona 1'!G27</f>
        <v>344513800</v>
      </c>
      <c r="H15" s="22">
        <f>'WPF strona 1'!H14+'WPF strona 1'!H27</f>
        <v>326735997</v>
      </c>
      <c r="I15" s="22">
        <f>'WPF strona 1'!I14+'WPF strona 1'!I27</f>
        <v>329135437.03</v>
      </c>
      <c r="J15" s="22">
        <f>'WPF strona 1'!J14+'WPF strona 1'!J27</f>
        <v>329135437.03</v>
      </c>
      <c r="K15" s="22">
        <f>'WPF strona 1'!K14+'WPF strona 1'!K27</f>
        <v>329135437.03</v>
      </c>
      <c r="L15" s="22">
        <f>'WPF strona 1'!L14+'WPF strona 1'!L27</f>
        <v>329135437.03</v>
      </c>
      <c r="M15" s="22">
        <f>'WPF strona 1'!M14+'WPF strona 1'!M27</f>
        <v>329608576.03</v>
      </c>
      <c r="N15" s="22">
        <f>'WPF strona 1'!N14+'WPF strona 1'!N27</f>
        <v>329608576.03</v>
      </c>
      <c r="O15" s="22">
        <f>'WPF strona 1'!O14+'WPF strona 1'!O27</f>
        <v>329608576.03</v>
      </c>
      <c r="P15" s="22">
        <f>'WPF strona 1'!P14+'WPF strona 1'!P27</f>
        <v>329608576.03</v>
      </c>
      <c r="Q15" s="22">
        <f>'WPF strona 1'!Q14+'WPF strona 1'!Q27</f>
        <v>329608576.03</v>
      </c>
      <c r="R15" s="22">
        <f>'WPF strona 1'!R14+'WPF strona 1'!R27</f>
        <v>329608576.03</v>
      </c>
      <c r="S15" s="22">
        <f>'WPF strona 1'!S14+'WPF strona 1'!S27</f>
        <v>329608576.03</v>
      </c>
      <c r="T15" s="22">
        <f>'WPF strona 1'!T14+'WPF strona 1'!T27</f>
        <v>329608576.03</v>
      </c>
      <c r="U15" s="22">
        <f>'WPF strona 1'!U14+'WPF strona 1'!U27</f>
        <v>329608576.03</v>
      </c>
      <c r="V15" s="22">
        <f>'WPF strona 1'!V14+'WPF strona 1'!V27</f>
        <v>329608576.03</v>
      </c>
      <c r="W15" s="100">
        <f>'WPF strona 1'!W14+'WPF strona 1'!W27</f>
        <v>329608576.03</v>
      </c>
    </row>
    <row r="16" spans="1:23" s="29" customFormat="1" ht="19.5" customHeight="1">
      <c r="A16" s="53">
        <v>21</v>
      </c>
      <c r="B16" s="27" t="s">
        <v>39</v>
      </c>
      <c r="C16" s="22">
        <f>C15+'WPF strona 1'!C30</f>
        <v>308015000</v>
      </c>
      <c r="D16" s="22">
        <f>D15+'WPF strona 1'!D30</f>
        <v>335660674</v>
      </c>
      <c r="E16" s="22">
        <f>E15+'WPF strona 1'!E30</f>
        <v>385494481</v>
      </c>
      <c r="F16" s="22">
        <f>F15+'WPF strona 1'!F30</f>
        <v>443573343</v>
      </c>
      <c r="G16" s="22">
        <f>G15+'WPF strona 1'!G30</f>
        <v>512414800</v>
      </c>
      <c r="H16" s="22">
        <f>H15+'WPF strona 1'!H30</f>
        <v>455735997</v>
      </c>
      <c r="I16" s="22">
        <f>I15+'WPF strona 1'!I30</f>
        <v>434228829.03</v>
      </c>
      <c r="J16" s="22">
        <f>J15+'WPF strona 1'!J30</f>
        <v>397608576.03</v>
      </c>
      <c r="K16" s="22">
        <f>K15+'WPF strona 1'!K30</f>
        <v>406845257.03</v>
      </c>
      <c r="L16" s="22">
        <f>L15+'WPF strona 1'!L30</f>
        <v>410178757.03</v>
      </c>
      <c r="M16" s="22">
        <f>M15+'WPF strona 1'!M30</f>
        <v>401678757.03</v>
      </c>
      <c r="N16" s="22">
        <f>N15+'WPF strona 1'!N30</f>
        <v>406678757.03</v>
      </c>
      <c r="O16" s="22">
        <f>O15+'WPF strona 1'!O30</f>
        <v>406678757.03</v>
      </c>
      <c r="P16" s="22">
        <f>P15+'WPF strona 1'!P30</f>
        <v>406678757.03</v>
      </c>
      <c r="Q16" s="22">
        <f>Q15+'WPF strona 1'!Q30</f>
        <v>407616257.03</v>
      </c>
      <c r="R16" s="22">
        <f>R15+'WPF strona 1'!R30</f>
        <v>413616257.03</v>
      </c>
      <c r="S16" s="22">
        <f>S15+'WPF strona 1'!S30</f>
        <v>413616257.03</v>
      </c>
      <c r="T16" s="22">
        <f>T15+'WPF strona 1'!T30</f>
        <v>413616257.03</v>
      </c>
      <c r="U16" s="22">
        <f>U15+'WPF strona 1'!U30</f>
        <v>413616257.03</v>
      </c>
      <c r="V16" s="22">
        <f>V15+'WPF strona 1'!V30</f>
        <v>413616257.03</v>
      </c>
      <c r="W16" s="100">
        <f>W15+'WPF strona 1'!W30</f>
        <v>425826082.03</v>
      </c>
    </row>
    <row r="17" spans="1:23" s="29" customFormat="1" ht="29.25" customHeight="1">
      <c r="A17" s="53">
        <v>22</v>
      </c>
      <c r="B17" s="27" t="s">
        <v>40</v>
      </c>
      <c r="C17" s="22">
        <f>'WPF strona 1'!C10-'WPF strona 2'!C16</f>
        <v>16280200</v>
      </c>
      <c r="D17" s="22">
        <f>'WPF strona 1'!D10-'WPF strona 2'!D16</f>
        <v>-1613174</v>
      </c>
      <c r="E17" s="22">
        <f>'WPF strona 1'!E10-'WPF strona 2'!E16</f>
        <v>-47471633</v>
      </c>
      <c r="F17" s="22">
        <f>'WPF strona 1'!F10-'WPF strona 2'!F16</f>
        <v>-67628440</v>
      </c>
      <c r="G17" s="22">
        <f>'WPF strona 1'!G10-'WPF strona 2'!G16</f>
        <v>-86175100</v>
      </c>
      <c r="H17" s="22">
        <f>'WPF strona 1'!H10-'WPF strona 2'!H16</f>
        <v>19904400</v>
      </c>
      <c r="I17" s="22">
        <f>'WPF strona 1'!I10-'WPF strona 2'!I16</f>
        <v>14937400.25000006</v>
      </c>
      <c r="J17" s="22">
        <f>'WPF strona 1'!J10-'WPF strona 2'!J16</f>
        <v>17270799.608400047</v>
      </c>
      <c r="K17" s="22">
        <f>'WPF strona 1'!K10-'WPF strona 2'!K16</f>
        <v>15270999.877552032</v>
      </c>
      <c r="L17" s="22">
        <f>'WPF strona 1'!L10-'WPF strona 2'!L16</f>
        <v>11937499.877552032</v>
      </c>
      <c r="M17" s="22">
        <f>'WPF strona 1'!M10-'WPF strona 2'!M16</f>
        <v>20437499.877552032</v>
      </c>
      <c r="N17" s="22">
        <f>'WPF strona 1'!N10-'WPF strona 2'!N16</f>
        <v>15437499.877552032</v>
      </c>
      <c r="O17" s="22">
        <f>'WPF strona 1'!O10-'WPF strona 2'!O16</f>
        <v>15437499.877552032</v>
      </c>
      <c r="P17" s="22">
        <f>'WPF strona 1'!P10-'WPF strona 2'!P16</f>
        <v>15437499.877552032</v>
      </c>
      <c r="Q17" s="22">
        <f>'WPF strona 1'!Q10-'WPF strona 2'!Q16</f>
        <v>14499999.877552032</v>
      </c>
      <c r="R17" s="22">
        <f>'WPF strona 1'!R10-'WPF strona 2'!R16</f>
        <v>8499999.877552032</v>
      </c>
      <c r="S17" s="22">
        <f>'WPF strona 1'!S10-'WPF strona 2'!S16</f>
        <v>8499999.877552032</v>
      </c>
      <c r="T17" s="22">
        <f>'WPF strona 1'!T10-'WPF strona 2'!T16</f>
        <v>8499999.877552032</v>
      </c>
      <c r="U17" s="22">
        <f>'WPF strona 1'!U10-'WPF strona 2'!U16</f>
        <v>8499999.877552032</v>
      </c>
      <c r="V17" s="22">
        <f>'WPF strona 1'!V10-'WPF strona 2'!V16</f>
        <v>8499999.877552032</v>
      </c>
      <c r="W17" s="100">
        <f>'WPF strona 1'!W10-'WPF strona 2'!W16</f>
        <v>-3709825.1224479675</v>
      </c>
    </row>
    <row r="18" spans="1:23" s="29" customFormat="1" ht="18.75" customHeight="1">
      <c r="A18" s="53">
        <v>23</v>
      </c>
      <c r="B18" s="27" t="s">
        <v>41</v>
      </c>
      <c r="C18" s="22">
        <f>'WPF strona 1'!C21+'WPF strona 1'!C32</f>
        <v>12944200</v>
      </c>
      <c r="D18" s="22">
        <f>'WPF strona 1'!D21+'WPF strona 1'!D32</f>
        <v>50886973</v>
      </c>
      <c r="E18" s="22">
        <f>'WPF strona 1'!E21+'WPF strona 1'!E32</f>
        <v>76401955</v>
      </c>
      <c r="F18" s="22">
        <f>'WPF strona 1'!F21+'WPF strona 1'!F32</f>
        <v>79799140</v>
      </c>
      <c r="G18" s="22">
        <f>'WPF strona 1'!G21+'WPF strona 1'!G32+'WPF strona 1'!G23</f>
        <v>105321600</v>
      </c>
      <c r="H18" s="22">
        <f>'WPF strona 1'!H21+'WPF strona 1'!H32+'WPF strona 1'!H23</f>
        <v>2130000</v>
      </c>
      <c r="I18" s="22">
        <f>'WPF strona 1'!I21+'WPF strona 1'!I32+'WPF strona 1'!I23</f>
        <v>4000000</v>
      </c>
      <c r="J18" s="22">
        <f>'WPF strona 1'!J21+'WPF strona 1'!J32+'WPF strona 1'!J23</f>
        <v>0</v>
      </c>
      <c r="K18" s="22">
        <f>'WPF strona 1'!K21+'WPF strona 1'!K32+'WPF strona 1'!K23</f>
        <v>0</v>
      </c>
      <c r="L18" s="22">
        <f>'WPF strona 1'!L21+'WPF strona 1'!L32+'WPF strona 1'!L23</f>
        <v>0</v>
      </c>
      <c r="M18" s="22">
        <f>'WPF strona 1'!M21+'WPF strona 1'!M32</f>
        <v>0</v>
      </c>
      <c r="N18" s="22">
        <f>'WPF strona 1'!N21+'WPF strona 1'!N32</f>
        <v>0</v>
      </c>
      <c r="O18" s="22">
        <f>'WPF strona 1'!O21+'WPF strona 1'!O32</f>
        <v>0</v>
      </c>
      <c r="P18" s="22">
        <f>'WPF strona 1'!P21+'WPF strona 1'!P32</f>
        <v>0</v>
      </c>
      <c r="Q18" s="22">
        <f>'WPF strona 1'!Q21+'WPF strona 1'!Q32</f>
        <v>0</v>
      </c>
      <c r="R18" s="22">
        <f>'WPF strona 1'!R21+'WPF strona 1'!R32</f>
        <v>0</v>
      </c>
      <c r="S18" s="22">
        <f>'WPF strona 1'!S21+'WPF strona 1'!S32</f>
        <v>0</v>
      </c>
      <c r="T18" s="22">
        <f>'WPF strona 1'!T21+'WPF strona 1'!T32</f>
        <v>0</v>
      </c>
      <c r="U18" s="22">
        <f>'WPF strona 1'!U21+'WPF strona 1'!U32</f>
        <v>0</v>
      </c>
      <c r="V18" s="22">
        <f>'WPF strona 1'!V21+'WPF strona 1'!V32</f>
        <v>0</v>
      </c>
      <c r="W18" s="100">
        <f>'WPF strona 1'!W21+'WPF strona 1'!W32</f>
        <v>0</v>
      </c>
    </row>
    <row r="19" spans="1:23" s="29" customFormat="1" ht="24.75" customHeight="1">
      <c r="A19" s="53">
        <v>24</v>
      </c>
      <c r="B19" s="27" t="s">
        <v>42</v>
      </c>
      <c r="C19" s="22">
        <f>'WPF strona 1'!C26+'WPF strona 1'!C28</f>
        <v>29709850</v>
      </c>
      <c r="D19" s="22">
        <f>'WPF strona 1'!D26+'WPF strona 1'!D28</f>
        <v>49273799</v>
      </c>
      <c r="E19" s="22">
        <f>'WPF strona 1'!E26+'WPF strona 1'!E28</f>
        <v>28615322</v>
      </c>
      <c r="F19" s="22">
        <f>'WPF strona 1'!F26+'WPF strona 1'!F28</f>
        <v>12170700</v>
      </c>
      <c r="G19" s="22">
        <f>'WPF strona 1'!G26+'WPF strona 1'!G28</f>
        <v>19146500</v>
      </c>
      <c r="H19" s="22">
        <f>'WPF strona 1'!H26+'WPF strona 1'!H28</f>
        <v>22034400</v>
      </c>
      <c r="I19" s="22">
        <f>'WPF strona 1'!I26+'WPF strona 1'!I28</f>
        <v>18937400</v>
      </c>
      <c r="J19" s="22">
        <f>'WPF strona 1'!J26+'WPF strona 1'!J28</f>
        <v>17270800</v>
      </c>
      <c r="K19" s="22">
        <f>'WPF strona 1'!K26+'WPF strona 1'!K28</f>
        <v>15271000</v>
      </c>
      <c r="L19" s="22">
        <f>'WPF strona 1'!L26+'WPF strona 1'!L28</f>
        <v>11937500</v>
      </c>
      <c r="M19" s="22">
        <f>'WPF strona 1'!M26+'WPF strona 1'!M28</f>
        <v>20437500</v>
      </c>
      <c r="N19" s="22">
        <f>'WPF strona 1'!N26+'WPF strona 1'!N28</f>
        <v>15437500</v>
      </c>
      <c r="O19" s="22">
        <f>'WPF strona 1'!O26+'WPF strona 1'!O28</f>
        <v>15437500</v>
      </c>
      <c r="P19" s="22">
        <f>'WPF strona 1'!P26+'WPF strona 1'!P28</f>
        <v>15437500</v>
      </c>
      <c r="Q19" s="22">
        <f>'WPF strona 1'!Q26+'WPF strona 1'!Q28</f>
        <v>14500000</v>
      </c>
      <c r="R19" s="22">
        <f>'WPF strona 1'!R26+'WPF strona 1'!R28</f>
        <v>8500000</v>
      </c>
      <c r="S19" s="22">
        <f>'WPF strona 1'!S26+'WPF strona 1'!S28</f>
        <v>8500000</v>
      </c>
      <c r="T19" s="22">
        <f>'WPF strona 1'!T26+'WPF strona 1'!T28</f>
        <v>8500000</v>
      </c>
      <c r="U19" s="22">
        <f>'WPF strona 1'!U26+'WPF strona 1'!U28</f>
        <v>8500000</v>
      </c>
      <c r="V19" s="22">
        <f>'WPF strona 1'!V26+'WPF strona 1'!V28</f>
        <v>8500000</v>
      </c>
      <c r="W19" s="100">
        <f>'WPF strona 1'!W26+'WPF strona 1'!W28</f>
        <v>0</v>
      </c>
    </row>
    <row r="20" spans="1:23" s="79" customFormat="1" ht="31.5" customHeight="1">
      <c r="A20" s="76">
        <v>25</v>
      </c>
      <c r="B20" s="77" t="s">
        <v>43</v>
      </c>
      <c r="C20" s="78">
        <f>'WPF strona 1'!C11+'WPF strona 1'!C21/'WPF strona 2'!C15%</f>
        <v>296653800</v>
      </c>
      <c r="D20" s="78">
        <f>'WPF strona 1'!D11+'WPF strona 1'!D21/'WPF strona 2'!D15%</f>
        <v>303157211.03623056</v>
      </c>
      <c r="E20" s="78">
        <f>'WPF strona 1'!E11+'WPF strona 1'!E21/'WPF strona 2'!E15%</f>
        <v>321073002.66209936</v>
      </c>
      <c r="F20" s="78">
        <f>'WPF strona 1'!F11+'WPF strona 1'!F21/'WPF strona 2'!F15%</f>
        <v>325945491.97210693</v>
      </c>
      <c r="G20" s="78">
        <f>('WPF strona 1'!G11+'WPF strona 1'!G21)/'WPF strona 2'!G15%</f>
        <v>104.47006767218033</v>
      </c>
      <c r="H20" s="78">
        <f>('WPF strona 1'!H11+'WPF strona 1'!H21)/'WPF strona 2'!H15%</f>
        <v>111.77994936382844</v>
      </c>
      <c r="I20" s="78">
        <f>('WPF strona 1'!I11+'WPF strona 1'!I21)/'WPF strona 2'!I15%</f>
        <v>115.40366139467959</v>
      </c>
      <c r="J20" s="78">
        <f>('WPF strona 1'!J11+'WPF strona 1'!J21)/'WPF strona 2'!J15%</f>
        <v>118.86577123651998</v>
      </c>
      <c r="K20" s="78">
        <f>('WPF strona 1'!K11+'WPF strona 1'!K21)/'WPF strona 2'!K15%</f>
        <v>122.43174437361557</v>
      </c>
      <c r="L20" s="78">
        <f>('WPF strona 1'!L11+'WPF strona 1'!L21)/'WPF strona 2'!L15%</f>
        <v>122.43174437361557</v>
      </c>
      <c r="M20" s="78">
        <f>('WPF strona 1'!M11+'WPF strona 1'!M21)/'WPF strona 2'!M15%</f>
        <v>122.25599884599946</v>
      </c>
      <c r="N20" s="78">
        <f>('WPF strona 1'!N11+'WPF strona 1'!N21)/'WPF strona 2'!N15%</f>
        <v>122.25599884599946</v>
      </c>
      <c r="O20" s="78">
        <f>('WPF strona 1'!O11+'WPF strona 1'!O21)/'WPF strona 2'!O15%</f>
        <v>122.25599884599946</v>
      </c>
      <c r="P20" s="78">
        <f>('WPF strona 1'!P11+'WPF strona 1'!P21)/'WPF strona 2'!P15%</f>
        <v>122.25599884599946</v>
      </c>
      <c r="Q20" s="78">
        <f>('WPF strona 1'!Q11+'WPF strona 1'!Q21)/'WPF strona 2'!Q15%</f>
        <v>122.25599884599946</v>
      </c>
      <c r="R20" s="78">
        <f>('WPF strona 1'!R11+'WPF strona 1'!R21)/'WPF strona 2'!R15%</f>
        <v>122.25599884599946</v>
      </c>
      <c r="S20" s="78">
        <f>('WPF strona 1'!S11+'WPF strona 1'!S21)/'WPF strona 2'!S15%</f>
        <v>122.25599884599946</v>
      </c>
      <c r="T20" s="78">
        <f>('WPF strona 1'!T11+'WPF strona 1'!T21)/'WPF strona 2'!T15%</f>
        <v>122.25599884599946</v>
      </c>
      <c r="U20" s="78">
        <f>('WPF strona 1'!U11+'WPF strona 1'!U21)/'WPF strona 2'!U15%</f>
        <v>122.25599884599946</v>
      </c>
      <c r="V20" s="78">
        <f>('WPF strona 1'!V11+'WPF strona 1'!V21)/'WPF strona 2'!V15%</f>
        <v>122.25599884599946</v>
      </c>
      <c r="W20" s="105">
        <f>('WPF strona 1'!W11+'WPF strona 1'!W21)/'WPF strona 2'!W15%</f>
        <v>122.25599884599946</v>
      </c>
    </row>
    <row r="21" spans="1:22" s="29" customFormat="1" ht="15.75" customHeight="1">
      <c r="A21" s="110"/>
      <c r="V21" s="108"/>
    </row>
    <row r="22" spans="1:22" s="29" customFormat="1" ht="30" customHeight="1" hidden="1" thickBot="1">
      <c r="A22" s="109" t="s">
        <v>78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0"/>
      <c r="R22" s="90"/>
      <c r="S22" s="90"/>
      <c r="T22" s="90"/>
      <c r="U22" s="90"/>
      <c r="V22" s="107"/>
    </row>
    <row r="23" spans="1:23" s="29" customFormat="1" ht="40.5" customHeight="1" hidden="1">
      <c r="A23" s="86">
        <v>1</v>
      </c>
      <c r="B23" s="87" t="s">
        <v>73</v>
      </c>
      <c r="C23" s="81">
        <f>'WPF strona 1'!C10-'WPF strona 2'!C16-'WPF strona 2'!C19+'WPF strona 2'!C18</f>
        <v>-485450</v>
      </c>
      <c r="D23" s="81">
        <f>'WPF strona 1'!D10-'WPF strona 2'!D16-'WPF strona 2'!D19+'WPF strona 2'!D18</f>
        <v>0</v>
      </c>
      <c r="E23" s="81">
        <f>'WPF strona 1'!E10-'WPF strona 2'!E16-'WPF strona 2'!E19+'WPF strona 2'!E18</f>
        <v>315000</v>
      </c>
      <c r="F23" s="81">
        <f>'WPF strona 1'!F10-'WPF strona 2'!F16-'WPF strona 2'!F19+'WPF strona 2'!F18</f>
        <v>0</v>
      </c>
      <c r="G23" s="81">
        <f>'WPF strona 1'!G10-'WPF strona 2'!G16-'WPF strona 2'!G19+'WPF strona 2'!G18</f>
        <v>0</v>
      </c>
      <c r="H23" s="81">
        <f>'WPF strona 1'!H10-'WPF strona 2'!H16-'WPF strona 2'!H19+'WPF strona 2'!H18+'WPF strona 1'!H23</f>
        <v>0</v>
      </c>
      <c r="I23" s="81">
        <f>'WPF strona 1'!I10-'WPF strona 2'!I16-'WPF strona 2'!I19+'WPF strona 2'!I18</f>
        <v>0.2500000596046448</v>
      </c>
      <c r="J23" s="81">
        <f>'WPF strona 1'!J10-'WPF strona 2'!J16-'WPF strona 2'!J19+'WPF strona 2'!J18</f>
        <v>-0.39159995317459106</v>
      </c>
      <c r="K23" s="81">
        <f>'WPF strona 1'!K10-'WPF strona 2'!K16-'WPF strona 2'!K19+'WPF strona 2'!K18</f>
        <v>-0.12244796752929688</v>
      </c>
      <c r="L23" s="81">
        <f>'WPF strona 1'!L10-'WPF strona 2'!L16-'WPF strona 2'!L19+'WPF strona 2'!L18</f>
        <v>-0.12244796752929688</v>
      </c>
      <c r="M23" s="81">
        <f>'WPF strona 1'!M10-'WPF strona 2'!M16-'WPF strona 2'!M19+'WPF strona 2'!M18</f>
        <v>-0.12244796752929688</v>
      </c>
      <c r="N23" s="81">
        <f>'WPF strona 1'!N10-'WPF strona 2'!N16-'WPF strona 2'!N19+'WPF strona 2'!N18</f>
        <v>-0.12244796752929688</v>
      </c>
      <c r="O23" s="81">
        <f>'WPF strona 1'!O10-'WPF strona 2'!O16-'WPF strona 2'!O19+'WPF strona 2'!O18</f>
        <v>-0.12244796752929688</v>
      </c>
      <c r="P23" s="81">
        <f>'WPF strona 1'!P10-'WPF strona 2'!P16-'WPF strona 2'!P19+'WPF strona 2'!P18</f>
        <v>-0.12244796752929688</v>
      </c>
      <c r="Q23" s="81">
        <f>'WPF strona 1'!Q10-'WPF strona 2'!Q16-'WPF strona 2'!Q19+'WPF strona 2'!Q18</f>
        <v>-0.12244796752929688</v>
      </c>
      <c r="R23" s="81">
        <f>'WPF strona 1'!R10-'WPF strona 2'!R16-'WPF strona 2'!R19+'WPF strona 2'!R18</f>
        <v>-0.12244796752929688</v>
      </c>
      <c r="S23" s="81">
        <f>'WPF strona 1'!S10-'WPF strona 2'!S16-'WPF strona 2'!S19+'WPF strona 2'!S18</f>
        <v>-0.12244796752929688</v>
      </c>
      <c r="T23" s="81">
        <f>'WPF strona 1'!T10-'WPF strona 2'!T16-'WPF strona 2'!T19+'WPF strona 2'!T18</f>
        <v>-0.12244796752929688</v>
      </c>
      <c r="U23" s="81">
        <f>'WPF strona 1'!U10-'WPF strona 2'!U16-'WPF strona 2'!U19+'WPF strona 2'!U18</f>
        <v>-0.12244796752929688</v>
      </c>
      <c r="V23" s="81">
        <f>'WPF strona 1'!V10-'WPF strona 2'!V16-'WPF strona 2'!V19+'WPF strona 2'!V18</f>
        <v>-0.12244796752929688</v>
      </c>
      <c r="W23" s="83">
        <f>'WPF strona 1'!W10-'WPF strona 2'!W16-'WPF strona 2'!W19+'WPF strona 2'!W18</f>
        <v>-3709825.1224479675</v>
      </c>
    </row>
    <row r="24" spans="1:23" s="29" customFormat="1" ht="12.75" hidden="1">
      <c r="A24" s="86">
        <v>2</v>
      </c>
      <c r="B24" s="88" t="s">
        <v>74</v>
      </c>
      <c r="C24" s="81">
        <f>'WPF strona 1'!C10-'WPF strona 1'!C12</f>
        <v>296653800</v>
      </c>
      <c r="D24" s="81">
        <f>'WPF strona 1'!D10-'WPF strona 1'!D12</f>
        <v>303157200</v>
      </c>
      <c r="E24" s="81">
        <f>'WPF strona 1'!E10-'WPF strona 1'!E12</f>
        <v>321072989</v>
      </c>
      <c r="F24" s="81">
        <f>'WPF strona 1'!F10-'WPF strona 1'!F12</f>
        <v>325945486</v>
      </c>
      <c r="G24" s="81">
        <f>'WPF strona 1'!G10-'WPF strona 1'!G12</f>
        <v>344552200</v>
      </c>
      <c r="H24" s="81">
        <f>'WPF strona 1'!H10-'WPF strona 1'!H12</f>
        <v>365225332</v>
      </c>
      <c r="I24" s="81">
        <f>'WPF strona 1'!I10-'WPF strona 1'!I12</f>
        <v>379834345.28000003</v>
      </c>
      <c r="J24" s="81">
        <f>'WPF strona 1'!J10-'WPF strona 1'!J12</f>
        <v>391229375.6384</v>
      </c>
      <c r="K24" s="81">
        <f>'WPF strona 1'!K10-'WPF strona 1'!K12</f>
        <v>402966256.907552</v>
      </c>
      <c r="L24" s="81">
        <f>'WPF strona 1'!L10-'WPF strona 1'!L12</f>
        <v>402966256.907552</v>
      </c>
      <c r="M24" s="81">
        <f>'WPF strona 1'!M10-'WPF strona 1'!M12</f>
        <v>402966256.907552</v>
      </c>
      <c r="N24" s="81">
        <f>'WPF strona 1'!N10-'WPF strona 1'!N12</f>
        <v>402966256.907552</v>
      </c>
      <c r="O24" s="81">
        <f>'WPF strona 1'!O10-'WPF strona 1'!O12</f>
        <v>402966256.907552</v>
      </c>
      <c r="P24" s="81">
        <f>'WPF strona 1'!P10-'WPF strona 1'!P12</f>
        <v>402966256.907552</v>
      </c>
      <c r="Q24" s="81">
        <f>'WPF strona 1'!Q10-'WPF strona 1'!Q12</f>
        <v>402966256.907552</v>
      </c>
      <c r="R24" s="81">
        <f>'WPF strona 1'!R10-'WPF strona 1'!R12</f>
        <v>402966256.907552</v>
      </c>
      <c r="S24" s="81">
        <f>'WPF strona 1'!S10-'WPF strona 1'!S12</f>
        <v>402966256.907552</v>
      </c>
      <c r="T24" s="81">
        <f>'WPF strona 1'!T10-'WPF strona 1'!T12</f>
        <v>402966256.907552</v>
      </c>
      <c r="U24" s="81">
        <f>'WPF strona 1'!U10-'WPF strona 1'!U12</f>
        <v>402966256.907552</v>
      </c>
      <c r="V24" s="81">
        <f>'WPF strona 1'!V10-'WPF strona 1'!V12</f>
        <v>402966256.907552</v>
      </c>
      <c r="W24" s="84">
        <f>'WPF strona 1'!W10-'WPF strona 1'!W12</f>
        <v>402966256.907552</v>
      </c>
    </row>
    <row r="25" spans="1:23" s="29" customFormat="1" ht="12.75" hidden="1">
      <c r="A25" s="86">
        <v>3</v>
      </c>
      <c r="B25" s="88" t="s">
        <v>75</v>
      </c>
      <c r="C25" s="81">
        <f>C16-'WPF strona 1'!C30-'WPF strona 1'!C25</f>
        <v>221037300</v>
      </c>
      <c r="D25" s="81">
        <f>D16-'WPF strona 1'!D30-'WPF strona 1'!D25</f>
        <v>260590272</v>
      </c>
      <c r="E25" s="81">
        <f>E16-'WPF strona 1'!E30-'WPF strona 1'!E25</f>
        <v>290469585</v>
      </c>
      <c r="F25" s="81">
        <f>F16-'WPF strona 1'!F30-'WPF strona 1'!F25</f>
        <v>308890935</v>
      </c>
      <c r="G25" s="81">
        <f>G16-'WPF strona 1'!G30-'WPF strona 1'!G25</f>
        <v>320233700</v>
      </c>
      <c r="H25" s="81">
        <f>H16-'WPF strona 1'!H30-'WPF strona 1'!H25</f>
        <v>297795697</v>
      </c>
      <c r="I25" s="81">
        <f>I16-'WPF strona 1'!I30-'WPF strona 1'!I25</f>
        <v>302102637.03</v>
      </c>
      <c r="J25" s="81">
        <f>J16-'WPF strona 1'!J30-'WPF strona 1'!J25</f>
        <v>304572237.03</v>
      </c>
      <c r="K25" s="81">
        <f>K16-'WPF strona 1'!K30-'WPF strona 1'!K25</f>
        <v>307315637.03</v>
      </c>
      <c r="L25" s="81">
        <f>L16-'WPF strona 1'!L30-'WPF strona 1'!L25</f>
        <v>311492637.03</v>
      </c>
      <c r="M25" s="81">
        <f>M16-'WPF strona 1'!M30-'WPF strona 1'!M25</f>
        <v>304163676.03</v>
      </c>
      <c r="N25" s="81">
        <f>N16-'WPF strona 1'!N30-'WPF strona 1'!N25</f>
        <v>310032976.03</v>
      </c>
      <c r="O25" s="81">
        <f>O16-'WPF strona 1'!O30-'WPF strona 1'!O25</f>
        <v>310695176.03</v>
      </c>
      <c r="P25" s="81">
        <f>P16-'WPF strona 1'!P30-'WPF strona 1'!P25</f>
        <v>311350776.03</v>
      </c>
      <c r="Q25" s="81">
        <f>Q16-'WPF strona 1'!Q30-'WPF strona 1'!Q25</f>
        <v>312944576.03</v>
      </c>
      <c r="R25" s="81">
        <f>R16-'WPF strona 1'!R30-'WPF strona 1'!R25</f>
        <v>319537776.03</v>
      </c>
      <c r="S25" s="81">
        <f>S16-'WPF strona 1'!S30-'WPF strona 1'!S25</f>
        <v>319877776.03</v>
      </c>
      <c r="T25" s="81">
        <f>T16-'WPF strona 1'!T30-'WPF strona 1'!T25</f>
        <v>320215076.03</v>
      </c>
      <c r="U25" s="81">
        <f>U16-'WPF strona 1'!U30-'WPF strona 1'!U25</f>
        <v>320557776.03</v>
      </c>
      <c r="V25" s="81">
        <f>V16-'WPF strona 1'!V30-'WPF strona 1'!V25</f>
        <v>320897776.03</v>
      </c>
      <c r="W25" s="84">
        <f>W16-'WPF strona 1'!W30-'WPF strona 1'!W25</f>
        <v>329446676.03</v>
      </c>
    </row>
    <row r="26" spans="1:23" s="29" customFormat="1" ht="12.75" hidden="1">
      <c r="A26" s="86">
        <v>4</v>
      </c>
      <c r="B26" s="88" t="s">
        <v>76</v>
      </c>
      <c r="C26" s="81">
        <f>C24-C25</f>
        <v>75616500</v>
      </c>
      <c r="D26" s="81">
        <f>D24-D25</f>
        <v>42566928</v>
      </c>
      <c r="E26" s="81">
        <f>E24-E25</f>
        <v>30603404</v>
      </c>
      <c r="F26" s="81">
        <f>F24-F25</f>
        <v>17054551</v>
      </c>
      <c r="G26" s="81">
        <f>G24-G25</f>
        <v>24318500</v>
      </c>
      <c r="H26" s="81">
        <v>20034400</v>
      </c>
      <c r="I26" s="81">
        <v>24604200</v>
      </c>
      <c r="J26" s="81">
        <v>22937600</v>
      </c>
      <c r="K26" s="81">
        <v>20937800</v>
      </c>
      <c r="L26" s="81">
        <v>17604300</v>
      </c>
      <c r="M26" s="81">
        <v>17604300</v>
      </c>
      <c r="N26" s="81">
        <v>12604300</v>
      </c>
      <c r="O26" s="81">
        <v>12604300</v>
      </c>
      <c r="P26" s="81">
        <v>12604300</v>
      </c>
      <c r="Q26" s="81">
        <v>11666800</v>
      </c>
      <c r="R26" s="81">
        <v>5666800</v>
      </c>
      <c r="S26" s="81">
        <v>5666800</v>
      </c>
      <c r="T26" s="81">
        <v>5666800</v>
      </c>
      <c r="U26" s="81">
        <v>5666800</v>
      </c>
      <c r="V26" s="81">
        <v>5666800</v>
      </c>
      <c r="W26" s="84">
        <v>5664800</v>
      </c>
    </row>
    <row r="27" spans="1:23" s="29" customFormat="1" ht="13.5" hidden="1" thickBot="1">
      <c r="A27" s="86">
        <v>5</v>
      </c>
      <c r="B27" s="88" t="s">
        <v>77</v>
      </c>
      <c r="C27" s="89">
        <f>C26/C24</f>
        <v>0.2548981337842293</v>
      </c>
      <c r="D27" s="89">
        <f aca="true" t="shared" si="0" ref="D27:P27">D26/D24</f>
        <v>0.14041206344431206</v>
      </c>
      <c r="E27" s="89">
        <f t="shared" si="0"/>
        <v>0.0953160341993141</v>
      </c>
      <c r="F27" s="89">
        <f t="shared" si="0"/>
        <v>0.05232332317067278</v>
      </c>
      <c r="G27" s="89">
        <f t="shared" si="0"/>
        <v>0.07058001661286736</v>
      </c>
      <c r="H27" s="89">
        <f t="shared" si="0"/>
        <v>0.05485490256190663</v>
      </c>
      <c r="I27" s="89">
        <f t="shared" si="0"/>
        <v>0.06477613282143478</v>
      </c>
      <c r="J27" s="89">
        <f t="shared" si="0"/>
        <v>0.058629544273281875</v>
      </c>
      <c r="K27" s="89">
        <f t="shared" si="0"/>
        <v>0.05195918924001501</v>
      </c>
      <c r="L27" s="89">
        <f t="shared" si="0"/>
        <v>0.04368678443475419</v>
      </c>
      <c r="M27" s="89">
        <f t="shared" si="0"/>
        <v>0.04368678443475419</v>
      </c>
      <c r="N27" s="89">
        <f t="shared" si="0"/>
        <v>0.031278797626203385</v>
      </c>
      <c r="O27" s="89">
        <f t="shared" si="0"/>
        <v>0.031278797626203385</v>
      </c>
      <c r="P27" s="89">
        <f t="shared" si="0"/>
        <v>0.031278797626203385</v>
      </c>
      <c r="Q27" s="89">
        <f aca="true" t="shared" si="1" ref="Q27:W27">Q26/Q24</f>
        <v>0.028952300099600106</v>
      </c>
      <c r="R27" s="89">
        <f t="shared" si="1"/>
        <v>0.01406271592933914</v>
      </c>
      <c r="S27" s="89">
        <f t="shared" si="1"/>
        <v>0.01406271592933914</v>
      </c>
      <c r="T27" s="89">
        <f t="shared" si="1"/>
        <v>0.01406271592933914</v>
      </c>
      <c r="U27" s="89">
        <f t="shared" si="1"/>
        <v>0.01406271592933914</v>
      </c>
      <c r="V27" s="106">
        <f t="shared" si="1"/>
        <v>0.01406271592933914</v>
      </c>
      <c r="W27" s="85">
        <f t="shared" si="1"/>
        <v>0.01405775273461572</v>
      </c>
    </row>
    <row r="28" spans="1:22" s="29" customFormat="1" ht="12.75">
      <c r="A28" s="33" t="s">
        <v>326</v>
      </c>
      <c r="V28" s="7"/>
    </row>
    <row r="29" s="29" customFormat="1" ht="12.75">
      <c r="A29" s="33" t="s">
        <v>327</v>
      </c>
    </row>
    <row r="30" s="29" customFormat="1" ht="12.75">
      <c r="A30" s="33" t="s">
        <v>329</v>
      </c>
    </row>
    <row r="31" s="29" customFormat="1" ht="12.75">
      <c r="A31" s="80"/>
    </row>
    <row r="32" s="29" customFormat="1" ht="12.75">
      <c r="A32" s="80"/>
    </row>
    <row r="33" s="29" customFormat="1" ht="12.75">
      <c r="A33" s="80"/>
    </row>
    <row r="34" s="29" customFormat="1" ht="12.75">
      <c r="A34" s="80"/>
    </row>
    <row r="35" s="29" customFormat="1" ht="12.75">
      <c r="A35" s="80"/>
    </row>
    <row r="36" s="29" customFormat="1" ht="12.75">
      <c r="A36" s="80"/>
    </row>
    <row r="37" s="29" customFormat="1" ht="12.75">
      <c r="A37" s="80"/>
    </row>
    <row r="38" s="29" customFormat="1" ht="12.75">
      <c r="A38" s="80"/>
    </row>
    <row r="39" s="29" customFormat="1" ht="12.75">
      <c r="A39" s="80"/>
    </row>
    <row r="40" s="29" customFormat="1" ht="12.75">
      <c r="A40" s="80"/>
    </row>
    <row r="41" s="29" customFormat="1" ht="12.75">
      <c r="A41" s="80"/>
    </row>
    <row r="42" s="29" customFormat="1" ht="12.75">
      <c r="A42" s="80"/>
    </row>
    <row r="43" s="29" customFormat="1" ht="12.75">
      <c r="A43" s="80"/>
    </row>
    <row r="44" s="29" customFormat="1" ht="12.75">
      <c r="A44" s="80"/>
    </row>
    <row r="45" s="29" customFormat="1" ht="12.75">
      <c r="A45" s="80"/>
    </row>
    <row r="46" s="29" customFormat="1" ht="12.75">
      <c r="A46" s="80"/>
    </row>
    <row r="47" s="29" customFormat="1" ht="12.75">
      <c r="A47" s="80"/>
    </row>
    <row r="48" s="29" customFormat="1" ht="12.75">
      <c r="A48" s="80"/>
    </row>
  </sheetData>
  <sheetProtection selectLockedCells="1" selectUnlockedCells="1"/>
  <mergeCells count="2">
    <mergeCell ref="A1:P1"/>
    <mergeCell ref="A2:P2"/>
  </mergeCells>
  <printOptions horizontalCentered="1"/>
  <pageMargins left="0" right="0" top="0.7874015748031497" bottom="0.4724409448818898" header="0.5118110236220472" footer="0.3937007874015748"/>
  <pageSetup firstPageNumber="3" useFirstPageNumber="1" horizontalDpi="300" verticalDpi="300" orientation="landscape" paperSize="8" r:id="rId1"/>
  <headerFooter alignWithMargins="0">
    <oddHeader>&amp;C&amp;"Calibri,Standardowy"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="90" zoomScaleNormal="90" zoomScalePageLayoutView="0" workbookViewId="0" topLeftCell="A151">
      <selection activeCell="B164" sqref="B164"/>
    </sheetView>
  </sheetViews>
  <sheetFormatPr defaultColWidth="11.57421875" defaultRowHeight="12.75"/>
  <cols>
    <col min="1" max="1" width="6.140625" style="111" customWidth="1"/>
    <col min="2" max="2" width="42.28125" style="112" customWidth="1"/>
    <col min="3" max="3" width="14.8515625" style="30" customWidth="1"/>
    <col min="4" max="4" width="8.421875" style="113" customWidth="1"/>
    <col min="5" max="5" width="8.57421875" style="113" customWidth="1"/>
    <col min="6" max="6" width="15.00390625" style="114" customWidth="1"/>
    <col min="7" max="7" width="14.57421875" style="115" customWidth="1"/>
    <col min="8" max="8" width="13.421875" style="115" customWidth="1"/>
    <col min="9" max="9" width="13.57421875" style="115" customWidth="1"/>
    <col min="10" max="10" width="12.8515625" style="115" customWidth="1"/>
    <col min="11" max="11" width="13.421875" style="333" customWidth="1"/>
    <col min="12" max="16384" width="11.57421875" style="112" customWidth="1"/>
  </cols>
  <sheetData>
    <row r="1" spans="9:11" ht="15">
      <c r="I1" s="112"/>
      <c r="J1" s="376" t="s">
        <v>95</v>
      </c>
      <c r="K1" s="377"/>
    </row>
    <row r="2" spans="9:11" ht="12" customHeight="1">
      <c r="I2" s="112"/>
      <c r="J2" s="376" t="s">
        <v>96</v>
      </c>
      <c r="K2" s="377"/>
    </row>
    <row r="3" spans="9:11" ht="11.25" customHeight="1">
      <c r="I3" s="112"/>
      <c r="J3" s="376" t="s">
        <v>88</v>
      </c>
      <c r="K3" s="377"/>
    </row>
    <row r="4" spans="9:11" ht="15" customHeight="1">
      <c r="I4" s="112"/>
      <c r="J4" s="378" t="s">
        <v>97</v>
      </c>
      <c r="K4" s="379"/>
    </row>
    <row r="5" spans="1:11" s="116" customFormat="1" ht="12" customHeight="1">
      <c r="A5" s="372" t="s">
        <v>98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1" ht="12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</row>
    <row r="7" spans="1:17" ht="9" customHeight="1">
      <c r="A7" s="117"/>
      <c r="B7" s="4"/>
      <c r="C7" s="117"/>
      <c r="D7" s="117"/>
      <c r="E7" s="117"/>
      <c r="F7" s="4"/>
      <c r="G7" s="117"/>
      <c r="H7" s="117"/>
      <c r="I7" s="117"/>
      <c r="J7" s="117"/>
      <c r="K7" s="363" t="s">
        <v>99</v>
      </c>
      <c r="L7" s="116"/>
      <c r="M7" s="116"/>
      <c r="N7" s="116"/>
      <c r="O7" s="116"/>
      <c r="P7" s="116"/>
      <c r="Q7" s="116"/>
    </row>
    <row r="8" spans="1:11" s="79" customFormat="1" ht="25.5" customHeight="1" thickBot="1">
      <c r="A8" s="374" t="s">
        <v>28</v>
      </c>
      <c r="B8" s="389" t="s">
        <v>44</v>
      </c>
      <c r="C8" s="391" t="s">
        <v>45</v>
      </c>
      <c r="D8" s="392" t="s">
        <v>100</v>
      </c>
      <c r="E8" s="392"/>
      <c r="F8" s="385" t="s">
        <v>46</v>
      </c>
      <c r="G8" s="380" t="s">
        <v>101</v>
      </c>
      <c r="H8" s="381"/>
      <c r="I8" s="381"/>
      <c r="J8" s="382"/>
      <c r="K8" s="383" t="s">
        <v>47</v>
      </c>
    </row>
    <row r="9" spans="1:11" s="79" customFormat="1" ht="24" customHeight="1">
      <c r="A9" s="375"/>
      <c r="B9" s="390"/>
      <c r="C9" s="391"/>
      <c r="D9" s="118" t="s">
        <v>48</v>
      </c>
      <c r="E9" s="118" t="s">
        <v>49</v>
      </c>
      <c r="F9" s="386"/>
      <c r="G9" s="118">
        <v>2011</v>
      </c>
      <c r="H9" s="118">
        <v>2012</v>
      </c>
      <c r="I9" s="118">
        <v>2013</v>
      </c>
      <c r="J9" s="118">
        <v>2014</v>
      </c>
      <c r="K9" s="384"/>
    </row>
    <row r="10" spans="1:11" s="120" customFormat="1" ht="12" customHeight="1">
      <c r="A10" s="364">
        <v>1</v>
      </c>
      <c r="B10" s="365">
        <v>2</v>
      </c>
      <c r="C10" s="366">
        <v>3</v>
      </c>
      <c r="D10" s="366">
        <v>4</v>
      </c>
      <c r="E10" s="366">
        <v>5</v>
      </c>
      <c r="F10" s="367">
        <v>6</v>
      </c>
      <c r="G10" s="366">
        <v>7</v>
      </c>
      <c r="H10" s="366">
        <v>8</v>
      </c>
      <c r="I10" s="366">
        <v>9</v>
      </c>
      <c r="J10" s="366">
        <v>10</v>
      </c>
      <c r="K10" s="368">
        <v>11</v>
      </c>
    </row>
    <row r="11" spans="1:11" s="125" customFormat="1" ht="27" customHeight="1">
      <c r="A11" s="119"/>
      <c r="B11" s="121" t="s">
        <v>102</v>
      </c>
      <c r="C11" s="122"/>
      <c r="D11" s="123"/>
      <c r="E11" s="123"/>
      <c r="F11" s="124">
        <f aca="true" t="shared" si="0" ref="F11:K11">F14+F137</f>
        <v>462473448</v>
      </c>
      <c r="G11" s="124">
        <f t="shared" si="0"/>
        <v>188230143</v>
      </c>
      <c r="H11" s="124">
        <f t="shared" si="0"/>
        <v>132832259</v>
      </c>
      <c r="I11" s="124">
        <f t="shared" si="0"/>
        <v>93170808</v>
      </c>
      <c r="J11" s="124">
        <f t="shared" si="0"/>
        <v>48240238</v>
      </c>
      <c r="K11" s="124">
        <f t="shared" si="0"/>
        <v>462473448</v>
      </c>
    </row>
    <row r="12" spans="1:11" s="131" customFormat="1" ht="16.5" customHeight="1">
      <c r="A12" s="126"/>
      <c r="B12" s="127" t="s">
        <v>50</v>
      </c>
      <c r="C12" s="128"/>
      <c r="D12" s="129"/>
      <c r="E12" s="129"/>
      <c r="F12" s="130">
        <f>SUM(G12:J12)</f>
        <v>102792166</v>
      </c>
      <c r="G12" s="130">
        <f>G18+G138</f>
        <v>28310643</v>
      </c>
      <c r="H12" s="130">
        <f>H18+H138</f>
        <v>27373920</v>
      </c>
      <c r="I12" s="130">
        <f>I18+I138</f>
        <v>25767365</v>
      </c>
      <c r="J12" s="130">
        <f>J18+J138</f>
        <v>21340238</v>
      </c>
      <c r="K12" s="130">
        <f>K18+K138</f>
        <v>102792166</v>
      </c>
    </row>
    <row r="13" spans="1:11" s="131" customFormat="1" ht="19.5" customHeight="1" thickBot="1">
      <c r="A13" s="132"/>
      <c r="B13" s="133" t="s">
        <v>51</v>
      </c>
      <c r="C13" s="134"/>
      <c r="D13" s="135"/>
      <c r="E13" s="135"/>
      <c r="F13" s="136">
        <f aca="true" t="shared" si="1" ref="F13:K13">F11-F12</f>
        <v>359681282</v>
      </c>
      <c r="G13" s="136">
        <f t="shared" si="1"/>
        <v>159919500</v>
      </c>
      <c r="H13" s="136">
        <f t="shared" si="1"/>
        <v>105458339</v>
      </c>
      <c r="I13" s="136">
        <f t="shared" si="1"/>
        <v>67403443</v>
      </c>
      <c r="J13" s="136">
        <f t="shared" si="1"/>
        <v>26900000</v>
      </c>
      <c r="K13" s="136">
        <f t="shared" si="1"/>
        <v>359681282</v>
      </c>
    </row>
    <row r="14" spans="1:11" s="125" customFormat="1" ht="24" customHeight="1" thickBot="1" thickTop="1">
      <c r="A14" s="137" t="s">
        <v>52</v>
      </c>
      <c r="B14" s="138" t="s">
        <v>103</v>
      </c>
      <c r="C14" s="139"/>
      <c r="D14" s="140"/>
      <c r="E14" s="140"/>
      <c r="F14" s="141">
        <f aca="true" t="shared" si="2" ref="F14:K14">SUM(F15:F16)</f>
        <v>368950288</v>
      </c>
      <c r="G14" s="141">
        <f t="shared" si="2"/>
        <v>163646253</v>
      </c>
      <c r="H14" s="141">
        <f t="shared" si="2"/>
        <v>108248369</v>
      </c>
      <c r="I14" s="141">
        <f t="shared" si="2"/>
        <v>69840118</v>
      </c>
      <c r="J14" s="141">
        <f t="shared" si="2"/>
        <v>27215548</v>
      </c>
      <c r="K14" s="141">
        <f t="shared" si="2"/>
        <v>368950288</v>
      </c>
    </row>
    <row r="15" spans="1:11" s="125" customFormat="1" ht="15.75" customHeight="1" thickTop="1">
      <c r="A15" s="142"/>
      <c r="B15" s="143" t="s">
        <v>79</v>
      </c>
      <c r="C15" s="144"/>
      <c r="D15" s="145"/>
      <c r="E15" s="145"/>
      <c r="F15" s="146">
        <f aca="true" t="shared" si="3" ref="F15:K15">F18</f>
        <v>9269006</v>
      </c>
      <c r="G15" s="146">
        <f t="shared" si="3"/>
        <v>3726753</v>
      </c>
      <c r="H15" s="146">
        <f t="shared" si="3"/>
        <v>2790030</v>
      </c>
      <c r="I15" s="146">
        <f t="shared" si="3"/>
        <v>2436675</v>
      </c>
      <c r="J15" s="146">
        <f t="shared" si="3"/>
        <v>315548</v>
      </c>
      <c r="K15" s="146">
        <f t="shared" si="3"/>
        <v>9269006</v>
      </c>
    </row>
    <row r="16" spans="1:11" s="153" customFormat="1" ht="15.75" thickBot="1">
      <c r="A16" s="147"/>
      <c r="B16" s="148" t="s">
        <v>51</v>
      </c>
      <c r="C16" s="149"/>
      <c r="D16" s="150"/>
      <c r="E16" s="150"/>
      <c r="F16" s="151">
        <f>SUM(G16:J16)</f>
        <v>359681282</v>
      </c>
      <c r="G16" s="151">
        <f>G19+G76</f>
        <v>159919500</v>
      </c>
      <c r="H16" s="151">
        <f>H19+H76</f>
        <v>105458339</v>
      </c>
      <c r="I16" s="151">
        <f>I19+I76</f>
        <v>67403443</v>
      </c>
      <c r="J16" s="151">
        <f>J19+J76</f>
        <v>26900000</v>
      </c>
      <c r="K16" s="152">
        <f>F16</f>
        <v>359681282</v>
      </c>
    </row>
    <row r="17" spans="1:11" s="79" customFormat="1" ht="49.5" customHeight="1" thickBot="1" thickTop="1">
      <c r="A17" s="137" t="s">
        <v>53</v>
      </c>
      <c r="B17" s="138" t="s">
        <v>104</v>
      </c>
      <c r="C17" s="139"/>
      <c r="D17" s="140"/>
      <c r="E17" s="140"/>
      <c r="F17" s="141">
        <f aca="true" t="shared" si="4" ref="F17:K17">F20+F28+F31+F36+F41+F48+F51+F53+F56+F58+F62+F64+F67+F70+F73+F60</f>
        <v>257422088</v>
      </c>
      <c r="G17" s="141">
        <f t="shared" si="4"/>
        <v>105265553</v>
      </c>
      <c r="H17" s="141">
        <f t="shared" si="4"/>
        <v>76000869</v>
      </c>
      <c r="I17" s="141">
        <f t="shared" si="4"/>
        <v>61840118</v>
      </c>
      <c r="J17" s="141">
        <f t="shared" si="4"/>
        <v>14315548</v>
      </c>
      <c r="K17" s="141">
        <f t="shared" si="4"/>
        <v>257422088</v>
      </c>
    </row>
    <row r="18" spans="1:11" s="131" customFormat="1" ht="15.75" customHeight="1" thickTop="1">
      <c r="A18" s="154"/>
      <c r="B18" s="143" t="s">
        <v>79</v>
      </c>
      <c r="C18" s="155"/>
      <c r="D18" s="156"/>
      <c r="E18" s="156"/>
      <c r="F18" s="157">
        <f aca="true" t="shared" si="5" ref="F18:K18">F21+F22+F23+F24+F25+F26+F27+F29+F30+F32+F33+F34+F35+F37-F38+F39-F40+F42+F43+F49+F50+F52+F69</f>
        <v>9269006</v>
      </c>
      <c r="G18" s="157">
        <f t="shared" si="5"/>
        <v>3726753</v>
      </c>
      <c r="H18" s="157">
        <f t="shared" si="5"/>
        <v>2790030</v>
      </c>
      <c r="I18" s="157">
        <f t="shared" si="5"/>
        <v>2436675</v>
      </c>
      <c r="J18" s="157">
        <f t="shared" si="5"/>
        <v>315548</v>
      </c>
      <c r="K18" s="157">
        <f t="shared" si="5"/>
        <v>9269006</v>
      </c>
    </row>
    <row r="19" spans="1:11" s="131" customFormat="1" ht="18" customHeight="1">
      <c r="A19" s="126"/>
      <c r="B19" s="127" t="s">
        <v>51</v>
      </c>
      <c r="C19" s="158"/>
      <c r="D19" s="159"/>
      <c r="E19" s="159"/>
      <c r="F19" s="130">
        <f>F38+F40+F45+F47+F54+F55+F57+F59+F61+F63+F65+F66+F68-F69+F71+F72+F74</f>
        <v>248153082</v>
      </c>
      <c r="G19" s="130">
        <f>G38+G40+G45+G47+G54+G55+G57+G59+G61+G63+G65+G66+G68-G69+G71+G72+G74</f>
        <v>101538800</v>
      </c>
      <c r="H19" s="130">
        <f>H38+H40+H45+H47+H54+H55+H57+H59+H61+H63+H65+H66+H68-H69+H71+H72+H74</f>
        <v>73210839</v>
      </c>
      <c r="I19" s="130">
        <f>I38+I40+I45+I47+I54+I55+I57+I59+I61+I63+I65+I66+I68-I69+I71+I72+I74</f>
        <v>59403443</v>
      </c>
      <c r="J19" s="130">
        <f>J38+J40+J45+J47+J54+J55+J57+J59+J61+J63+J65+J66+J68-J69+J71+J72+J74</f>
        <v>14000000</v>
      </c>
      <c r="K19" s="130">
        <f>K38+K40+K45+K47+K54+K55+K57+K59+K61+K63+K65+K66+K68+K71+K72-K69+K74</f>
        <v>248153082</v>
      </c>
    </row>
    <row r="20" spans="1:11" s="165" customFormat="1" ht="29.25" customHeight="1">
      <c r="A20" s="160" t="s">
        <v>54</v>
      </c>
      <c r="B20" s="161" t="s">
        <v>105</v>
      </c>
      <c r="C20" s="162"/>
      <c r="D20" s="163"/>
      <c r="E20" s="163"/>
      <c r="F20" s="164">
        <f aca="true" t="shared" si="6" ref="F20:K20">SUM(F21:F27)</f>
        <v>257127</v>
      </c>
      <c r="G20" s="164">
        <f t="shared" si="6"/>
        <v>181556</v>
      </c>
      <c r="H20" s="164">
        <f t="shared" si="6"/>
        <v>75571</v>
      </c>
      <c r="I20" s="164"/>
      <c r="J20" s="164"/>
      <c r="K20" s="164">
        <f t="shared" si="6"/>
        <v>257127</v>
      </c>
    </row>
    <row r="21" spans="1:11" s="79" customFormat="1" ht="92.25" customHeight="1">
      <c r="A21" s="166" t="s">
        <v>55</v>
      </c>
      <c r="B21" s="167" t="s">
        <v>106</v>
      </c>
      <c r="C21" s="168" t="s">
        <v>107</v>
      </c>
      <c r="D21" s="169">
        <v>2009</v>
      </c>
      <c r="E21" s="169">
        <v>2011</v>
      </c>
      <c r="F21" s="170">
        <f aca="true" t="shared" si="7" ref="F21:F74">SUM(G21:J21)</f>
        <v>15007</v>
      </c>
      <c r="G21" s="171">
        <v>15007</v>
      </c>
      <c r="H21" s="171"/>
      <c r="I21" s="172"/>
      <c r="J21" s="172"/>
      <c r="K21" s="173">
        <f aca="true" t="shared" si="8" ref="K21:K41">F21</f>
        <v>15007</v>
      </c>
    </row>
    <row r="22" spans="1:11" s="79" customFormat="1" ht="78.75" customHeight="1">
      <c r="A22" s="166" t="s">
        <v>56</v>
      </c>
      <c r="B22" s="167" t="s">
        <v>108</v>
      </c>
      <c r="C22" s="174" t="s">
        <v>109</v>
      </c>
      <c r="D22" s="169">
        <v>2010</v>
      </c>
      <c r="E22" s="169">
        <v>2012</v>
      </c>
      <c r="F22" s="170">
        <f t="shared" si="7"/>
        <v>62421</v>
      </c>
      <c r="G22" s="171">
        <v>25840</v>
      </c>
      <c r="H22" s="171">
        <v>36581</v>
      </c>
      <c r="I22" s="172"/>
      <c r="J22" s="172"/>
      <c r="K22" s="173">
        <f t="shared" si="8"/>
        <v>62421</v>
      </c>
    </row>
    <row r="23" spans="1:11" s="79" customFormat="1" ht="90.75" customHeight="1">
      <c r="A23" s="166" t="s">
        <v>110</v>
      </c>
      <c r="B23" s="167" t="s">
        <v>111</v>
      </c>
      <c r="C23" s="168" t="s">
        <v>112</v>
      </c>
      <c r="D23" s="169">
        <v>2010</v>
      </c>
      <c r="E23" s="169">
        <v>2012</v>
      </c>
      <c r="F23" s="170">
        <f t="shared" si="7"/>
        <v>46916</v>
      </c>
      <c r="G23" s="171">
        <v>32232</v>
      </c>
      <c r="H23" s="171">
        <v>14684</v>
      </c>
      <c r="I23" s="172"/>
      <c r="J23" s="172"/>
      <c r="K23" s="173">
        <f t="shared" si="8"/>
        <v>46916</v>
      </c>
    </row>
    <row r="24" spans="1:11" s="79" customFormat="1" ht="102.75" customHeight="1">
      <c r="A24" s="166" t="s">
        <v>113</v>
      </c>
      <c r="B24" s="167" t="s">
        <v>114</v>
      </c>
      <c r="C24" s="168" t="s">
        <v>112</v>
      </c>
      <c r="D24" s="169">
        <v>2010</v>
      </c>
      <c r="E24" s="169">
        <v>2012</v>
      </c>
      <c r="F24" s="170">
        <f t="shared" si="7"/>
        <v>67306</v>
      </c>
      <c r="G24" s="171">
        <v>43000</v>
      </c>
      <c r="H24" s="171">
        <v>24306</v>
      </c>
      <c r="I24" s="172"/>
      <c r="J24" s="172"/>
      <c r="K24" s="173">
        <f t="shared" si="8"/>
        <v>67306</v>
      </c>
    </row>
    <row r="25" spans="1:11" s="79" customFormat="1" ht="84" customHeight="1">
      <c r="A25" s="166" t="s">
        <v>115</v>
      </c>
      <c r="B25" s="167" t="s">
        <v>116</v>
      </c>
      <c r="C25" s="168" t="s">
        <v>117</v>
      </c>
      <c r="D25" s="169">
        <v>2009</v>
      </c>
      <c r="E25" s="169">
        <v>2011</v>
      </c>
      <c r="F25" s="170">
        <f t="shared" si="7"/>
        <v>24168</v>
      </c>
      <c r="G25" s="171">
        <v>24168</v>
      </c>
      <c r="H25" s="171"/>
      <c r="I25" s="172"/>
      <c r="J25" s="172"/>
      <c r="K25" s="173">
        <f t="shared" si="8"/>
        <v>24168</v>
      </c>
    </row>
    <row r="26" spans="1:11" s="79" customFormat="1" ht="87.75" customHeight="1">
      <c r="A26" s="166" t="s">
        <v>118</v>
      </c>
      <c r="B26" s="167" t="s">
        <v>119</v>
      </c>
      <c r="C26" s="174" t="s">
        <v>120</v>
      </c>
      <c r="D26" s="169">
        <v>2009</v>
      </c>
      <c r="E26" s="169">
        <v>2011</v>
      </c>
      <c r="F26" s="170">
        <f t="shared" si="7"/>
        <v>18738</v>
      </c>
      <c r="G26" s="171">
        <v>18738</v>
      </c>
      <c r="H26" s="171"/>
      <c r="I26" s="172"/>
      <c r="J26" s="172"/>
      <c r="K26" s="173">
        <f t="shared" si="8"/>
        <v>18738</v>
      </c>
    </row>
    <row r="27" spans="1:11" s="79" customFormat="1" ht="103.5" customHeight="1">
      <c r="A27" s="166" t="s">
        <v>121</v>
      </c>
      <c r="B27" s="167" t="s">
        <v>122</v>
      </c>
      <c r="C27" s="174" t="s">
        <v>120</v>
      </c>
      <c r="D27" s="169">
        <v>2009</v>
      </c>
      <c r="E27" s="169">
        <v>2011</v>
      </c>
      <c r="F27" s="170">
        <f t="shared" si="7"/>
        <v>22571</v>
      </c>
      <c r="G27" s="171">
        <v>22571</v>
      </c>
      <c r="H27" s="171"/>
      <c r="I27" s="172"/>
      <c r="J27" s="172"/>
      <c r="K27" s="173">
        <f t="shared" si="8"/>
        <v>22571</v>
      </c>
    </row>
    <row r="28" spans="1:11" s="179" customFormat="1" ht="33.75" customHeight="1">
      <c r="A28" s="175" t="s">
        <v>57</v>
      </c>
      <c r="B28" s="176" t="s">
        <v>123</v>
      </c>
      <c r="C28" s="177"/>
      <c r="D28" s="177"/>
      <c r="E28" s="177"/>
      <c r="F28" s="178">
        <f t="shared" si="7"/>
        <v>589845</v>
      </c>
      <c r="G28" s="164">
        <f>SUM(G29:G30)</f>
        <v>431966</v>
      </c>
      <c r="H28" s="164">
        <f>SUM(H29:H30)</f>
        <v>157879</v>
      </c>
      <c r="I28" s="164">
        <f>SUM(I29:I30)</f>
        <v>0</v>
      </c>
      <c r="J28" s="164">
        <f>SUM(J29:J30)</f>
        <v>0</v>
      </c>
      <c r="K28" s="164">
        <f>SUM(K29:K30)</f>
        <v>589845</v>
      </c>
    </row>
    <row r="29" spans="1:11" s="79" customFormat="1" ht="92.25" customHeight="1">
      <c r="A29" s="166" t="s">
        <v>58</v>
      </c>
      <c r="B29" s="167" t="s">
        <v>124</v>
      </c>
      <c r="C29" s="168" t="s">
        <v>117</v>
      </c>
      <c r="D29" s="169">
        <v>2010</v>
      </c>
      <c r="E29" s="169">
        <v>2012</v>
      </c>
      <c r="F29" s="170">
        <f t="shared" si="7"/>
        <v>473635</v>
      </c>
      <c r="G29" s="171">
        <v>315756</v>
      </c>
      <c r="H29" s="171">
        <v>157879</v>
      </c>
      <c r="I29" s="172"/>
      <c r="J29" s="172"/>
      <c r="K29" s="173">
        <f t="shared" si="8"/>
        <v>473635</v>
      </c>
    </row>
    <row r="30" spans="1:11" s="79" customFormat="1" ht="120">
      <c r="A30" s="166" t="s">
        <v>59</v>
      </c>
      <c r="B30" s="167" t="s">
        <v>125</v>
      </c>
      <c r="C30" s="168" t="s">
        <v>126</v>
      </c>
      <c r="D30" s="169">
        <v>2011</v>
      </c>
      <c r="E30" s="169">
        <v>2011</v>
      </c>
      <c r="F30" s="170">
        <f t="shared" si="7"/>
        <v>116210</v>
      </c>
      <c r="G30" s="171">
        <v>116210</v>
      </c>
      <c r="H30" s="171"/>
      <c r="I30" s="172"/>
      <c r="J30" s="172"/>
      <c r="K30" s="173">
        <f t="shared" si="8"/>
        <v>116210</v>
      </c>
    </row>
    <row r="31" spans="1:11" s="179" customFormat="1" ht="23.25" customHeight="1">
      <c r="A31" s="180" t="s">
        <v>60</v>
      </c>
      <c r="B31" s="181" t="s">
        <v>127</v>
      </c>
      <c r="C31" s="177"/>
      <c r="D31" s="177"/>
      <c r="E31" s="177"/>
      <c r="F31" s="178">
        <f t="shared" si="7"/>
        <v>4928532</v>
      </c>
      <c r="G31" s="164">
        <f>SUM(G32:G35)</f>
        <v>1670859</v>
      </c>
      <c r="H31" s="164">
        <f>SUM(H32:H35)</f>
        <v>1764619</v>
      </c>
      <c r="I31" s="164">
        <f>SUM(I32:I35)</f>
        <v>1353054</v>
      </c>
      <c r="J31" s="164">
        <f>SUM(J32:J35)</f>
        <v>140000</v>
      </c>
      <c r="K31" s="164">
        <f>SUM(K32:K35)</f>
        <v>4928532</v>
      </c>
    </row>
    <row r="32" spans="1:11" s="79" customFormat="1" ht="111" customHeight="1">
      <c r="A32" s="166" t="s">
        <v>61</v>
      </c>
      <c r="B32" s="167" t="s">
        <v>128</v>
      </c>
      <c r="C32" s="168" t="s">
        <v>129</v>
      </c>
      <c r="D32" s="169">
        <v>2009</v>
      </c>
      <c r="E32" s="169">
        <v>2011</v>
      </c>
      <c r="F32" s="170">
        <f t="shared" si="7"/>
        <v>137000</v>
      </c>
      <c r="G32" s="171">
        <v>137000</v>
      </c>
      <c r="H32" s="171"/>
      <c r="I32" s="171"/>
      <c r="J32" s="172"/>
      <c r="K32" s="173">
        <f t="shared" si="8"/>
        <v>137000</v>
      </c>
    </row>
    <row r="33" spans="1:11" s="79" customFormat="1" ht="38.25" customHeight="1">
      <c r="A33" s="166" t="s">
        <v>62</v>
      </c>
      <c r="B33" s="167" t="s">
        <v>130</v>
      </c>
      <c r="C33" s="149" t="s">
        <v>131</v>
      </c>
      <c r="D33" s="169">
        <v>2008</v>
      </c>
      <c r="E33" s="169">
        <v>2013</v>
      </c>
      <c r="F33" s="170">
        <f t="shared" si="7"/>
        <v>2182647</v>
      </c>
      <c r="G33" s="171">
        <v>727549</v>
      </c>
      <c r="H33" s="171">
        <v>727549</v>
      </c>
      <c r="I33" s="171">
        <v>727549</v>
      </c>
      <c r="J33" s="172"/>
      <c r="K33" s="173">
        <f t="shared" si="8"/>
        <v>2182647</v>
      </c>
    </row>
    <row r="34" spans="1:11" s="79" customFormat="1" ht="42" customHeight="1">
      <c r="A34" s="166" t="s">
        <v>132</v>
      </c>
      <c r="B34" s="167" t="s">
        <v>133</v>
      </c>
      <c r="C34" s="149" t="s">
        <v>131</v>
      </c>
      <c r="D34" s="169">
        <v>2011</v>
      </c>
      <c r="E34" s="169">
        <v>2013</v>
      </c>
      <c r="F34" s="170">
        <f t="shared" si="7"/>
        <v>997785</v>
      </c>
      <c r="G34" s="171">
        <v>359110</v>
      </c>
      <c r="H34" s="171">
        <v>373870</v>
      </c>
      <c r="I34" s="171">
        <v>264805</v>
      </c>
      <c r="J34" s="171"/>
      <c r="K34" s="173">
        <f t="shared" si="8"/>
        <v>997785</v>
      </c>
    </row>
    <row r="35" spans="1:11" s="79" customFormat="1" ht="38.25" customHeight="1">
      <c r="A35" s="166" t="s">
        <v>134</v>
      </c>
      <c r="B35" s="167" t="s">
        <v>135</v>
      </c>
      <c r="C35" s="174" t="s">
        <v>136</v>
      </c>
      <c r="D35" s="169">
        <v>2011</v>
      </c>
      <c r="E35" s="169">
        <v>2014</v>
      </c>
      <c r="F35" s="170">
        <f t="shared" si="7"/>
        <v>1611100</v>
      </c>
      <c r="G35" s="171">
        <v>447200</v>
      </c>
      <c r="H35" s="171">
        <v>663200</v>
      </c>
      <c r="I35" s="171">
        <v>360700</v>
      </c>
      <c r="J35" s="171">
        <v>140000</v>
      </c>
      <c r="K35" s="173">
        <f t="shared" si="8"/>
        <v>1611100</v>
      </c>
    </row>
    <row r="36" spans="1:11" s="179" customFormat="1" ht="31.5" customHeight="1">
      <c r="A36" s="182" t="s">
        <v>137</v>
      </c>
      <c r="B36" s="176" t="s">
        <v>138</v>
      </c>
      <c r="C36" s="177"/>
      <c r="D36" s="183"/>
      <c r="E36" s="183"/>
      <c r="F36" s="178">
        <f t="shared" si="7"/>
        <v>2717453</v>
      </c>
      <c r="G36" s="178">
        <f>G37+G39</f>
        <v>1840403</v>
      </c>
      <c r="H36" s="178">
        <f>H37+H39</f>
        <v>405311</v>
      </c>
      <c r="I36" s="178">
        <f>I37+I39</f>
        <v>296191</v>
      </c>
      <c r="J36" s="178">
        <f>J37+J39</f>
        <v>175548</v>
      </c>
      <c r="K36" s="184">
        <f t="shared" si="8"/>
        <v>2717453</v>
      </c>
    </row>
    <row r="37" spans="1:11" s="191" customFormat="1" ht="39.75" customHeight="1">
      <c r="A37" s="185" t="s">
        <v>139</v>
      </c>
      <c r="B37" s="186" t="s">
        <v>140</v>
      </c>
      <c r="C37" s="149" t="s">
        <v>136</v>
      </c>
      <c r="D37" s="187">
        <v>2009</v>
      </c>
      <c r="E37" s="187">
        <v>2015</v>
      </c>
      <c r="F37" s="188">
        <f t="shared" si="7"/>
        <v>1083653</v>
      </c>
      <c r="G37" s="189">
        <v>494603</v>
      </c>
      <c r="H37" s="189">
        <v>282461</v>
      </c>
      <c r="I37" s="189">
        <v>173341</v>
      </c>
      <c r="J37" s="189">
        <v>133248</v>
      </c>
      <c r="K37" s="190">
        <f t="shared" si="8"/>
        <v>1083653</v>
      </c>
    </row>
    <row r="38" spans="1:11" s="199" customFormat="1" ht="18.75" customHeight="1">
      <c r="A38" s="192"/>
      <c r="B38" s="193" t="s">
        <v>141</v>
      </c>
      <c r="C38" s="211"/>
      <c r="D38" s="195"/>
      <c r="E38" s="195"/>
      <c r="F38" s="196">
        <f t="shared" si="7"/>
        <v>250000</v>
      </c>
      <c r="G38" s="197">
        <v>250000</v>
      </c>
      <c r="H38" s="197"/>
      <c r="I38" s="197"/>
      <c r="J38" s="197"/>
      <c r="K38" s="198">
        <f t="shared" si="8"/>
        <v>250000</v>
      </c>
    </row>
    <row r="39" spans="1:11" s="191" customFormat="1" ht="42" customHeight="1">
      <c r="A39" s="185" t="s">
        <v>142</v>
      </c>
      <c r="B39" s="186" t="s">
        <v>143</v>
      </c>
      <c r="C39" s="149" t="s">
        <v>136</v>
      </c>
      <c r="D39" s="187">
        <v>2009</v>
      </c>
      <c r="E39" s="187">
        <v>2014</v>
      </c>
      <c r="F39" s="188">
        <f t="shared" si="7"/>
        <v>1633800</v>
      </c>
      <c r="G39" s="189">
        <v>1345800</v>
      </c>
      <c r="H39" s="189">
        <v>122850</v>
      </c>
      <c r="I39" s="189">
        <v>122850</v>
      </c>
      <c r="J39" s="189">
        <v>42300</v>
      </c>
      <c r="K39" s="190">
        <f t="shared" si="8"/>
        <v>1633800</v>
      </c>
    </row>
    <row r="40" spans="1:11" s="199" customFormat="1" ht="23.25" customHeight="1">
      <c r="A40" s="192"/>
      <c r="B40" s="193" t="s">
        <v>141</v>
      </c>
      <c r="C40" s="194"/>
      <c r="D40" s="195"/>
      <c r="E40" s="195"/>
      <c r="F40" s="196">
        <f t="shared" si="7"/>
        <v>948700</v>
      </c>
      <c r="G40" s="197">
        <v>948700</v>
      </c>
      <c r="H40" s="197"/>
      <c r="I40" s="197"/>
      <c r="J40" s="197"/>
      <c r="K40" s="198">
        <f t="shared" si="8"/>
        <v>948700</v>
      </c>
    </row>
    <row r="41" spans="1:11" s="179" customFormat="1" ht="99" customHeight="1">
      <c r="A41" s="182" t="s">
        <v>144</v>
      </c>
      <c r="B41" s="176" t="s">
        <v>145</v>
      </c>
      <c r="C41" s="200"/>
      <c r="D41" s="183"/>
      <c r="E41" s="183"/>
      <c r="F41" s="178">
        <f t="shared" si="7"/>
        <v>8851590</v>
      </c>
      <c r="G41" s="178">
        <f>G42+G43+G44+G46</f>
        <v>7466225</v>
      </c>
      <c r="H41" s="178">
        <f>H42+H43+H44+H46</f>
        <v>429175</v>
      </c>
      <c r="I41" s="178">
        <f>I42+I43+I44+I46</f>
        <v>956190</v>
      </c>
      <c r="J41" s="178"/>
      <c r="K41" s="184">
        <f t="shared" si="8"/>
        <v>8851590</v>
      </c>
    </row>
    <row r="42" spans="1:11" s="191" customFormat="1" ht="29.25" customHeight="1">
      <c r="A42" s="201" t="s">
        <v>146</v>
      </c>
      <c r="B42" s="202" t="s">
        <v>147</v>
      </c>
      <c r="C42" s="174" t="s">
        <v>136</v>
      </c>
      <c r="D42" s="203">
        <v>2011</v>
      </c>
      <c r="E42" s="203">
        <v>2013</v>
      </c>
      <c r="F42" s="170">
        <f t="shared" si="7"/>
        <v>767430</v>
      </c>
      <c r="G42" s="204"/>
      <c r="H42" s="204"/>
      <c r="I42" s="204">
        <v>767430</v>
      </c>
      <c r="J42" s="204"/>
      <c r="K42" s="205">
        <f>F42</f>
        <v>767430</v>
      </c>
    </row>
    <row r="43" spans="1:11" s="191" customFormat="1" ht="46.5" customHeight="1">
      <c r="A43" s="201" t="s">
        <v>148</v>
      </c>
      <c r="B43" s="202" t="s">
        <v>149</v>
      </c>
      <c r="C43" s="174" t="s">
        <v>136</v>
      </c>
      <c r="D43" s="203">
        <v>2009</v>
      </c>
      <c r="E43" s="203">
        <v>2011</v>
      </c>
      <c r="F43" s="170">
        <f t="shared" si="7"/>
        <v>56949</v>
      </c>
      <c r="G43" s="204">
        <v>56949</v>
      </c>
      <c r="H43" s="204"/>
      <c r="I43" s="204"/>
      <c r="J43" s="204"/>
      <c r="K43" s="205">
        <f aca="true" t="shared" si="9" ref="K43:K74">F43</f>
        <v>56949</v>
      </c>
    </row>
    <row r="44" spans="1:11" s="191" customFormat="1" ht="62.25" customHeight="1">
      <c r="A44" s="206" t="s">
        <v>150</v>
      </c>
      <c r="B44" s="207" t="s">
        <v>151</v>
      </c>
      <c r="C44" s="387" t="s">
        <v>152</v>
      </c>
      <c r="D44" s="187">
        <v>2010</v>
      </c>
      <c r="E44" s="208">
        <v>2013</v>
      </c>
      <c r="F44" s="188">
        <f t="shared" si="7"/>
        <v>2523330</v>
      </c>
      <c r="G44" s="209">
        <v>1905395</v>
      </c>
      <c r="H44" s="209">
        <v>429175</v>
      </c>
      <c r="I44" s="209">
        <v>188760</v>
      </c>
      <c r="J44" s="209"/>
      <c r="K44" s="190">
        <f t="shared" si="9"/>
        <v>2523330</v>
      </c>
    </row>
    <row r="45" spans="1:11" s="199" customFormat="1" ht="23.25" customHeight="1">
      <c r="A45" s="192"/>
      <c r="B45" s="193" t="s">
        <v>141</v>
      </c>
      <c r="C45" s="388"/>
      <c r="D45" s="195"/>
      <c r="E45" s="195"/>
      <c r="F45" s="196">
        <f t="shared" si="7"/>
        <v>2523330</v>
      </c>
      <c r="G45" s="197">
        <f>G44</f>
        <v>1905395</v>
      </c>
      <c r="H45" s="197">
        <f>H44</f>
        <v>429175</v>
      </c>
      <c r="I45" s="197">
        <f>I44</f>
        <v>188760</v>
      </c>
      <c r="J45" s="197"/>
      <c r="K45" s="198">
        <f t="shared" si="9"/>
        <v>2523330</v>
      </c>
    </row>
    <row r="46" spans="1:11" s="191" customFormat="1" ht="49.5" customHeight="1">
      <c r="A46" s="206" t="s">
        <v>153</v>
      </c>
      <c r="B46" s="210" t="s">
        <v>154</v>
      </c>
      <c r="C46" s="149" t="s">
        <v>136</v>
      </c>
      <c r="D46" s="208">
        <v>2011</v>
      </c>
      <c r="E46" s="208">
        <v>2011</v>
      </c>
      <c r="F46" s="188">
        <f t="shared" si="7"/>
        <v>5503881</v>
      </c>
      <c r="G46" s="209">
        <v>5503881</v>
      </c>
      <c r="H46" s="209"/>
      <c r="I46" s="209"/>
      <c r="J46" s="209"/>
      <c r="K46" s="190">
        <f t="shared" si="9"/>
        <v>5503881</v>
      </c>
    </row>
    <row r="47" spans="1:11" s="199" customFormat="1" ht="18" customHeight="1">
      <c r="A47" s="192"/>
      <c r="B47" s="193" t="s">
        <v>141</v>
      </c>
      <c r="C47" s="211"/>
      <c r="D47" s="195"/>
      <c r="E47" s="195"/>
      <c r="F47" s="196">
        <f t="shared" si="7"/>
        <v>5503881</v>
      </c>
      <c r="G47" s="197">
        <f>G46</f>
        <v>5503881</v>
      </c>
      <c r="H47" s="197"/>
      <c r="I47" s="197"/>
      <c r="J47" s="197"/>
      <c r="K47" s="198">
        <f t="shared" si="9"/>
        <v>5503881</v>
      </c>
    </row>
    <row r="48" spans="1:11" s="179" customFormat="1" ht="45" customHeight="1">
      <c r="A48" s="182" t="s">
        <v>155</v>
      </c>
      <c r="B48" s="176" t="s">
        <v>156</v>
      </c>
      <c r="C48" s="177"/>
      <c r="D48" s="183"/>
      <c r="E48" s="183"/>
      <c r="F48" s="178">
        <f t="shared" si="7"/>
        <v>430740</v>
      </c>
      <c r="G48" s="178">
        <f>SUM(G49:G50)</f>
        <v>246740</v>
      </c>
      <c r="H48" s="178">
        <f>SUM(H49:H50)</f>
        <v>164000</v>
      </c>
      <c r="I48" s="178">
        <f>SUM(I49:I50)</f>
        <v>20000</v>
      </c>
      <c r="J48" s="178"/>
      <c r="K48" s="212">
        <f t="shared" si="9"/>
        <v>430740</v>
      </c>
    </row>
    <row r="49" spans="1:11" s="79" customFormat="1" ht="44.25" customHeight="1">
      <c r="A49" s="201" t="s">
        <v>157</v>
      </c>
      <c r="B49" s="213" t="s">
        <v>158</v>
      </c>
      <c r="C49" s="214" t="s">
        <v>136</v>
      </c>
      <c r="D49" s="203">
        <v>2010</v>
      </c>
      <c r="E49" s="203">
        <v>2012</v>
      </c>
      <c r="F49" s="215">
        <f t="shared" si="7"/>
        <v>107740</v>
      </c>
      <c r="G49" s="204">
        <v>62740</v>
      </c>
      <c r="H49" s="171">
        <v>45000</v>
      </c>
      <c r="I49" s="171"/>
      <c r="J49" s="171"/>
      <c r="K49" s="205">
        <f t="shared" si="9"/>
        <v>107740</v>
      </c>
    </row>
    <row r="50" spans="1:11" s="79" customFormat="1" ht="39" customHeight="1">
      <c r="A50" s="166" t="s">
        <v>159</v>
      </c>
      <c r="B50" s="216" t="s">
        <v>160</v>
      </c>
      <c r="C50" s="174" t="s">
        <v>136</v>
      </c>
      <c r="D50" s="169">
        <v>2010</v>
      </c>
      <c r="E50" s="169">
        <v>2012</v>
      </c>
      <c r="F50" s="170">
        <f t="shared" si="7"/>
        <v>323000</v>
      </c>
      <c r="G50" s="171">
        <v>184000</v>
      </c>
      <c r="H50" s="171">
        <v>119000</v>
      </c>
      <c r="I50" s="171">
        <v>20000</v>
      </c>
      <c r="J50" s="171"/>
      <c r="K50" s="205">
        <f t="shared" si="9"/>
        <v>323000</v>
      </c>
    </row>
    <row r="51" spans="1:11" s="179" customFormat="1" ht="24.75" customHeight="1">
      <c r="A51" s="182" t="s">
        <v>161</v>
      </c>
      <c r="B51" s="176" t="s">
        <v>162</v>
      </c>
      <c r="C51" s="177"/>
      <c r="D51" s="183"/>
      <c r="E51" s="183"/>
      <c r="F51" s="178">
        <f t="shared" si="7"/>
        <v>13840</v>
      </c>
      <c r="G51" s="178">
        <f>G52</f>
        <v>13840</v>
      </c>
      <c r="H51" s="217"/>
      <c r="I51" s="217"/>
      <c r="J51" s="217"/>
      <c r="K51" s="184">
        <f t="shared" si="9"/>
        <v>13840</v>
      </c>
    </row>
    <row r="52" spans="1:11" s="79" customFormat="1" ht="60.75" customHeight="1">
      <c r="A52" s="166"/>
      <c r="B52" s="167" t="s">
        <v>163</v>
      </c>
      <c r="C52" s="174" t="s">
        <v>136</v>
      </c>
      <c r="D52" s="169">
        <v>2006</v>
      </c>
      <c r="E52" s="169">
        <v>2011</v>
      </c>
      <c r="F52" s="170">
        <f t="shared" si="7"/>
        <v>13840</v>
      </c>
      <c r="G52" s="171">
        <v>13840</v>
      </c>
      <c r="H52" s="171"/>
      <c r="I52" s="171"/>
      <c r="J52" s="171"/>
      <c r="K52" s="205">
        <f t="shared" si="9"/>
        <v>13840</v>
      </c>
    </row>
    <row r="53" spans="1:11" s="179" customFormat="1" ht="50.25" customHeight="1">
      <c r="A53" s="182" t="s">
        <v>164</v>
      </c>
      <c r="B53" s="176" t="s">
        <v>165</v>
      </c>
      <c r="C53" s="177"/>
      <c r="D53" s="183"/>
      <c r="E53" s="183"/>
      <c r="F53" s="178">
        <f t="shared" si="7"/>
        <v>82000000</v>
      </c>
      <c r="G53" s="178">
        <f>SUM(G54:G55)</f>
        <v>22798000</v>
      </c>
      <c r="H53" s="178">
        <f>SUM(H54:H55)</f>
        <v>20773000</v>
      </c>
      <c r="I53" s="178">
        <f>SUM(I54:I55)</f>
        <v>38429000</v>
      </c>
      <c r="J53" s="178"/>
      <c r="K53" s="212">
        <f t="shared" si="9"/>
        <v>82000000</v>
      </c>
    </row>
    <row r="54" spans="1:11" s="79" customFormat="1" ht="64.5" customHeight="1">
      <c r="A54" s="166" t="s">
        <v>166</v>
      </c>
      <c r="B54" s="218" t="s">
        <v>167</v>
      </c>
      <c r="C54" s="174" t="s">
        <v>168</v>
      </c>
      <c r="D54" s="169">
        <v>2010</v>
      </c>
      <c r="E54" s="169">
        <v>2013</v>
      </c>
      <c r="F54" s="170">
        <f t="shared" si="7"/>
        <v>42000000</v>
      </c>
      <c r="G54" s="171">
        <v>22000000</v>
      </c>
      <c r="H54" s="171">
        <v>10000000</v>
      </c>
      <c r="I54" s="171">
        <v>10000000</v>
      </c>
      <c r="J54" s="171"/>
      <c r="K54" s="205">
        <f t="shared" si="9"/>
        <v>42000000</v>
      </c>
    </row>
    <row r="55" spans="1:11" s="79" customFormat="1" ht="54.75" customHeight="1">
      <c r="A55" s="166" t="s">
        <v>169</v>
      </c>
      <c r="B55" s="219" t="s">
        <v>170</v>
      </c>
      <c r="C55" s="174" t="s">
        <v>168</v>
      </c>
      <c r="D55" s="169">
        <v>2011</v>
      </c>
      <c r="E55" s="169">
        <v>2013</v>
      </c>
      <c r="F55" s="170">
        <f t="shared" si="7"/>
        <v>40000000</v>
      </c>
      <c r="G55" s="171">
        <v>798000</v>
      </c>
      <c r="H55" s="171">
        <v>10773000</v>
      </c>
      <c r="I55" s="171">
        <v>28429000</v>
      </c>
      <c r="J55" s="171"/>
      <c r="K55" s="205">
        <f t="shared" si="9"/>
        <v>40000000</v>
      </c>
    </row>
    <row r="56" spans="1:11" s="179" customFormat="1" ht="29.25" customHeight="1">
      <c r="A56" s="182" t="s">
        <v>171</v>
      </c>
      <c r="B56" s="176" t="s">
        <v>172</v>
      </c>
      <c r="C56" s="177"/>
      <c r="D56" s="183"/>
      <c r="E56" s="183"/>
      <c r="F56" s="178">
        <f t="shared" si="7"/>
        <v>6500000</v>
      </c>
      <c r="G56" s="178">
        <f>G57</f>
        <v>1000000</v>
      </c>
      <c r="H56" s="178">
        <f>H57</f>
        <v>5500000</v>
      </c>
      <c r="I56" s="178"/>
      <c r="J56" s="178"/>
      <c r="K56" s="212">
        <f t="shared" si="9"/>
        <v>6500000</v>
      </c>
    </row>
    <row r="57" spans="1:11" s="79" customFormat="1" ht="30.75" customHeight="1">
      <c r="A57" s="166"/>
      <c r="B57" s="167" t="s">
        <v>173</v>
      </c>
      <c r="C57" s="174" t="s">
        <v>168</v>
      </c>
      <c r="D57" s="169">
        <v>2011</v>
      </c>
      <c r="E57" s="169">
        <v>2012</v>
      </c>
      <c r="F57" s="170">
        <f t="shared" si="7"/>
        <v>6500000</v>
      </c>
      <c r="G57" s="171">
        <v>1000000</v>
      </c>
      <c r="H57" s="171">
        <v>5500000</v>
      </c>
      <c r="I57" s="171"/>
      <c r="J57" s="171"/>
      <c r="K57" s="205">
        <f t="shared" si="9"/>
        <v>6500000</v>
      </c>
    </row>
    <row r="58" spans="1:11" s="179" customFormat="1" ht="33" customHeight="1">
      <c r="A58" s="182" t="s">
        <v>174</v>
      </c>
      <c r="B58" s="176" t="s">
        <v>175</v>
      </c>
      <c r="C58" s="177"/>
      <c r="D58" s="183"/>
      <c r="E58" s="183"/>
      <c r="F58" s="178">
        <f t="shared" si="7"/>
        <v>28387045</v>
      </c>
      <c r="G58" s="178">
        <f>G59</f>
        <v>7047045</v>
      </c>
      <c r="H58" s="178">
        <f>H59</f>
        <v>10340000</v>
      </c>
      <c r="I58" s="178">
        <f>I59</f>
        <v>6000000</v>
      </c>
      <c r="J58" s="178">
        <f>J59</f>
        <v>5000000</v>
      </c>
      <c r="K58" s="212">
        <f t="shared" si="9"/>
        <v>28387045</v>
      </c>
    </row>
    <row r="59" spans="1:11" s="79" customFormat="1" ht="67.5" customHeight="1">
      <c r="A59" s="166"/>
      <c r="B59" s="219" t="s">
        <v>176</v>
      </c>
      <c r="C59" s="174" t="s">
        <v>136</v>
      </c>
      <c r="D59" s="169">
        <v>2007</v>
      </c>
      <c r="E59" s="169">
        <v>2014</v>
      </c>
      <c r="F59" s="170">
        <f t="shared" si="7"/>
        <v>28387045</v>
      </c>
      <c r="G59" s="171">
        <v>7047045</v>
      </c>
      <c r="H59" s="171">
        <v>10340000</v>
      </c>
      <c r="I59" s="171">
        <v>6000000</v>
      </c>
      <c r="J59" s="171">
        <v>5000000</v>
      </c>
      <c r="K59" s="205">
        <f t="shared" si="9"/>
        <v>28387045</v>
      </c>
    </row>
    <row r="60" spans="1:11" s="179" customFormat="1" ht="33" customHeight="1">
      <c r="A60" s="182" t="s">
        <v>177</v>
      </c>
      <c r="B60" s="176" t="s">
        <v>178</v>
      </c>
      <c r="C60" s="177"/>
      <c r="D60" s="183"/>
      <c r="E60" s="183"/>
      <c r="F60" s="178">
        <f t="shared" si="7"/>
        <v>8268000</v>
      </c>
      <c r="G60" s="178">
        <f>G61</f>
        <v>8040000</v>
      </c>
      <c r="H60" s="178">
        <f>H61</f>
        <v>144000</v>
      </c>
      <c r="I60" s="178">
        <f>I61</f>
        <v>84000</v>
      </c>
      <c r="J60" s="178"/>
      <c r="K60" s="212">
        <f t="shared" si="9"/>
        <v>8268000</v>
      </c>
    </row>
    <row r="61" spans="1:11" s="79" customFormat="1" ht="41.25" customHeight="1">
      <c r="A61" s="166"/>
      <c r="B61" s="220" t="s">
        <v>179</v>
      </c>
      <c r="C61" s="221" t="s">
        <v>180</v>
      </c>
      <c r="D61" s="169">
        <v>2007</v>
      </c>
      <c r="E61" s="169">
        <v>2012</v>
      </c>
      <c r="F61" s="170">
        <f t="shared" si="7"/>
        <v>8268000</v>
      </c>
      <c r="G61" s="171">
        <v>8040000</v>
      </c>
      <c r="H61" s="171">
        <v>144000</v>
      </c>
      <c r="I61" s="171">
        <v>84000</v>
      </c>
      <c r="J61" s="171"/>
      <c r="K61" s="205">
        <f t="shared" si="9"/>
        <v>8268000</v>
      </c>
    </row>
    <row r="62" spans="1:11" s="179" customFormat="1" ht="36" customHeight="1">
      <c r="A62" s="222" t="s">
        <v>181</v>
      </c>
      <c r="B62" s="223" t="s">
        <v>182</v>
      </c>
      <c r="C62" s="177"/>
      <c r="D62" s="183"/>
      <c r="E62" s="183"/>
      <c r="F62" s="178">
        <f t="shared" si="7"/>
        <v>13670500</v>
      </c>
      <c r="G62" s="178">
        <f>G63</f>
        <v>13670500</v>
      </c>
      <c r="H62" s="178"/>
      <c r="I62" s="178"/>
      <c r="J62" s="178"/>
      <c r="K62" s="212">
        <f t="shared" si="9"/>
        <v>13670500</v>
      </c>
    </row>
    <row r="63" spans="1:11" s="79" customFormat="1" ht="38.25" customHeight="1">
      <c r="A63" s="166"/>
      <c r="B63" s="220" t="s">
        <v>183</v>
      </c>
      <c r="C63" s="174" t="s">
        <v>136</v>
      </c>
      <c r="D63" s="169">
        <v>2007</v>
      </c>
      <c r="E63" s="169">
        <v>2011</v>
      </c>
      <c r="F63" s="170">
        <f t="shared" si="7"/>
        <v>13670500</v>
      </c>
      <c r="G63" s="171">
        <v>13670500</v>
      </c>
      <c r="H63" s="171"/>
      <c r="I63" s="171"/>
      <c r="J63" s="171"/>
      <c r="K63" s="205">
        <f t="shared" si="9"/>
        <v>13670500</v>
      </c>
    </row>
    <row r="64" spans="1:11" s="179" customFormat="1" ht="31.5" customHeight="1">
      <c r="A64" s="182" t="s">
        <v>184</v>
      </c>
      <c r="B64" s="223" t="s">
        <v>185</v>
      </c>
      <c r="C64" s="177"/>
      <c r="D64" s="183"/>
      <c r="E64" s="183"/>
      <c r="F64" s="178">
        <f t="shared" si="7"/>
        <v>33855382</v>
      </c>
      <c r="G64" s="217">
        <f>SUM(G65:G66)</f>
        <v>16155382</v>
      </c>
      <c r="H64" s="217">
        <f>SUM(H65:H66)</f>
        <v>16200000</v>
      </c>
      <c r="I64" s="217">
        <f>SUM(I65:I66)</f>
        <v>1500000</v>
      </c>
      <c r="J64" s="217"/>
      <c r="K64" s="212">
        <f t="shared" si="9"/>
        <v>33855382</v>
      </c>
    </row>
    <row r="65" spans="1:11" s="79" customFormat="1" ht="27.75" customHeight="1">
      <c r="A65" s="166" t="s">
        <v>186</v>
      </c>
      <c r="B65" s="220" t="s">
        <v>187</v>
      </c>
      <c r="C65" s="174" t="s">
        <v>136</v>
      </c>
      <c r="D65" s="169">
        <v>2009</v>
      </c>
      <c r="E65" s="169">
        <v>2013</v>
      </c>
      <c r="F65" s="170">
        <f t="shared" si="7"/>
        <v>29500000</v>
      </c>
      <c r="G65" s="171">
        <v>12500000</v>
      </c>
      <c r="H65" s="171">
        <v>15500000</v>
      </c>
      <c r="I65" s="171">
        <v>1500000</v>
      </c>
      <c r="J65" s="171"/>
      <c r="K65" s="205">
        <f t="shared" si="9"/>
        <v>29500000</v>
      </c>
    </row>
    <row r="66" spans="1:11" s="79" customFormat="1" ht="31.5" customHeight="1">
      <c r="A66" s="166" t="s">
        <v>188</v>
      </c>
      <c r="B66" s="220" t="s">
        <v>189</v>
      </c>
      <c r="C66" s="174" t="s">
        <v>136</v>
      </c>
      <c r="D66" s="169">
        <v>2009</v>
      </c>
      <c r="E66" s="169">
        <v>2013</v>
      </c>
      <c r="F66" s="170">
        <f t="shared" si="7"/>
        <v>4355382</v>
      </c>
      <c r="G66" s="171">
        <v>3655382</v>
      </c>
      <c r="H66" s="171">
        <v>700000</v>
      </c>
      <c r="I66" s="171"/>
      <c r="J66" s="171"/>
      <c r="K66" s="205">
        <f t="shared" si="9"/>
        <v>4355382</v>
      </c>
    </row>
    <row r="67" spans="1:11" s="228" customFormat="1" ht="38.25" customHeight="1">
      <c r="A67" s="182" t="s">
        <v>190</v>
      </c>
      <c r="B67" s="223" t="s">
        <v>191</v>
      </c>
      <c r="C67" s="224"/>
      <c r="D67" s="225"/>
      <c r="E67" s="225"/>
      <c r="F67" s="226">
        <f t="shared" si="7"/>
        <v>6458830</v>
      </c>
      <c r="G67" s="226">
        <f>G68</f>
        <v>5160940</v>
      </c>
      <c r="H67" s="226">
        <f>H68</f>
        <v>1297890</v>
      </c>
      <c r="I67" s="226"/>
      <c r="J67" s="226"/>
      <c r="K67" s="227">
        <f t="shared" si="9"/>
        <v>6458830</v>
      </c>
    </row>
    <row r="68" spans="1:11" s="191" customFormat="1" ht="30.75" customHeight="1">
      <c r="A68" s="185"/>
      <c r="B68" s="229" t="s">
        <v>192</v>
      </c>
      <c r="C68" s="149" t="s">
        <v>136</v>
      </c>
      <c r="D68" s="187">
        <v>2009</v>
      </c>
      <c r="E68" s="187">
        <v>2012</v>
      </c>
      <c r="F68" s="188">
        <f t="shared" si="7"/>
        <v>6458830</v>
      </c>
      <c r="G68" s="189">
        <v>5160940</v>
      </c>
      <c r="H68" s="189">
        <v>1297890</v>
      </c>
      <c r="I68" s="189"/>
      <c r="J68" s="189"/>
      <c r="K68" s="190">
        <f t="shared" si="9"/>
        <v>6458830</v>
      </c>
    </row>
    <row r="69" spans="1:11" s="199" customFormat="1" ht="20.25" customHeight="1">
      <c r="A69" s="192"/>
      <c r="B69" s="230" t="s">
        <v>193</v>
      </c>
      <c r="C69" s="211"/>
      <c r="D69" s="195"/>
      <c r="E69" s="195"/>
      <c r="F69" s="196">
        <f t="shared" si="7"/>
        <v>705790</v>
      </c>
      <c r="G69" s="197">
        <v>483140</v>
      </c>
      <c r="H69" s="197">
        <v>222650</v>
      </c>
      <c r="I69" s="197"/>
      <c r="J69" s="197"/>
      <c r="K69" s="205">
        <f t="shared" si="9"/>
        <v>705790</v>
      </c>
    </row>
    <row r="70" spans="1:11" s="179" customFormat="1" ht="28.5" customHeight="1">
      <c r="A70" s="182" t="s">
        <v>194</v>
      </c>
      <c r="B70" s="231" t="s">
        <v>195</v>
      </c>
      <c r="C70" s="177"/>
      <c r="D70" s="183"/>
      <c r="E70" s="183"/>
      <c r="F70" s="178">
        <f t="shared" si="7"/>
        <v>30493204</v>
      </c>
      <c r="G70" s="178">
        <f>SUM(G71:G72)</f>
        <v>18542097</v>
      </c>
      <c r="H70" s="178">
        <f>SUM(H71:H72)</f>
        <v>8749424</v>
      </c>
      <c r="I70" s="178">
        <f>SUM(I71:I72)</f>
        <v>3201683</v>
      </c>
      <c r="J70" s="178"/>
      <c r="K70" s="212">
        <f t="shared" si="9"/>
        <v>30493204</v>
      </c>
    </row>
    <row r="71" spans="1:11" s="79" customFormat="1" ht="60" customHeight="1">
      <c r="A71" s="166" t="s">
        <v>196</v>
      </c>
      <c r="B71" s="232" t="s">
        <v>197</v>
      </c>
      <c r="C71" s="174" t="s">
        <v>136</v>
      </c>
      <c r="D71" s="169">
        <v>2009</v>
      </c>
      <c r="E71" s="169">
        <v>2013</v>
      </c>
      <c r="F71" s="170">
        <f t="shared" si="7"/>
        <v>17015824</v>
      </c>
      <c r="G71" s="171">
        <v>9983624</v>
      </c>
      <c r="H71" s="171">
        <v>5963600</v>
      </c>
      <c r="I71" s="171">
        <v>1068600</v>
      </c>
      <c r="J71" s="171"/>
      <c r="K71" s="205">
        <f t="shared" si="9"/>
        <v>17015824</v>
      </c>
    </row>
    <row r="72" spans="1:11" s="79" customFormat="1" ht="40.5" customHeight="1">
      <c r="A72" s="201" t="s">
        <v>198</v>
      </c>
      <c r="B72" s="233" t="s">
        <v>199</v>
      </c>
      <c r="C72" s="214" t="s">
        <v>136</v>
      </c>
      <c r="D72" s="203">
        <v>2010</v>
      </c>
      <c r="E72" s="203">
        <v>2013</v>
      </c>
      <c r="F72" s="215">
        <f t="shared" si="7"/>
        <v>13477380</v>
      </c>
      <c r="G72" s="204">
        <v>8558473</v>
      </c>
      <c r="H72" s="204">
        <v>2785824</v>
      </c>
      <c r="I72" s="171">
        <v>2133083</v>
      </c>
      <c r="J72" s="171"/>
      <c r="K72" s="205">
        <f t="shared" si="9"/>
        <v>13477380</v>
      </c>
    </row>
    <row r="73" spans="1:11" s="179" customFormat="1" ht="61.5" customHeight="1">
      <c r="A73" s="182" t="s">
        <v>200</v>
      </c>
      <c r="B73" s="176" t="s">
        <v>201</v>
      </c>
      <c r="C73" s="177"/>
      <c r="D73" s="183"/>
      <c r="E73" s="183"/>
      <c r="F73" s="178">
        <f t="shared" si="7"/>
        <v>30000000</v>
      </c>
      <c r="G73" s="178">
        <f>G74</f>
        <v>1000000</v>
      </c>
      <c r="H73" s="178">
        <f>H74</f>
        <v>10000000</v>
      </c>
      <c r="I73" s="178">
        <f>I74</f>
        <v>10000000</v>
      </c>
      <c r="J73" s="178">
        <f>J74</f>
        <v>9000000</v>
      </c>
      <c r="K73" s="212">
        <f t="shared" si="9"/>
        <v>30000000</v>
      </c>
    </row>
    <row r="74" spans="1:11" s="79" customFormat="1" ht="45" customHeight="1" thickBot="1">
      <c r="A74" s="185"/>
      <c r="B74" s="186" t="s">
        <v>202</v>
      </c>
      <c r="C74" s="149" t="s">
        <v>136</v>
      </c>
      <c r="D74" s="187">
        <v>2010</v>
      </c>
      <c r="E74" s="187">
        <v>2014</v>
      </c>
      <c r="F74" s="188">
        <f t="shared" si="7"/>
        <v>30000000</v>
      </c>
      <c r="G74" s="189">
        <v>1000000</v>
      </c>
      <c r="H74" s="189">
        <v>10000000</v>
      </c>
      <c r="I74" s="189">
        <v>10000000</v>
      </c>
      <c r="J74" s="189">
        <v>9000000</v>
      </c>
      <c r="K74" s="234">
        <f t="shared" si="9"/>
        <v>30000000</v>
      </c>
    </row>
    <row r="75" spans="1:11" s="79" customFormat="1" ht="33" customHeight="1" thickBot="1" thickTop="1">
      <c r="A75" s="137" t="s">
        <v>33</v>
      </c>
      <c r="B75" s="138" t="s">
        <v>63</v>
      </c>
      <c r="C75" s="235"/>
      <c r="D75" s="236" t="s">
        <v>17</v>
      </c>
      <c r="E75" s="236" t="s">
        <v>17</v>
      </c>
      <c r="F75" s="141">
        <f>F76</f>
        <v>111528200</v>
      </c>
      <c r="G75" s="141">
        <f>G76</f>
        <v>58380700</v>
      </c>
      <c r="H75" s="141">
        <f>H76</f>
        <v>32247500</v>
      </c>
      <c r="I75" s="141">
        <f>I76</f>
        <v>8000000</v>
      </c>
      <c r="J75" s="141">
        <f>J76</f>
        <v>12900000</v>
      </c>
      <c r="K75" s="237">
        <f>F75</f>
        <v>111528200</v>
      </c>
    </row>
    <row r="76" spans="1:11" s="153" customFormat="1" ht="17.25" customHeight="1" thickTop="1">
      <c r="A76" s="238"/>
      <c r="B76" s="193" t="s">
        <v>51</v>
      </c>
      <c r="C76" s="211"/>
      <c r="D76" s="239" t="s">
        <v>17</v>
      </c>
      <c r="E76" s="239" t="s">
        <v>17</v>
      </c>
      <c r="F76" s="240">
        <f aca="true" t="shared" si="10" ref="F76:K76">F77+F79+F81+F87++F89+F94+F103+F105+F108+F111+F113+F116+F118+F120+F123+F125+F128</f>
        <v>111528200</v>
      </c>
      <c r="G76" s="240">
        <f t="shared" si="10"/>
        <v>58380700</v>
      </c>
      <c r="H76" s="240">
        <f t="shared" si="10"/>
        <v>32247500</v>
      </c>
      <c r="I76" s="240">
        <f t="shared" si="10"/>
        <v>8000000</v>
      </c>
      <c r="J76" s="240">
        <f t="shared" si="10"/>
        <v>12900000</v>
      </c>
      <c r="K76" s="240">
        <f t="shared" si="10"/>
        <v>111528200</v>
      </c>
    </row>
    <row r="77" spans="1:11" s="179" customFormat="1" ht="24" customHeight="1">
      <c r="A77" s="180" t="s">
        <v>64</v>
      </c>
      <c r="B77" s="181" t="s">
        <v>203</v>
      </c>
      <c r="C77" s="241"/>
      <c r="D77" s="177"/>
      <c r="E77" s="177"/>
      <c r="F77" s="164">
        <f aca="true" t="shared" si="11" ref="F77:F110">SUM(G77:J77)</f>
        <v>100000</v>
      </c>
      <c r="G77" s="242">
        <f>G78</f>
        <v>100000</v>
      </c>
      <c r="H77" s="242"/>
      <c r="I77" s="242"/>
      <c r="J77" s="242"/>
      <c r="K77" s="243">
        <f>F77</f>
        <v>100000</v>
      </c>
    </row>
    <row r="78" spans="1:11" s="79" customFormat="1" ht="32.25" customHeight="1">
      <c r="A78" s="244"/>
      <c r="B78" s="167" t="s">
        <v>204</v>
      </c>
      <c r="C78" s="174" t="s">
        <v>136</v>
      </c>
      <c r="D78" s="245">
        <v>2011</v>
      </c>
      <c r="E78" s="245">
        <v>2011</v>
      </c>
      <c r="F78" s="246">
        <f t="shared" si="11"/>
        <v>100000</v>
      </c>
      <c r="G78" s="247">
        <v>100000</v>
      </c>
      <c r="H78" s="247"/>
      <c r="I78" s="247"/>
      <c r="J78" s="247"/>
      <c r="K78" s="247"/>
    </row>
    <row r="79" spans="1:11" s="179" customFormat="1" ht="54.75" customHeight="1">
      <c r="A79" s="356" t="s">
        <v>65</v>
      </c>
      <c r="B79" s="360" t="s">
        <v>205</v>
      </c>
      <c r="C79" s="361"/>
      <c r="D79" s="358"/>
      <c r="E79" s="358"/>
      <c r="F79" s="359">
        <f t="shared" si="11"/>
        <v>5620000</v>
      </c>
      <c r="G79" s="362">
        <f>G80</f>
        <v>5620000</v>
      </c>
      <c r="H79" s="362"/>
      <c r="I79" s="362"/>
      <c r="J79" s="362"/>
      <c r="K79" s="362">
        <f>K80</f>
        <v>5620000</v>
      </c>
    </row>
    <row r="80" spans="1:11" s="79" customFormat="1" ht="33" customHeight="1">
      <c r="A80" s="252" t="s">
        <v>66</v>
      </c>
      <c r="B80" s="253" t="s">
        <v>206</v>
      </c>
      <c r="C80" s="254" t="s">
        <v>168</v>
      </c>
      <c r="D80" s="255">
        <v>2010</v>
      </c>
      <c r="E80" s="255">
        <v>2015</v>
      </c>
      <c r="F80" s="246">
        <f t="shared" si="11"/>
        <v>5620000</v>
      </c>
      <c r="G80" s="256">
        <v>5620000</v>
      </c>
      <c r="H80" s="256"/>
      <c r="I80" s="257"/>
      <c r="J80" s="257"/>
      <c r="K80" s="258">
        <f>F80</f>
        <v>5620000</v>
      </c>
    </row>
    <row r="81" spans="1:11" s="179" customFormat="1" ht="53.25" customHeight="1">
      <c r="A81" s="248" t="s">
        <v>67</v>
      </c>
      <c r="B81" s="249" t="s">
        <v>207</v>
      </c>
      <c r="C81" s="259"/>
      <c r="D81" s="260"/>
      <c r="E81" s="260"/>
      <c r="F81" s="164">
        <f t="shared" si="11"/>
        <v>18059000</v>
      </c>
      <c r="G81" s="251">
        <f>SUM(G82:G86)</f>
        <v>6559000</v>
      </c>
      <c r="H81" s="251">
        <f>SUM(H82:H86)</f>
        <v>3500000</v>
      </c>
      <c r="I81" s="251"/>
      <c r="J81" s="251">
        <f>SUM(J82:J86)</f>
        <v>8000000</v>
      </c>
      <c r="K81" s="251">
        <f>SUM(K82:K86)</f>
        <v>18059000</v>
      </c>
    </row>
    <row r="82" spans="1:11" s="125" customFormat="1" ht="30" customHeight="1">
      <c r="A82" s="261" t="s">
        <v>68</v>
      </c>
      <c r="B82" s="262" t="s">
        <v>208</v>
      </c>
      <c r="C82" s="254" t="s">
        <v>168</v>
      </c>
      <c r="D82" s="263">
        <v>2010</v>
      </c>
      <c r="E82" s="263">
        <v>2011</v>
      </c>
      <c r="F82" s="246">
        <f t="shared" si="11"/>
        <v>230000</v>
      </c>
      <c r="G82" s="264">
        <v>230000</v>
      </c>
      <c r="H82" s="264"/>
      <c r="I82" s="264"/>
      <c r="J82" s="264"/>
      <c r="K82" s="265">
        <f aca="true" t="shared" si="12" ref="K82:K110">SUM(G82:J82)</f>
        <v>230000</v>
      </c>
    </row>
    <row r="83" spans="1:11" s="125" customFormat="1" ht="27" customHeight="1">
      <c r="A83" s="261" t="s">
        <v>69</v>
      </c>
      <c r="B83" s="262" t="s">
        <v>209</v>
      </c>
      <c r="C83" s="254" t="s">
        <v>168</v>
      </c>
      <c r="D83" s="263">
        <v>2007</v>
      </c>
      <c r="E83" s="263">
        <v>2014</v>
      </c>
      <c r="F83" s="246">
        <f t="shared" si="11"/>
        <v>13500000</v>
      </c>
      <c r="G83" s="264">
        <v>4000000</v>
      </c>
      <c r="H83" s="264">
        <v>3500000</v>
      </c>
      <c r="I83" s="264"/>
      <c r="J83" s="264">
        <v>6000000</v>
      </c>
      <c r="K83" s="265">
        <f t="shared" si="12"/>
        <v>13500000</v>
      </c>
    </row>
    <row r="84" spans="1:11" s="79" customFormat="1" ht="27.75" customHeight="1">
      <c r="A84" s="261" t="s">
        <v>210</v>
      </c>
      <c r="B84" s="262" t="s">
        <v>211</v>
      </c>
      <c r="C84" s="254" t="s">
        <v>168</v>
      </c>
      <c r="D84" s="263">
        <v>2010</v>
      </c>
      <c r="E84" s="263">
        <v>2011</v>
      </c>
      <c r="F84" s="266">
        <f t="shared" si="11"/>
        <v>259000</v>
      </c>
      <c r="G84" s="264">
        <v>259000</v>
      </c>
      <c r="H84" s="264"/>
      <c r="I84" s="267"/>
      <c r="J84" s="267"/>
      <c r="K84" s="265">
        <f t="shared" si="12"/>
        <v>259000</v>
      </c>
    </row>
    <row r="85" spans="1:11" s="79" customFormat="1" ht="26.25" customHeight="1">
      <c r="A85" s="252" t="s">
        <v>212</v>
      </c>
      <c r="B85" s="253" t="s">
        <v>213</v>
      </c>
      <c r="C85" s="254" t="s">
        <v>168</v>
      </c>
      <c r="D85" s="255">
        <v>2011</v>
      </c>
      <c r="E85" s="255">
        <v>2015</v>
      </c>
      <c r="F85" s="268">
        <f t="shared" si="11"/>
        <v>2250000</v>
      </c>
      <c r="G85" s="256">
        <v>250000</v>
      </c>
      <c r="H85" s="256"/>
      <c r="I85" s="267"/>
      <c r="J85" s="267">
        <v>2000000</v>
      </c>
      <c r="K85" s="265">
        <f t="shared" si="12"/>
        <v>2250000</v>
      </c>
    </row>
    <row r="86" spans="1:11" s="79" customFormat="1" ht="31.5" customHeight="1">
      <c r="A86" s="261" t="s">
        <v>214</v>
      </c>
      <c r="B86" s="262" t="s">
        <v>215</v>
      </c>
      <c r="C86" s="254" t="s">
        <v>136</v>
      </c>
      <c r="D86" s="263">
        <v>2010</v>
      </c>
      <c r="E86" s="263">
        <v>2015</v>
      </c>
      <c r="F86" s="246">
        <f t="shared" si="11"/>
        <v>1820000</v>
      </c>
      <c r="G86" s="264">
        <v>1820000</v>
      </c>
      <c r="H86" s="264"/>
      <c r="I86" s="267"/>
      <c r="J86" s="267"/>
      <c r="K86" s="265">
        <f t="shared" si="12"/>
        <v>1820000</v>
      </c>
    </row>
    <row r="87" spans="1:11" s="179" customFormat="1" ht="22.5" customHeight="1">
      <c r="A87" s="248" t="s">
        <v>70</v>
      </c>
      <c r="B87" s="249" t="s">
        <v>216</v>
      </c>
      <c r="C87" s="269"/>
      <c r="D87" s="250"/>
      <c r="E87" s="250"/>
      <c r="F87" s="164">
        <f t="shared" si="11"/>
        <v>1100000</v>
      </c>
      <c r="G87" s="251">
        <f>G88</f>
        <v>200000</v>
      </c>
      <c r="H87" s="251">
        <f>H88</f>
        <v>300000</v>
      </c>
      <c r="I87" s="270">
        <f>I88</f>
        <v>300000</v>
      </c>
      <c r="J87" s="270">
        <f>J88</f>
        <v>300000</v>
      </c>
      <c r="K87" s="271">
        <f t="shared" si="12"/>
        <v>1100000</v>
      </c>
    </row>
    <row r="88" spans="1:11" s="79" customFormat="1" ht="27" customHeight="1">
      <c r="A88" s="261"/>
      <c r="B88" s="272" t="s">
        <v>217</v>
      </c>
      <c r="C88" s="254" t="s">
        <v>168</v>
      </c>
      <c r="D88" s="263">
        <v>2007</v>
      </c>
      <c r="E88" s="263">
        <v>2015</v>
      </c>
      <c r="F88" s="246">
        <f t="shared" si="11"/>
        <v>1100000</v>
      </c>
      <c r="G88" s="264">
        <v>200000</v>
      </c>
      <c r="H88" s="264">
        <v>300000</v>
      </c>
      <c r="I88" s="267">
        <v>300000</v>
      </c>
      <c r="J88" s="267">
        <v>300000</v>
      </c>
      <c r="K88" s="265">
        <f t="shared" si="12"/>
        <v>1100000</v>
      </c>
    </row>
    <row r="89" spans="1:11" s="179" customFormat="1" ht="27" customHeight="1">
      <c r="A89" s="248" t="s">
        <v>218</v>
      </c>
      <c r="B89" s="249" t="s">
        <v>219</v>
      </c>
      <c r="C89" s="269"/>
      <c r="D89" s="250"/>
      <c r="E89" s="250"/>
      <c r="F89" s="164">
        <f t="shared" si="11"/>
        <v>6130000</v>
      </c>
      <c r="G89" s="251">
        <f>SUM(G90:G93)</f>
        <v>2630000</v>
      </c>
      <c r="H89" s="251">
        <f>SUM(H90:H93)</f>
        <v>1300000</v>
      </c>
      <c r="I89" s="251">
        <f>SUM(I90:I93)</f>
        <v>1600000</v>
      </c>
      <c r="J89" s="251">
        <f>SUM(J90:J93)</f>
        <v>600000</v>
      </c>
      <c r="K89" s="271">
        <f t="shared" si="12"/>
        <v>6130000</v>
      </c>
    </row>
    <row r="90" spans="1:11" s="79" customFormat="1" ht="21" customHeight="1">
      <c r="A90" s="261" t="s">
        <v>220</v>
      </c>
      <c r="B90" s="272" t="s">
        <v>221</v>
      </c>
      <c r="C90" s="254" t="s">
        <v>136</v>
      </c>
      <c r="D90" s="263">
        <v>1998</v>
      </c>
      <c r="E90" s="263"/>
      <c r="F90" s="246">
        <f t="shared" si="11"/>
        <v>2400000</v>
      </c>
      <c r="G90" s="264">
        <v>2400000</v>
      </c>
      <c r="H90" s="264"/>
      <c r="I90" s="267"/>
      <c r="J90" s="267"/>
      <c r="K90" s="265">
        <f t="shared" si="12"/>
        <v>2400000</v>
      </c>
    </row>
    <row r="91" spans="1:11" s="79" customFormat="1" ht="22.5" customHeight="1">
      <c r="A91" s="261" t="s">
        <v>222</v>
      </c>
      <c r="B91" s="272" t="s">
        <v>223</v>
      </c>
      <c r="C91" s="254" t="s">
        <v>136</v>
      </c>
      <c r="D91" s="263">
        <v>2010</v>
      </c>
      <c r="E91" s="263">
        <v>2014</v>
      </c>
      <c r="F91" s="246">
        <f t="shared" si="11"/>
        <v>30000</v>
      </c>
      <c r="G91" s="264">
        <v>30000</v>
      </c>
      <c r="H91" s="264"/>
      <c r="I91" s="267"/>
      <c r="J91" s="267"/>
      <c r="K91" s="265">
        <f t="shared" si="12"/>
        <v>30000</v>
      </c>
    </row>
    <row r="92" spans="1:11" s="79" customFormat="1" ht="21.75" customHeight="1">
      <c r="A92" s="261" t="s">
        <v>224</v>
      </c>
      <c r="B92" s="272" t="s">
        <v>225</v>
      </c>
      <c r="C92" s="254" t="s">
        <v>136</v>
      </c>
      <c r="D92" s="263">
        <v>2010</v>
      </c>
      <c r="E92" s="263"/>
      <c r="F92" s="246">
        <f t="shared" si="11"/>
        <v>2700000</v>
      </c>
      <c r="G92" s="264">
        <v>100000</v>
      </c>
      <c r="H92" s="264">
        <v>800000</v>
      </c>
      <c r="I92" s="267">
        <v>1200000</v>
      </c>
      <c r="J92" s="267">
        <v>600000</v>
      </c>
      <c r="K92" s="265">
        <f t="shared" si="12"/>
        <v>2700000</v>
      </c>
    </row>
    <row r="93" spans="1:11" s="79" customFormat="1" ht="24.75" customHeight="1">
      <c r="A93" s="261" t="s">
        <v>226</v>
      </c>
      <c r="B93" s="272" t="s">
        <v>227</v>
      </c>
      <c r="C93" s="254" t="s">
        <v>136</v>
      </c>
      <c r="D93" s="263">
        <v>2011</v>
      </c>
      <c r="E93" s="263">
        <v>2013</v>
      </c>
      <c r="F93" s="246">
        <f t="shared" si="11"/>
        <v>1000000</v>
      </c>
      <c r="G93" s="264">
        <v>100000</v>
      </c>
      <c r="H93" s="264">
        <v>500000</v>
      </c>
      <c r="I93" s="267">
        <v>400000</v>
      </c>
      <c r="J93" s="267"/>
      <c r="K93" s="265">
        <f t="shared" si="12"/>
        <v>1000000</v>
      </c>
    </row>
    <row r="94" spans="1:11" s="179" customFormat="1" ht="27.75" customHeight="1">
      <c r="A94" s="248" t="s">
        <v>228</v>
      </c>
      <c r="B94" s="249" t="s">
        <v>229</v>
      </c>
      <c r="C94" s="269"/>
      <c r="D94" s="250"/>
      <c r="E94" s="250"/>
      <c r="F94" s="164">
        <f t="shared" si="11"/>
        <v>27771000</v>
      </c>
      <c r="G94" s="251">
        <f>SUM(G95:G102)</f>
        <v>14621000</v>
      </c>
      <c r="H94" s="251">
        <f>SUM(H95:H102)</f>
        <v>10150000</v>
      </c>
      <c r="I94" s="251">
        <f>SUM(I95:I102)</f>
        <v>2550000</v>
      </c>
      <c r="J94" s="251">
        <f>SUM(J95:J102)</f>
        <v>450000</v>
      </c>
      <c r="K94" s="271">
        <f t="shared" si="12"/>
        <v>27771000</v>
      </c>
    </row>
    <row r="95" spans="1:11" s="228" customFormat="1" ht="33" customHeight="1">
      <c r="A95" s="261" t="s">
        <v>230</v>
      </c>
      <c r="B95" s="273" t="s">
        <v>231</v>
      </c>
      <c r="C95" s="254" t="s">
        <v>168</v>
      </c>
      <c r="D95" s="263">
        <v>2010</v>
      </c>
      <c r="E95" s="263">
        <v>2013</v>
      </c>
      <c r="F95" s="246">
        <f t="shared" si="11"/>
        <v>9200000</v>
      </c>
      <c r="G95" s="264">
        <v>200000</v>
      </c>
      <c r="H95" s="264">
        <v>7000000</v>
      </c>
      <c r="I95" s="264">
        <v>2000000</v>
      </c>
      <c r="J95" s="264"/>
      <c r="K95" s="265">
        <f t="shared" si="12"/>
        <v>9200000</v>
      </c>
    </row>
    <row r="96" spans="1:11" s="228" customFormat="1" ht="33.75" customHeight="1">
      <c r="A96" s="261" t="s">
        <v>232</v>
      </c>
      <c r="B96" s="262" t="s">
        <v>233</v>
      </c>
      <c r="C96" s="254" t="s">
        <v>168</v>
      </c>
      <c r="D96" s="263">
        <v>2006</v>
      </c>
      <c r="E96" s="263">
        <v>2011</v>
      </c>
      <c r="F96" s="266">
        <f t="shared" si="11"/>
        <v>800000</v>
      </c>
      <c r="G96" s="264">
        <v>800000</v>
      </c>
      <c r="H96" s="264"/>
      <c r="I96" s="264"/>
      <c r="J96" s="264"/>
      <c r="K96" s="265">
        <f t="shared" si="12"/>
        <v>800000</v>
      </c>
    </row>
    <row r="97" spans="1:11" s="228" customFormat="1" ht="49.5" customHeight="1">
      <c r="A97" s="252" t="s">
        <v>234</v>
      </c>
      <c r="B97" s="253" t="s">
        <v>235</v>
      </c>
      <c r="C97" s="254" t="s">
        <v>168</v>
      </c>
      <c r="D97" s="255">
        <v>2006</v>
      </c>
      <c r="E97" s="255">
        <v>2013</v>
      </c>
      <c r="F97" s="268">
        <f t="shared" si="11"/>
        <v>1300000</v>
      </c>
      <c r="G97" s="256">
        <v>300000</v>
      </c>
      <c r="H97" s="256">
        <v>500000</v>
      </c>
      <c r="I97" s="256">
        <v>500000</v>
      </c>
      <c r="J97" s="256"/>
      <c r="K97" s="258">
        <f t="shared" si="12"/>
        <v>1300000</v>
      </c>
    </row>
    <row r="98" spans="1:11" s="79" customFormat="1" ht="30">
      <c r="A98" s="261" t="s">
        <v>236</v>
      </c>
      <c r="B98" s="262" t="s">
        <v>237</v>
      </c>
      <c r="C98" s="254" t="s">
        <v>168</v>
      </c>
      <c r="D98" s="263">
        <v>2010</v>
      </c>
      <c r="E98" s="263">
        <v>2013</v>
      </c>
      <c r="F98" s="246">
        <f t="shared" si="11"/>
        <v>6650000</v>
      </c>
      <c r="G98" s="264">
        <v>4050000</v>
      </c>
      <c r="H98" s="264">
        <v>2600000</v>
      </c>
      <c r="I98" s="267"/>
      <c r="J98" s="267"/>
      <c r="K98" s="265">
        <f t="shared" si="12"/>
        <v>6650000</v>
      </c>
    </row>
    <row r="99" spans="1:11" s="79" customFormat="1" ht="27.75" customHeight="1">
      <c r="A99" s="261" t="s">
        <v>238</v>
      </c>
      <c r="B99" s="262" t="s">
        <v>239</v>
      </c>
      <c r="C99" s="254" t="s">
        <v>168</v>
      </c>
      <c r="D99" s="263">
        <v>2010</v>
      </c>
      <c r="E99" s="263">
        <v>2011</v>
      </c>
      <c r="F99" s="246">
        <f t="shared" si="11"/>
        <v>500000</v>
      </c>
      <c r="G99" s="264">
        <v>100000</v>
      </c>
      <c r="H99" s="264"/>
      <c r="I99" s="267"/>
      <c r="J99" s="267">
        <v>400000</v>
      </c>
      <c r="K99" s="265">
        <f t="shared" si="12"/>
        <v>500000</v>
      </c>
    </row>
    <row r="100" spans="1:11" s="79" customFormat="1" ht="26.25" customHeight="1">
      <c r="A100" s="261" t="s">
        <v>240</v>
      </c>
      <c r="B100" s="262" t="s">
        <v>241</v>
      </c>
      <c r="C100" s="254" t="s">
        <v>168</v>
      </c>
      <c r="D100" s="263">
        <v>2010</v>
      </c>
      <c r="E100" s="263">
        <v>2011</v>
      </c>
      <c r="F100" s="246">
        <f t="shared" si="11"/>
        <v>9000000</v>
      </c>
      <c r="G100" s="264">
        <v>9000000</v>
      </c>
      <c r="H100" s="264"/>
      <c r="I100" s="267"/>
      <c r="J100" s="267"/>
      <c r="K100" s="265">
        <f t="shared" si="12"/>
        <v>9000000</v>
      </c>
    </row>
    <row r="101" spans="1:11" s="79" customFormat="1" ht="24" customHeight="1">
      <c r="A101" s="261" t="s">
        <v>242</v>
      </c>
      <c r="B101" s="262" t="s">
        <v>243</v>
      </c>
      <c r="C101" s="254" t="s">
        <v>168</v>
      </c>
      <c r="D101" s="263"/>
      <c r="E101" s="263"/>
      <c r="F101" s="266">
        <f t="shared" si="11"/>
        <v>221000</v>
      </c>
      <c r="G101" s="264">
        <v>71000</v>
      </c>
      <c r="H101" s="264">
        <v>50000</v>
      </c>
      <c r="I101" s="267">
        <v>50000</v>
      </c>
      <c r="J101" s="267">
        <v>50000</v>
      </c>
      <c r="K101" s="265">
        <f t="shared" si="12"/>
        <v>221000</v>
      </c>
    </row>
    <row r="102" spans="1:11" s="79" customFormat="1" ht="27.75" customHeight="1">
      <c r="A102" s="252" t="s">
        <v>244</v>
      </c>
      <c r="B102" s="253" t="s">
        <v>245</v>
      </c>
      <c r="C102" s="254" t="s">
        <v>168</v>
      </c>
      <c r="D102" s="255"/>
      <c r="E102" s="255"/>
      <c r="F102" s="268">
        <f t="shared" si="11"/>
        <v>100000</v>
      </c>
      <c r="G102" s="256">
        <v>100000</v>
      </c>
      <c r="H102" s="256"/>
      <c r="I102" s="274"/>
      <c r="J102" s="267"/>
      <c r="K102" s="265">
        <f t="shared" si="12"/>
        <v>100000</v>
      </c>
    </row>
    <row r="103" spans="1:11" s="179" customFormat="1" ht="20.25" customHeight="1">
      <c r="A103" s="248" t="s">
        <v>246</v>
      </c>
      <c r="B103" s="275" t="s">
        <v>247</v>
      </c>
      <c r="C103" s="259"/>
      <c r="D103" s="260"/>
      <c r="E103" s="260"/>
      <c r="F103" s="164">
        <f t="shared" si="11"/>
        <v>300000</v>
      </c>
      <c r="G103" s="251">
        <f>G104</f>
        <v>300000</v>
      </c>
      <c r="H103" s="251"/>
      <c r="I103" s="251"/>
      <c r="J103" s="251"/>
      <c r="K103" s="271">
        <f t="shared" si="12"/>
        <v>300000</v>
      </c>
    </row>
    <row r="104" spans="1:11" s="79" customFormat="1" ht="27.75" customHeight="1">
      <c r="A104" s="261"/>
      <c r="B104" s="262" t="s">
        <v>248</v>
      </c>
      <c r="C104" s="254" t="s">
        <v>168</v>
      </c>
      <c r="D104" s="263">
        <v>2011</v>
      </c>
      <c r="E104" s="263">
        <v>2011</v>
      </c>
      <c r="F104" s="246">
        <f t="shared" si="11"/>
        <v>300000</v>
      </c>
      <c r="G104" s="264">
        <v>300000</v>
      </c>
      <c r="H104" s="264"/>
      <c r="I104" s="267"/>
      <c r="J104" s="267"/>
      <c r="K104" s="265">
        <f t="shared" si="12"/>
        <v>300000</v>
      </c>
    </row>
    <row r="105" spans="1:11" s="281" customFormat="1" ht="20.25" customHeight="1">
      <c r="A105" s="276" t="s">
        <v>249</v>
      </c>
      <c r="B105" s="277" t="s">
        <v>250</v>
      </c>
      <c r="C105" s="278"/>
      <c r="D105" s="279"/>
      <c r="E105" s="279"/>
      <c r="F105" s="164">
        <f t="shared" si="11"/>
        <v>5000000</v>
      </c>
      <c r="G105" s="280">
        <f>SUM(G106:G107)</f>
        <v>2000000</v>
      </c>
      <c r="H105" s="280">
        <f>H106</f>
        <v>1000000</v>
      </c>
      <c r="I105" s="280">
        <f>I106</f>
        <v>1000000</v>
      </c>
      <c r="J105" s="280">
        <f>J106</f>
        <v>1000000</v>
      </c>
      <c r="K105" s="271">
        <f t="shared" si="12"/>
        <v>5000000</v>
      </c>
    </row>
    <row r="106" spans="1:11" s="79" customFormat="1" ht="25.5" customHeight="1">
      <c r="A106" s="261" t="s">
        <v>251</v>
      </c>
      <c r="B106" s="262" t="s">
        <v>252</v>
      </c>
      <c r="C106" s="254" t="s">
        <v>168</v>
      </c>
      <c r="D106" s="263">
        <v>2007</v>
      </c>
      <c r="E106" s="263">
        <v>2015</v>
      </c>
      <c r="F106" s="246">
        <f t="shared" si="11"/>
        <v>4000000</v>
      </c>
      <c r="G106" s="264">
        <v>1000000</v>
      </c>
      <c r="H106" s="264">
        <v>1000000</v>
      </c>
      <c r="I106" s="267">
        <v>1000000</v>
      </c>
      <c r="J106" s="267">
        <v>1000000</v>
      </c>
      <c r="K106" s="265">
        <f t="shared" si="12"/>
        <v>4000000</v>
      </c>
    </row>
    <row r="107" spans="1:11" s="79" customFormat="1" ht="31.5" customHeight="1">
      <c r="A107" s="261" t="s">
        <v>253</v>
      </c>
      <c r="B107" s="262" t="s">
        <v>254</v>
      </c>
      <c r="C107" s="254" t="s">
        <v>136</v>
      </c>
      <c r="D107" s="263">
        <v>2011</v>
      </c>
      <c r="E107" s="263">
        <v>2011</v>
      </c>
      <c r="F107" s="246">
        <f t="shared" si="11"/>
        <v>1000000</v>
      </c>
      <c r="G107" s="264">
        <v>1000000</v>
      </c>
      <c r="H107" s="264"/>
      <c r="I107" s="267"/>
      <c r="J107" s="267"/>
      <c r="K107" s="265">
        <f t="shared" si="12"/>
        <v>1000000</v>
      </c>
    </row>
    <row r="108" spans="1:11" s="179" customFormat="1" ht="24.75" customHeight="1">
      <c r="A108" s="180" t="s">
        <v>255</v>
      </c>
      <c r="B108" s="181" t="s">
        <v>256</v>
      </c>
      <c r="C108" s="224"/>
      <c r="D108" s="177"/>
      <c r="E108" s="177"/>
      <c r="F108" s="164">
        <f t="shared" si="11"/>
        <v>6237600</v>
      </c>
      <c r="G108" s="242">
        <f>SUM(G109:G110)</f>
        <v>4521000</v>
      </c>
      <c r="H108" s="242">
        <f>SUM(H109:H110)</f>
        <v>1716600</v>
      </c>
      <c r="I108" s="242"/>
      <c r="J108" s="242"/>
      <c r="K108" s="271">
        <f t="shared" si="12"/>
        <v>6237600</v>
      </c>
    </row>
    <row r="109" spans="1:11" s="79" customFormat="1" ht="35.25" customHeight="1">
      <c r="A109" s="282" t="s">
        <v>257</v>
      </c>
      <c r="B109" s="283" t="s">
        <v>258</v>
      </c>
      <c r="C109" s="149" t="s">
        <v>136</v>
      </c>
      <c r="D109" s="150">
        <v>2010</v>
      </c>
      <c r="E109" s="150">
        <v>2012</v>
      </c>
      <c r="F109" s="246">
        <f t="shared" si="11"/>
        <v>2650000</v>
      </c>
      <c r="G109" s="284">
        <v>1130000</v>
      </c>
      <c r="H109" s="284">
        <v>1520000</v>
      </c>
      <c r="I109" s="285"/>
      <c r="J109" s="247"/>
      <c r="K109" s="265">
        <f t="shared" si="12"/>
        <v>2650000</v>
      </c>
    </row>
    <row r="110" spans="1:11" s="79" customFormat="1" ht="26.25" customHeight="1">
      <c r="A110" s="261" t="s">
        <v>259</v>
      </c>
      <c r="B110" s="286" t="s">
        <v>260</v>
      </c>
      <c r="C110" s="287" t="s">
        <v>136</v>
      </c>
      <c r="D110" s="263">
        <v>2010</v>
      </c>
      <c r="E110" s="263">
        <v>2012</v>
      </c>
      <c r="F110" s="246">
        <f t="shared" si="11"/>
        <v>3587600</v>
      </c>
      <c r="G110" s="267">
        <v>3391000</v>
      </c>
      <c r="H110" s="267">
        <v>196600</v>
      </c>
      <c r="I110" s="288"/>
      <c r="J110" s="289"/>
      <c r="K110" s="265">
        <f t="shared" si="12"/>
        <v>3587600</v>
      </c>
    </row>
    <row r="111" spans="1:11" s="179" customFormat="1" ht="20.25" customHeight="1">
      <c r="A111" s="248" t="s">
        <v>261</v>
      </c>
      <c r="B111" s="275" t="s">
        <v>172</v>
      </c>
      <c r="C111" s="269"/>
      <c r="D111" s="250"/>
      <c r="E111" s="250"/>
      <c r="F111" s="164">
        <f>F112</f>
        <v>350000</v>
      </c>
      <c r="G111" s="164">
        <f>G112</f>
        <v>150000</v>
      </c>
      <c r="H111" s="164">
        <f>H112</f>
        <v>100000</v>
      </c>
      <c r="I111" s="164">
        <f>I112</f>
        <v>100000</v>
      </c>
      <c r="J111" s="164"/>
      <c r="K111" s="164">
        <f>K112</f>
        <v>350000</v>
      </c>
    </row>
    <row r="112" spans="1:11" s="79" customFormat="1" ht="33" customHeight="1">
      <c r="A112" s="261"/>
      <c r="B112" s="262" t="s">
        <v>262</v>
      </c>
      <c r="C112" s="254" t="s">
        <v>168</v>
      </c>
      <c r="D112" s="263">
        <v>2010</v>
      </c>
      <c r="E112" s="263">
        <v>2013</v>
      </c>
      <c r="F112" s="246">
        <f>SUM(G112:J112)</f>
        <v>350000</v>
      </c>
      <c r="G112" s="264">
        <v>150000</v>
      </c>
      <c r="H112" s="264">
        <v>100000</v>
      </c>
      <c r="I112" s="267">
        <v>100000</v>
      </c>
      <c r="J112" s="267"/>
      <c r="K112" s="265">
        <f>SUM(G112:J112)</f>
        <v>350000</v>
      </c>
    </row>
    <row r="113" spans="1:11" s="179" customFormat="1" ht="33.75" customHeight="1">
      <c r="A113" s="248" t="s">
        <v>263</v>
      </c>
      <c r="B113" s="275" t="s">
        <v>264</v>
      </c>
      <c r="C113" s="269"/>
      <c r="D113" s="250"/>
      <c r="E113" s="250"/>
      <c r="F113" s="164">
        <f>SUM(F114:F115)</f>
        <v>1702000</v>
      </c>
      <c r="G113" s="164">
        <f>SUM(G114:G115)</f>
        <v>790000</v>
      </c>
      <c r="H113" s="164">
        <f>SUM(H114:H115)</f>
        <v>912000</v>
      </c>
      <c r="I113" s="164"/>
      <c r="J113" s="164"/>
      <c r="K113" s="164">
        <f>SUM(K114:K115)</f>
        <v>1702000</v>
      </c>
    </row>
    <row r="114" spans="1:11" s="79" customFormat="1" ht="31.5" customHeight="1">
      <c r="A114" s="261" t="s">
        <v>265</v>
      </c>
      <c r="B114" s="262" t="s">
        <v>266</v>
      </c>
      <c r="C114" s="254" t="s">
        <v>168</v>
      </c>
      <c r="D114" s="263">
        <v>2010</v>
      </c>
      <c r="E114" s="263">
        <v>2012</v>
      </c>
      <c r="F114" s="246">
        <f>SUM(G114:J114)</f>
        <v>1652000</v>
      </c>
      <c r="G114" s="264">
        <v>740000</v>
      </c>
      <c r="H114" s="264">
        <v>912000</v>
      </c>
      <c r="I114" s="267"/>
      <c r="J114" s="267"/>
      <c r="K114" s="265">
        <f>SUM(G114:J114)</f>
        <v>1652000</v>
      </c>
    </row>
    <row r="115" spans="1:11" s="79" customFormat="1" ht="25.5" customHeight="1">
      <c r="A115" s="261" t="s">
        <v>267</v>
      </c>
      <c r="B115" s="262" t="s">
        <v>268</v>
      </c>
      <c r="C115" s="254" t="s">
        <v>136</v>
      </c>
      <c r="D115" s="263">
        <v>2011</v>
      </c>
      <c r="E115" s="263">
        <v>2011</v>
      </c>
      <c r="F115" s="266">
        <f>SUM(G115:J115)</f>
        <v>50000</v>
      </c>
      <c r="G115" s="264">
        <v>50000</v>
      </c>
      <c r="H115" s="264"/>
      <c r="I115" s="267"/>
      <c r="J115" s="267"/>
      <c r="K115" s="265">
        <f>SUM(G115:J115)</f>
        <v>50000</v>
      </c>
    </row>
    <row r="116" spans="1:11" s="179" customFormat="1" ht="35.25" customHeight="1">
      <c r="A116" s="356" t="s">
        <v>269</v>
      </c>
      <c r="B116" s="357" t="s">
        <v>270</v>
      </c>
      <c r="C116" s="259"/>
      <c r="D116" s="358"/>
      <c r="E116" s="358"/>
      <c r="F116" s="359">
        <f aca="true" t="shared" si="13" ref="F116:K116">F117</f>
        <v>320000</v>
      </c>
      <c r="G116" s="359">
        <f t="shared" si="13"/>
        <v>40000</v>
      </c>
      <c r="H116" s="359">
        <f t="shared" si="13"/>
        <v>80000</v>
      </c>
      <c r="I116" s="359">
        <f t="shared" si="13"/>
        <v>100000</v>
      </c>
      <c r="J116" s="359">
        <f t="shared" si="13"/>
        <v>100000</v>
      </c>
      <c r="K116" s="359">
        <f t="shared" si="13"/>
        <v>320000</v>
      </c>
    </row>
    <row r="117" spans="1:11" s="79" customFormat="1" ht="30.75" customHeight="1">
      <c r="A117" s="261"/>
      <c r="B117" s="262" t="s">
        <v>271</v>
      </c>
      <c r="C117" s="254" t="s">
        <v>168</v>
      </c>
      <c r="D117" s="263"/>
      <c r="E117" s="263"/>
      <c r="F117" s="246">
        <f>SUM(G117:J117)</f>
        <v>320000</v>
      </c>
      <c r="G117" s="264">
        <v>40000</v>
      </c>
      <c r="H117" s="264">
        <v>80000</v>
      </c>
      <c r="I117" s="267">
        <v>100000</v>
      </c>
      <c r="J117" s="267">
        <v>100000</v>
      </c>
      <c r="K117" s="265">
        <f>SUM(G117:J117)</f>
        <v>320000</v>
      </c>
    </row>
    <row r="118" spans="1:11" s="179" customFormat="1" ht="32.25" customHeight="1">
      <c r="A118" s="248" t="s">
        <v>272</v>
      </c>
      <c r="B118" s="275" t="s">
        <v>273</v>
      </c>
      <c r="C118" s="269"/>
      <c r="D118" s="250"/>
      <c r="E118" s="250"/>
      <c r="F118" s="164">
        <f aca="true" t="shared" si="14" ref="F118:K118">F119</f>
        <v>4000000</v>
      </c>
      <c r="G118" s="251">
        <f t="shared" si="14"/>
        <v>100000</v>
      </c>
      <c r="H118" s="251">
        <f t="shared" si="14"/>
        <v>2000000</v>
      </c>
      <c r="I118" s="251">
        <f t="shared" si="14"/>
        <v>900000</v>
      </c>
      <c r="J118" s="251">
        <f t="shared" si="14"/>
        <v>1000000</v>
      </c>
      <c r="K118" s="251">
        <f t="shared" si="14"/>
        <v>4000000</v>
      </c>
    </row>
    <row r="119" spans="1:11" s="79" customFormat="1" ht="33" customHeight="1">
      <c r="A119" s="261"/>
      <c r="B119" s="262" t="s">
        <v>274</v>
      </c>
      <c r="C119" s="254" t="s">
        <v>136</v>
      </c>
      <c r="D119" s="263">
        <v>2010</v>
      </c>
      <c r="E119" s="263">
        <v>2014</v>
      </c>
      <c r="F119" s="246">
        <f>SUM(G119:J119)</f>
        <v>4000000</v>
      </c>
      <c r="G119" s="264">
        <v>100000</v>
      </c>
      <c r="H119" s="264">
        <v>2000000</v>
      </c>
      <c r="I119" s="267">
        <v>900000</v>
      </c>
      <c r="J119" s="267">
        <v>1000000</v>
      </c>
      <c r="K119" s="265">
        <f>SUM(G119:J119)</f>
        <v>4000000</v>
      </c>
    </row>
    <row r="120" spans="1:11" s="179" customFormat="1" ht="39.75" customHeight="1">
      <c r="A120" s="248" t="s">
        <v>275</v>
      </c>
      <c r="B120" s="275" t="s">
        <v>276</v>
      </c>
      <c r="C120" s="269"/>
      <c r="D120" s="250"/>
      <c r="E120" s="250"/>
      <c r="F120" s="164">
        <f aca="true" t="shared" si="15" ref="F120:K120">SUM(F121:F122)</f>
        <v>3350000</v>
      </c>
      <c r="G120" s="164">
        <f t="shared" si="15"/>
        <v>2450000</v>
      </c>
      <c r="H120" s="164">
        <f t="shared" si="15"/>
        <v>300000</v>
      </c>
      <c r="I120" s="164">
        <f t="shared" si="15"/>
        <v>300000</v>
      </c>
      <c r="J120" s="164">
        <f t="shared" si="15"/>
        <v>300000</v>
      </c>
      <c r="K120" s="164">
        <f t="shared" si="15"/>
        <v>3350000</v>
      </c>
    </row>
    <row r="121" spans="1:11" s="79" customFormat="1" ht="34.5" customHeight="1">
      <c r="A121" s="261" t="s">
        <v>277</v>
      </c>
      <c r="B121" s="262" t="s">
        <v>278</v>
      </c>
      <c r="C121" s="254" t="s">
        <v>136</v>
      </c>
      <c r="D121" s="263">
        <v>2008</v>
      </c>
      <c r="E121" s="263">
        <v>2011</v>
      </c>
      <c r="F121" s="246">
        <f aca="true" t="shared" si="16" ref="F121:F136">SUM(G121:J121)</f>
        <v>2200000</v>
      </c>
      <c r="G121" s="264">
        <v>2200000</v>
      </c>
      <c r="H121" s="264"/>
      <c r="I121" s="264"/>
      <c r="J121" s="264"/>
      <c r="K121" s="265">
        <f aca="true" t="shared" si="17" ref="K121:K136">SUM(G121:J121)</f>
        <v>2200000</v>
      </c>
    </row>
    <row r="122" spans="1:11" s="79" customFormat="1" ht="21" customHeight="1">
      <c r="A122" s="261" t="s">
        <v>279</v>
      </c>
      <c r="B122" s="262" t="s">
        <v>280</v>
      </c>
      <c r="C122" s="254" t="s">
        <v>136</v>
      </c>
      <c r="D122" s="263"/>
      <c r="E122" s="263"/>
      <c r="F122" s="246">
        <f t="shared" si="16"/>
        <v>1150000</v>
      </c>
      <c r="G122" s="264">
        <v>250000</v>
      </c>
      <c r="H122" s="264">
        <v>300000</v>
      </c>
      <c r="I122" s="264">
        <v>300000</v>
      </c>
      <c r="J122" s="264">
        <v>300000</v>
      </c>
      <c r="K122" s="265">
        <f t="shared" si="17"/>
        <v>1150000</v>
      </c>
    </row>
    <row r="123" spans="1:11" s="179" customFormat="1" ht="39" customHeight="1">
      <c r="A123" s="180" t="s">
        <v>281</v>
      </c>
      <c r="B123" s="181" t="s">
        <v>282</v>
      </c>
      <c r="C123" s="241"/>
      <c r="D123" s="177"/>
      <c r="E123" s="177"/>
      <c r="F123" s="164">
        <f t="shared" si="16"/>
        <v>3800000</v>
      </c>
      <c r="G123" s="242">
        <f>G124</f>
        <v>3800000</v>
      </c>
      <c r="H123" s="242"/>
      <c r="I123" s="242"/>
      <c r="J123" s="242"/>
      <c r="K123" s="271">
        <f t="shared" si="17"/>
        <v>3800000</v>
      </c>
    </row>
    <row r="124" spans="1:11" s="79" customFormat="1" ht="31.5" customHeight="1">
      <c r="A124" s="244"/>
      <c r="B124" s="290" t="s">
        <v>283</v>
      </c>
      <c r="C124" s="174" t="s">
        <v>136</v>
      </c>
      <c r="D124" s="245">
        <v>2007</v>
      </c>
      <c r="E124" s="245">
        <v>2011</v>
      </c>
      <c r="F124" s="246">
        <f t="shared" si="16"/>
        <v>3800000</v>
      </c>
      <c r="G124" s="247">
        <v>3800000</v>
      </c>
      <c r="H124" s="247"/>
      <c r="I124" s="291"/>
      <c r="J124" s="247"/>
      <c r="K124" s="265">
        <f t="shared" si="17"/>
        <v>3800000</v>
      </c>
    </row>
    <row r="125" spans="1:11" s="179" customFormat="1" ht="31.5" customHeight="1">
      <c r="A125" s="180" t="s">
        <v>284</v>
      </c>
      <c r="B125" s="176" t="s">
        <v>285</v>
      </c>
      <c r="C125" s="224"/>
      <c r="D125" s="177"/>
      <c r="E125" s="177"/>
      <c r="F125" s="164">
        <f t="shared" si="16"/>
        <v>15748600</v>
      </c>
      <c r="G125" s="242">
        <f>SUM(G126:G127)</f>
        <v>8709700</v>
      </c>
      <c r="H125" s="242">
        <f>SUM(H126:H127)</f>
        <v>7038900</v>
      </c>
      <c r="I125" s="242"/>
      <c r="J125" s="242"/>
      <c r="K125" s="271">
        <f t="shared" si="17"/>
        <v>15748600</v>
      </c>
    </row>
    <row r="126" spans="1:11" s="79" customFormat="1" ht="34.5" customHeight="1">
      <c r="A126" s="244" t="s">
        <v>286</v>
      </c>
      <c r="B126" s="290" t="s">
        <v>287</v>
      </c>
      <c r="C126" s="221" t="s">
        <v>288</v>
      </c>
      <c r="D126" s="245">
        <v>2009</v>
      </c>
      <c r="E126" s="245">
        <v>2012</v>
      </c>
      <c r="F126" s="246">
        <f t="shared" si="16"/>
        <v>12412600</v>
      </c>
      <c r="G126" s="247">
        <v>7041700</v>
      </c>
      <c r="H126" s="247">
        <v>5370900</v>
      </c>
      <c r="I126" s="291"/>
      <c r="J126" s="247"/>
      <c r="K126" s="265">
        <f t="shared" si="17"/>
        <v>12412600</v>
      </c>
    </row>
    <row r="127" spans="1:11" s="79" customFormat="1" ht="25.5" customHeight="1">
      <c r="A127" s="244" t="s">
        <v>289</v>
      </c>
      <c r="B127" s="290" t="s">
        <v>290</v>
      </c>
      <c r="C127" s="174" t="s">
        <v>136</v>
      </c>
      <c r="D127" s="245">
        <v>2008</v>
      </c>
      <c r="E127" s="245">
        <v>2012</v>
      </c>
      <c r="F127" s="246">
        <f t="shared" si="16"/>
        <v>3336000</v>
      </c>
      <c r="G127" s="247">
        <v>1668000</v>
      </c>
      <c r="H127" s="247">
        <v>1668000</v>
      </c>
      <c r="I127" s="291"/>
      <c r="J127" s="247"/>
      <c r="K127" s="265">
        <f t="shared" si="17"/>
        <v>3336000</v>
      </c>
    </row>
    <row r="128" spans="1:11" s="179" customFormat="1" ht="19.5" customHeight="1">
      <c r="A128" s="248" t="s">
        <v>291</v>
      </c>
      <c r="B128" s="275" t="s">
        <v>292</v>
      </c>
      <c r="C128" s="269"/>
      <c r="D128" s="250"/>
      <c r="E128" s="250"/>
      <c r="F128" s="164">
        <f t="shared" si="16"/>
        <v>11940000</v>
      </c>
      <c r="G128" s="251">
        <f>SUM(G129:G136)</f>
        <v>5790000</v>
      </c>
      <c r="H128" s="251">
        <f>SUM(H129:H136)</f>
        <v>3850000</v>
      </c>
      <c r="I128" s="251">
        <f>SUM(I129:I136)</f>
        <v>1150000</v>
      </c>
      <c r="J128" s="251">
        <f>SUM(J129:J136)</f>
        <v>1150000</v>
      </c>
      <c r="K128" s="271">
        <f t="shared" si="17"/>
        <v>11940000</v>
      </c>
    </row>
    <row r="129" spans="1:11" s="79" customFormat="1" ht="18" customHeight="1">
      <c r="A129" s="261" t="s">
        <v>293</v>
      </c>
      <c r="B129" s="262" t="s">
        <v>294</v>
      </c>
      <c r="C129" s="292" t="s">
        <v>136</v>
      </c>
      <c r="D129" s="263">
        <v>2011</v>
      </c>
      <c r="E129" s="263">
        <v>2011</v>
      </c>
      <c r="F129" s="246">
        <f t="shared" si="16"/>
        <v>500000</v>
      </c>
      <c r="G129" s="264">
        <v>500000</v>
      </c>
      <c r="H129" s="264"/>
      <c r="I129" s="264"/>
      <c r="J129" s="264"/>
      <c r="K129" s="265">
        <f t="shared" si="17"/>
        <v>500000</v>
      </c>
    </row>
    <row r="130" spans="1:11" s="79" customFormat="1" ht="26.25" customHeight="1">
      <c r="A130" s="261" t="s">
        <v>295</v>
      </c>
      <c r="B130" s="262" t="s">
        <v>296</v>
      </c>
      <c r="C130" s="292" t="s">
        <v>136</v>
      </c>
      <c r="D130" s="263">
        <v>2000</v>
      </c>
      <c r="E130" s="263"/>
      <c r="F130" s="246">
        <f t="shared" si="16"/>
        <v>3100000</v>
      </c>
      <c r="G130" s="264">
        <v>100000</v>
      </c>
      <c r="H130" s="264">
        <v>1000000</v>
      </c>
      <c r="I130" s="264">
        <v>1000000</v>
      </c>
      <c r="J130" s="264">
        <v>1000000</v>
      </c>
      <c r="K130" s="265">
        <f t="shared" si="17"/>
        <v>3100000</v>
      </c>
    </row>
    <row r="131" spans="1:11" s="79" customFormat="1" ht="31.5" customHeight="1">
      <c r="A131" s="261" t="s">
        <v>297</v>
      </c>
      <c r="B131" s="262" t="s">
        <v>298</v>
      </c>
      <c r="C131" s="292" t="s">
        <v>136</v>
      </c>
      <c r="D131" s="263">
        <v>2010</v>
      </c>
      <c r="E131" s="263">
        <v>2011</v>
      </c>
      <c r="F131" s="246">
        <f t="shared" si="16"/>
        <v>1000000</v>
      </c>
      <c r="G131" s="264">
        <v>1000000</v>
      </c>
      <c r="H131" s="264"/>
      <c r="I131" s="264"/>
      <c r="J131" s="264"/>
      <c r="K131" s="265">
        <f t="shared" si="17"/>
        <v>1000000</v>
      </c>
    </row>
    <row r="132" spans="1:11" s="79" customFormat="1" ht="33" customHeight="1">
      <c r="A132" s="261" t="s">
        <v>299</v>
      </c>
      <c r="B132" s="262" t="s">
        <v>300</v>
      </c>
      <c r="C132" s="292" t="s">
        <v>301</v>
      </c>
      <c r="D132" s="263">
        <v>2011</v>
      </c>
      <c r="E132" s="263">
        <v>2011</v>
      </c>
      <c r="F132" s="246">
        <f t="shared" si="16"/>
        <v>300000</v>
      </c>
      <c r="G132" s="264">
        <v>300000</v>
      </c>
      <c r="H132" s="264"/>
      <c r="I132" s="264"/>
      <c r="J132" s="264"/>
      <c r="K132" s="265">
        <f t="shared" si="17"/>
        <v>300000</v>
      </c>
    </row>
    <row r="133" spans="1:11" s="79" customFormat="1" ht="23.25" customHeight="1">
      <c r="A133" s="261" t="s">
        <v>302</v>
      </c>
      <c r="B133" s="262" t="s">
        <v>303</v>
      </c>
      <c r="C133" s="292" t="s">
        <v>136</v>
      </c>
      <c r="D133" s="263"/>
      <c r="E133" s="263"/>
      <c r="F133" s="266">
        <f t="shared" si="16"/>
        <v>1200000</v>
      </c>
      <c r="G133" s="264">
        <v>1200000</v>
      </c>
      <c r="H133" s="264"/>
      <c r="I133" s="264"/>
      <c r="J133" s="264"/>
      <c r="K133" s="265">
        <f t="shared" si="17"/>
        <v>1200000</v>
      </c>
    </row>
    <row r="134" spans="1:11" s="79" customFormat="1" ht="24" customHeight="1">
      <c r="A134" s="348" t="s">
        <v>304</v>
      </c>
      <c r="B134" s="349" t="s">
        <v>305</v>
      </c>
      <c r="C134" s="350" t="s">
        <v>136</v>
      </c>
      <c r="D134" s="351">
        <v>2009</v>
      </c>
      <c r="E134" s="351">
        <v>2012</v>
      </c>
      <c r="F134" s="352">
        <f t="shared" si="16"/>
        <v>5200000</v>
      </c>
      <c r="G134" s="353">
        <v>2500000</v>
      </c>
      <c r="H134" s="353">
        <v>2700000</v>
      </c>
      <c r="I134" s="354"/>
      <c r="J134" s="354"/>
      <c r="K134" s="355">
        <f t="shared" si="17"/>
        <v>5200000</v>
      </c>
    </row>
    <row r="135" spans="1:11" s="79" customFormat="1" ht="22.5" customHeight="1">
      <c r="A135" s="261" t="s">
        <v>306</v>
      </c>
      <c r="B135" s="262" t="s">
        <v>307</v>
      </c>
      <c r="C135" s="292" t="s">
        <v>136</v>
      </c>
      <c r="D135" s="263"/>
      <c r="E135" s="263"/>
      <c r="F135" s="294">
        <f t="shared" si="16"/>
        <v>600000</v>
      </c>
      <c r="G135" s="264">
        <v>150000</v>
      </c>
      <c r="H135" s="264">
        <v>150000</v>
      </c>
      <c r="I135" s="264">
        <v>150000</v>
      </c>
      <c r="J135" s="264">
        <v>150000</v>
      </c>
      <c r="K135" s="265">
        <f t="shared" si="17"/>
        <v>600000</v>
      </c>
    </row>
    <row r="136" spans="1:11" s="79" customFormat="1" ht="40.5" customHeight="1" thickBot="1">
      <c r="A136" s="295" t="s">
        <v>308</v>
      </c>
      <c r="B136" s="296" t="s">
        <v>309</v>
      </c>
      <c r="C136" s="297" t="s">
        <v>136</v>
      </c>
      <c r="D136" s="298">
        <v>2011</v>
      </c>
      <c r="E136" s="298">
        <v>2011</v>
      </c>
      <c r="F136" s="299">
        <f t="shared" si="16"/>
        <v>40000</v>
      </c>
      <c r="G136" s="300">
        <v>40000</v>
      </c>
      <c r="H136" s="300"/>
      <c r="I136" s="300"/>
      <c r="J136" s="300"/>
      <c r="K136" s="301">
        <f t="shared" si="17"/>
        <v>40000</v>
      </c>
    </row>
    <row r="137" spans="1:11" s="29" customFormat="1" ht="93" customHeight="1" thickBot="1" thickTop="1">
      <c r="A137" s="302" t="s">
        <v>71</v>
      </c>
      <c r="B137" s="303" t="s">
        <v>72</v>
      </c>
      <c r="C137" s="304"/>
      <c r="D137" s="305"/>
      <c r="E137" s="306"/>
      <c r="F137" s="307">
        <f>F138</f>
        <v>93523160</v>
      </c>
      <c r="G137" s="307">
        <f>G138</f>
        <v>24583890</v>
      </c>
      <c r="H137" s="307">
        <f>H138</f>
        <v>24583890</v>
      </c>
      <c r="I137" s="307">
        <f>I138</f>
        <v>23330690</v>
      </c>
      <c r="J137" s="307">
        <f>J138</f>
        <v>21024690</v>
      </c>
      <c r="K137" s="308">
        <f>F137</f>
        <v>93523160</v>
      </c>
    </row>
    <row r="138" spans="1:11" s="315" customFormat="1" ht="25.5" customHeight="1" thickTop="1">
      <c r="A138" s="309"/>
      <c r="B138" s="310" t="s">
        <v>50</v>
      </c>
      <c r="C138" s="311"/>
      <c r="D138" s="312"/>
      <c r="E138" s="313"/>
      <c r="F138" s="314">
        <f aca="true" t="shared" si="18" ref="F138:K138">SUM(F139:F154)</f>
        <v>93523160</v>
      </c>
      <c r="G138" s="314">
        <f t="shared" si="18"/>
        <v>24583890</v>
      </c>
      <c r="H138" s="314">
        <f t="shared" si="18"/>
        <v>24583890</v>
      </c>
      <c r="I138" s="314">
        <f t="shared" si="18"/>
        <v>23330690</v>
      </c>
      <c r="J138" s="314">
        <f t="shared" si="18"/>
        <v>21024690</v>
      </c>
      <c r="K138" s="314">
        <f t="shared" si="18"/>
        <v>93523160</v>
      </c>
    </row>
    <row r="139" spans="1:11" s="19" customFormat="1" ht="25.5" customHeight="1">
      <c r="A139" s="316">
        <v>1</v>
      </c>
      <c r="B139" s="317" t="s">
        <v>310</v>
      </c>
      <c r="C139" s="254" t="s">
        <v>168</v>
      </c>
      <c r="D139" s="129">
        <v>2011</v>
      </c>
      <c r="E139" s="129">
        <v>2014</v>
      </c>
      <c r="F139" s="318">
        <f aca="true" t="shared" si="19" ref="F139:F154">SUM(G139:J139)</f>
        <v>5960000</v>
      </c>
      <c r="G139" s="318">
        <v>1490000</v>
      </c>
      <c r="H139" s="318">
        <f aca="true" t="shared" si="20" ref="H139:J146">G139</f>
        <v>1490000</v>
      </c>
      <c r="I139" s="318">
        <f t="shared" si="20"/>
        <v>1490000</v>
      </c>
      <c r="J139" s="318">
        <f t="shared" si="20"/>
        <v>1490000</v>
      </c>
      <c r="K139" s="319">
        <f>F139</f>
        <v>5960000</v>
      </c>
    </row>
    <row r="140" spans="1:11" s="19" customFormat="1" ht="30" customHeight="1">
      <c r="A140" s="316">
        <v>2</v>
      </c>
      <c r="B140" s="317" t="s">
        <v>311</v>
      </c>
      <c r="C140" s="254" t="s">
        <v>168</v>
      </c>
      <c r="D140" s="129">
        <v>2011</v>
      </c>
      <c r="E140" s="129">
        <v>2014</v>
      </c>
      <c r="F140" s="318">
        <f t="shared" si="19"/>
        <v>5240000</v>
      </c>
      <c r="G140" s="318">
        <v>1310000</v>
      </c>
      <c r="H140" s="318">
        <f t="shared" si="20"/>
        <v>1310000</v>
      </c>
      <c r="I140" s="318">
        <f t="shared" si="20"/>
        <v>1310000</v>
      </c>
      <c r="J140" s="318">
        <f t="shared" si="20"/>
        <v>1310000</v>
      </c>
      <c r="K140" s="319">
        <f aca="true" t="shared" si="21" ref="K140:K154">F140</f>
        <v>5240000</v>
      </c>
    </row>
    <row r="141" spans="1:11" s="19" customFormat="1" ht="29.25" customHeight="1">
      <c r="A141" s="316">
        <v>3</v>
      </c>
      <c r="B141" s="317" t="s">
        <v>312</v>
      </c>
      <c r="C141" s="254" t="s">
        <v>168</v>
      </c>
      <c r="D141" s="129">
        <v>2011</v>
      </c>
      <c r="E141" s="129">
        <v>2014</v>
      </c>
      <c r="F141" s="318">
        <f t="shared" si="19"/>
        <v>2400000</v>
      </c>
      <c r="G141" s="318">
        <v>600000</v>
      </c>
      <c r="H141" s="318">
        <f t="shared" si="20"/>
        <v>600000</v>
      </c>
      <c r="I141" s="318">
        <f t="shared" si="20"/>
        <v>600000</v>
      </c>
      <c r="J141" s="318">
        <f t="shared" si="20"/>
        <v>600000</v>
      </c>
      <c r="K141" s="319">
        <f t="shared" si="21"/>
        <v>2400000</v>
      </c>
    </row>
    <row r="142" spans="1:11" s="19" customFormat="1" ht="31.5" customHeight="1">
      <c r="A142" s="316">
        <v>4</v>
      </c>
      <c r="B142" s="317" t="s">
        <v>313</v>
      </c>
      <c r="C142" s="254" t="s">
        <v>168</v>
      </c>
      <c r="D142" s="129">
        <v>2011</v>
      </c>
      <c r="E142" s="129">
        <v>2014</v>
      </c>
      <c r="F142" s="318">
        <f t="shared" si="19"/>
        <v>17220000</v>
      </c>
      <c r="G142" s="318">
        <v>4305000</v>
      </c>
      <c r="H142" s="318">
        <f t="shared" si="20"/>
        <v>4305000</v>
      </c>
      <c r="I142" s="318">
        <f t="shared" si="20"/>
        <v>4305000</v>
      </c>
      <c r="J142" s="318">
        <f t="shared" si="20"/>
        <v>4305000</v>
      </c>
      <c r="K142" s="319">
        <f t="shared" si="21"/>
        <v>17220000</v>
      </c>
    </row>
    <row r="143" spans="1:11" s="19" customFormat="1" ht="27.75" customHeight="1">
      <c r="A143" s="316">
        <v>5</v>
      </c>
      <c r="B143" s="317" t="s">
        <v>314</v>
      </c>
      <c r="C143" s="254" t="s">
        <v>168</v>
      </c>
      <c r="D143" s="129">
        <v>2011</v>
      </c>
      <c r="E143" s="129">
        <v>2014</v>
      </c>
      <c r="F143" s="318">
        <f t="shared" si="19"/>
        <v>17684000</v>
      </c>
      <c r="G143" s="318">
        <v>4421000</v>
      </c>
      <c r="H143" s="318">
        <f t="shared" si="20"/>
        <v>4421000</v>
      </c>
      <c r="I143" s="318">
        <f t="shared" si="20"/>
        <v>4421000</v>
      </c>
      <c r="J143" s="318">
        <f t="shared" si="20"/>
        <v>4421000</v>
      </c>
      <c r="K143" s="319">
        <f t="shared" si="21"/>
        <v>17684000</v>
      </c>
    </row>
    <row r="144" spans="1:11" s="19" customFormat="1" ht="27" customHeight="1">
      <c r="A144" s="316">
        <v>6</v>
      </c>
      <c r="B144" s="317" t="s">
        <v>315</v>
      </c>
      <c r="C144" s="254" t="s">
        <v>168</v>
      </c>
      <c r="D144" s="129">
        <v>2011</v>
      </c>
      <c r="E144" s="129">
        <v>2014</v>
      </c>
      <c r="F144" s="318">
        <f t="shared" si="19"/>
        <v>10024000</v>
      </c>
      <c r="G144" s="318">
        <v>2506000</v>
      </c>
      <c r="H144" s="318">
        <f t="shared" si="20"/>
        <v>2506000</v>
      </c>
      <c r="I144" s="318">
        <f t="shared" si="20"/>
        <v>2506000</v>
      </c>
      <c r="J144" s="318">
        <f t="shared" si="20"/>
        <v>2506000</v>
      </c>
      <c r="K144" s="319">
        <f t="shared" si="21"/>
        <v>10024000</v>
      </c>
    </row>
    <row r="145" spans="1:11" s="19" customFormat="1" ht="27" customHeight="1">
      <c r="A145" s="316">
        <v>7</v>
      </c>
      <c r="B145" s="317" t="s">
        <v>316</v>
      </c>
      <c r="C145" s="254" t="s">
        <v>168</v>
      </c>
      <c r="D145" s="129">
        <v>2011</v>
      </c>
      <c r="E145" s="129">
        <v>2014</v>
      </c>
      <c r="F145" s="318">
        <f t="shared" si="19"/>
        <v>16400000</v>
      </c>
      <c r="G145" s="318">
        <v>4100000</v>
      </c>
      <c r="H145" s="318">
        <f t="shared" si="20"/>
        <v>4100000</v>
      </c>
      <c r="I145" s="318">
        <f t="shared" si="20"/>
        <v>4100000</v>
      </c>
      <c r="J145" s="318">
        <f t="shared" si="20"/>
        <v>4100000</v>
      </c>
      <c r="K145" s="319">
        <f t="shared" si="21"/>
        <v>16400000</v>
      </c>
    </row>
    <row r="146" spans="1:11" s="19" customFormat="1" ht="27" customHeight="1">
      <c r="A146" s="316">
        <v>8</v>
      </c>
      <c r="B146" s="317" t="s">
        <v>317</v>
      </c>
      <c r="C146" s="254" t="s">
        <v>168</v>
      </c>
      <c r="D146" s="129">
        <v>2011</v>
      </c>
      <c r="E146" s="129">
        <v>2014</v>
      </c>
      <c r="F146" s="318">
        <f t="shared" si="19"/>
        <v>140000</v>
      </c>
      <c r="G146" s="318">
        <v>35000</v>
      </c>
      <c r="H146" s="318">
        <f t="shared" si="20"/>
        <v>35000</v>
      </c>
      <c r="I146" s="318">
        <f t="shared" si="20"/>
        <v>35000</v>
      </c>
      <c r="J146" s="318">
        <f t="shared" si="20"/>
        <v>35000</v>
      </c>
      <c r="K146" s="319">
        <f t="shared" si="21"/>
        <v>140000</v>
      </c>
    </row>
    <row r="147" spans="1:11" s="19" customFormat="1" ht="38.25" customHeight="1">
      <c r="A147" s="316">
        <v>9</v>
      </c>
      <c r="B147" s="317" t="s">
        <v>318</v>
      </c>
      <c r="C147" s="254" t="s">
        <v>136</v>
      </c>
      <c r="D147" s="129">
        <v>2011</v>
      </c>
      <c r="E147" s="129">
        <v>2014</v>
      </c>
      <c r="F147" s="318">
        <f t="shared" si="19"/>
        <v>648000</v>
      </c>
      <c r="G147" s="318">
        <v>321000</v>
      </c>
      <c r="H147" s="318">
        <v>321000</v>
      </c>
      <c r="I147" s="246">
        <v>6000</v>
      </c>
      <c r="J147" s="246"/>
      <c r="K147" s="319">
        <f t="shared" si="21"/>
        <v>648000</v>
      </c>
    </row>
    <row r="148" spans="1:11" ht="38.25" customHeight="1">
      <c r="A148" s="316">
        <v>10</v>
      </c>
      <c r="B148" s="342" t="s">
        <v>319</v>
      </c>
      <c r="C148" s="343" t="s">
        <v>136</v>
      </c>
      <c r="D148" s="344">
        <v>2011</v>
      </c>
      <c r="E148" s="344">
        <v>2014</v>
      </c>
      <c r="F148" s="345">
        <f>SUM(G148:J148)</f>
        <v>6000000</v>
      </c>
      <c r="G148" s="346">
        <v>1500000</v>
      </c>
      <c r="H148" s="346">
        <v>1500000</v>
      </c>
      <c r="I148" s="346">
        <v>1500000</v>
      </c>
      <c r="J148" s="346">
        <v>1500000</v>
      </c>
      <c r="K148" s="347">
        <f>F148</f>
        <v>6000000</v>
      </c>
    </row>
    <row r="149" spans="1:11" s="19" customFormat="1" ht="48.75" customHeight="1">
      <c r="A149" s="337">
        <v>11</v>
      </c>
      <c r="B149" s="338" t="s">
        <v>320</v>
      </c>
      <c r="C149" s="254" t="s">
        <v>136</v>
      </c>
      <c r="D149" s="339">
        <v>2011</v>
      </c>
      <c r="E149" s="339">
        <v>2013</v>
      </c>
      <c r="F149" s="340">
        <f t="shared" si="19"/>
        <v>6900000</v>
      </c>
      <c r="G149" s="340">
        <v>2300000</v>
      </c>
      <c r="H149" s="340">
        <v>2300000</v>
      </c>
      <c r="I149" s="268">
        <v>2300000</v>
      </c>
      <c r="J149" s="268"/>
      <c r="K149" s="341">
        <f t="shared" si="21"/>
        <v>6900000</v>
      </c>
    </row>
    <row r="150" spans="1:11" s="19" customFormat="1" ht="36.75" customHeight="1">
      <c r="A150" s="316">
        <v>12</v>
      </c>
      <c r="B150" s="317" t="s">
        <v>321</v>
      </c>
      <c r="C150" s="254" t="s">
        <v>136</v>
      </c>
      <c r="D150" s="129">
        <v>2009</v>
      </c>
      <c r="E150" s="129">
        <v>2014</v>
      </c>
      <c r="F150" s="318">
        <f t="shared" si="19"/>
        <v>948000</v>
      </c>
      <c r="G150" s="318">
        <f>95000+142000</f>
        <v>237000</v>
      </c>
      <c r="H150" s="318">
        <f>G150</f>
        <v>237000</v>
      </c>
      <c r="I150" s="246">
        <f>H150</f>
        <v>237000</v>
      </c>
      <c r="J150" s="246">
        <f>I150</f>
        <v>237000</v>
      </c>
      <c r="K150" s="319">
        <f t="shared" si="21"/>
        <v>948000</v>
      </c>
    </row>
    <row r="151" spans="1:11" s="19" customFormat="1" ht="30.75" customHeight="1">
      <c r="A151" s="316">
        <v>13</v>
      </c>
      <c r="B151" s="317" t="s">
        <v>322</v>
      </c>
      <c r="C151" s="254" t="s">
        <v>136</v>
      </c>
      <c r="D151" s="129">
        <v>2009</v>
      </c>
      <c r="E151" s="129">
        <v>2014</v>
      </c>
      <c r="F151" s="318">
        <f t="shared" si="19"/>
        <v>922760</v>
      </c>
      <c r="G151" s="318">
        <f>200000+30690</f>
        <v>230690</v>
      </c>
      <c r="H151" s="318">
        <f>200000+30690</f>
        <v>230690</v>
      </c>
      <c r="I151" s="318">
        <f>200000+30690</f>
        <v>230690</v>
      </c>
      <c r="J151" s="318">
        <f>200000+30690</f>
        <v>230690</v>
      </c>
      <c r="K151" s="319">
        <f t="shared" si="21"/>
        <v>922760</v>
      </c>
    </row>
    <row r="152" spans="1:11" ht="37.5" customHeight="1">
      <c r="A152" s="316">
        <v>14</v>
      </c>
      <c r="B152" s="320" t="s">
        <v>323</v>
      </c>
      <c r="C152" s="292" t="s">
        <v>136</v>
      </c>
      <c r="D152" s="321">
        <v>2010</v>
      </c>
      <c r="E152" s="321">
        <v>2012</v>
      </c>
      <c r="F152" s="318">
        <f t="shared" si="19"/>
        <v>676400</v>
      </c>
      <c r="G152" s="322">
        <v>338200</v>
      </c>
      <c r="H152" s="322">
        <f>G152</f>
        <v>338200</v>
      </c>
      <c r="I152" s="322"/>
      <c r="J152" s="322"/>
      <c r="K152" s="319">
        <f t="shared" si="21"/>
        <v>676400</v>
      </c>
    </row>
    <row r="153" spans="1:11" ht="35.25" customHeight="1">
      <c r="A153" s="323">
        <v>15</v>
      </c>
      <c r="B153" s="324" t="s">
        <v>324</v>
      </c>
      <c r="C153" s="293" t="s">
        <v>136</v>
      </c>
      <c r="D153" s="325">
        <v>2010</v>
      </c>
      <c r="E153" s="325">
        <v>2012</v>
      </c>
      <c r="F153" s="326">
        <f t="shared" si="19"/>
        <v>1200000</v>
      </c>
      <c r="G153" s="327">
        <v>600000</v>
      </c>
      <c r="H153" s="327">
        <f>G153</f>
        <v>600000</v>
      </c>
      <c r="I153" s="327"/>
      <c r="J153" s="327"/>
      <c r="K153" s="328">
        <f t="shared" si="21"/>
        <v>1200000</v>
      </c>
    </row>
    <row r="154" spans="1:11" ht="18.75" customHeight="1">
      <c r="A154" s="316">
        <v>16</v>
      </c>
      <c r="B154" s="329" t="s">
        <v>325</v>
      </c>
      <c r="C154" s="330" t="s">
        <v>136</v>
      </c>
      <c r="D154" s="331">
        <v>2008</v>
      </c>
      <c r="E154" s="331">
        <v>2014</v>
      </c>
      <c r="F154" s="318">
        <f t="shared" si="19"/>
        <v>1160000</v>
      </c>
      <c r="G154" s="332">
        <v>290000</v>
      </c>
      <c r="H154" s="332">
        <f>G154</f>
        <v>290000</v>
      </c>
      <c r="I154" s="332">
        <f>H154</f>
        <v>290000</v>
      </c>
      <c r="J154" s="332">
        <f>G154</f>
        <v>290000</v>
      </c>
      <c r="K154" s="319">
        <f t="shared" si="21"/>
        <v>1160000</v>
      </c>
    </row>
    <row r="156" spans="1:11" ht="15">
      <c r="A156" s="33" t="s">
        <v>328</v>
      </c>
      <c r="F156" s="334"/>
      <c r="G156" s="335"/>
      <c r="H156" s="335"/>
      <c r="I156" s="335"/>
      <c r="J156" s="335"/>
      <c r="K156" s="336"/>
    </row>
    <row r="157" ht="15">
      <c r="A157" s="33" t="s">
        <v>327</v>
      </c>
    </row>
    <row r="158" ht="15">
      <c r="A158" s="33" t="s">
        <v>329</v>
      </c>
    </row>
  </sheetData>
  <sheetProtection selectLockedCells="1" selectUnlockedCells="1"/>
  <mergeCells count="13">
    <mergeCell ref="C44:C45"/>
    <mergeCell ref="B8:B9"/>
    <mergeCell ref="C8:C9"/>
    <mergeCell ref="D8:E8"/>
    <mergeCell ref="A5:K6"/>
    <mergeCell ref="A8:A9"/>
    <mergeCell ref="J1:K1"/>
    <mergeCell ref="J2:K2"/>
    <mergeCell ref="J3:K3"/>
    <mergeCell ref="J4:K4"/>
    <mergeCell ref="G8:J8"/>
    <mergeCell ref="K8:K9"/>
    <mergeCell ref="F8:F9"/>
  </mergeCells>
  <printOptions horizontalCentered="1"/>
  <pageMargins left="0" right="0" top="0.2755905511811024" bottom="0.5118110236220472" header="0.15748031496062992" footer="0"/>
  <pageSetup firstPageNumber="8" useFirstPageNumber="1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sulewska</cp:lastModifiedBy>
  <cp:lastPrinted>2010-12-03T11:53:01Z</cp:lastPrinted>
  <dcterms:created xsi:type="dcterms:W3CDTF">2010-09-03T11:17:53Z</dcterms:created>
  <dcterms:modified xsi:type="dcterms:W3CDTF">2010-12-03T13:25:10Z</dcterms:modified>
  <cp:category/>
  <cp:version/>
  <cp:contentType/>
  <cp:contentStatus/>
</cp:coreProperties>
</file>