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85" windowWidth="13500" windowHeight="747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comments1.xml><?xml version="1.0" encoding="utf-8"?>
<comments xmlns="http://schemas.openxmlformats.org/spreadsheetml/2006/main">
  <authors>
    <author>Mioduszewska</author>
  </authors>
  <commentList>
    <comment ref="F50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1 385,6 z inf. o spłatach kredytów i pożyczek  +          5 002,2
</t>
        </r>
      </text>
    </comment>
  </commentList>
</comments>
</file>

<file path=xl/sharedStrings.xml><?xml version="1.0" encoding="utf-8"?>
<sst xmlns="http://schemas.openxmlformats.org/spreadsheetml/2006/main" count="108" uniqueCount="105">
  <si>
    <t xml:space="preserve">                                                                                       PROGNOZA ŁĄCZNEJ KWOTY DŁUGU PUBLICZNEGO  MIASTA KOSZALINA NA LATA  2010 - 2021</t>
  </si>
  <si>
    <t>w tys. zł.</t>
  </si>
  <si>
    <t xml:space="preserve">  Wykonanie</t>
  </si>
  <si>
    <t>Wykonanie</t>
  </si>
  <si>
    <t>Przewidywane wykonanie</t>
  </si>
  <si>
    <t>Lp.</t>
  </si>
  <si>
    <t>Wyszczególnienie</t>
  </si>
  <si>
    <t>2004 r</t>
  </si>
  <si>
    <t>2005 r.</t>
  </si>
  <si>
    <t>2006 r.</t>
  </si>
  <si>
    <t>2007r.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</si>
  <si>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</si>
  <si>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</si>
  <si>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</si>
  <si>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</si>
  <si>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</si>
  <si>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</si>
  <si>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</si>
  <si>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</si>
  <si>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</si>
  <si>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</si>
  <si>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</si>
  <si>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</si>
  <si>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</si>
  <si>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</si>
  <si>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 xml:space="preserve">A. DOCHODY </t>
  </si>
  <si>
    <t xml:space="preserve">Dochody własne </t>
  </si>
  <si>
    <t>podatki i opłaty lokalne</t>
  </si>
  <si>
    <t>dochody z mienia</t>
  </si>
  <si>
    <t>udziały w dochodach budżetu państwa</t>
  </si>
  <si>
    <t xml:space="preserve">inne wpływy </t>
  </si>
  <si>
    <t>Subwencje</t>
  </si>
  <si>
    <t>Dotacje z budżetu państwa i wojewody</t>
  </si>
  <si>
    <t>Dotacje z funduszy celowych</t>
  </si>
  <si>
    <t>Pozostałe</t>
  </si>
  <si>
    <t xml:space="preserve">Dochody bieżące    </t>
  </si>
  <si>
    <t>Dochody majątkowe</t>
  </si>
  <si>
    <t>w tym: ze sprzedaży majątku</t>
  </si>
  <si>
    <t xml:space="preserve">B. WYDATKI: </t>
  </si>
  <si>
    <t xml:space="preserve">Wydatki bieżące    </t>
  </si>
  <si>
    <t>w tym: remonty</t>
  </si>
  <si>
    <t>Wydatki majątkowe</t>
  </si>
  <si>
    <t>C. NADWYŻKA/DEFICYT (A-B)</t>
  </si>
  <si>
    <t>D. FINANSOWANIE (D1_D2)</t>
  </si>
  <si>
    <t>D1  Przychody ogółem:</t>
  </si>
  <si>
    <t xml:space="preserve">D11. Kredyty, w tym: </t>
  </si>
  <si>
    <t>D111. Zaciągnięte w związku z umową zawartą z podmiotem dysponującym środkami, o których mowa w art. 5 ust.3 ufp</t>
  </si>
  <si>
    <t xml:space="preserve">D12. Pożyczki, w tym: </t>
  </si>
  <si>
    <t>D121. zaciągnięte w związku z umową zawartą z podmiotem dysponującym środkami, o których mowa w art. 5 ust.3 ufp</t>
  </si>
  <si>
    <t>D1211. pożyczki na prefinansowanie programów i projektów zaciągnięte w związku z umową zawartą z podmiotem dysponującym środkami, o których mowa w art. 5 ust.3 ufp</t>
  </si>
  <si>
    <t>D13. spłaty pożyczek udzielonych</t>
  </si>
  <si>
    <t>D14. nadwyżka z lat ubiegłych, w tym:</t>
  </si>
  <si>
    <t>D141. środki na pokrycie deficytu</t>
  </si>
  <si>
    <t>D15. Obligacje jednostek samorządowych oraz związków komunalnych, w tym:</t>
  </si>
  <si>
    <t>D151. wyemitowane w związku z umową zawartą z podmiotem 
dysponującym środkami, o których mowa w art. 5 ust. 3 ufp</t>
  </si>
  <si>
    <t>D16. prywatyzacja majątku j.s.t</t>
  </si>
  <si>
    <t>D17. inne źródła, w tym:</t>
  </si>
  <si>
    <t>D171. środki na pokrycie deficytu</t>
  </si>
  <si>
    <t>D2   Rozchody ogółem:</t>
  </si>
  <si>
    <t>D21. spłaty kredytów,w tym:</t>
  </si>
  <si>
    <t>D211. zaciągniętych w związku z umową zawartą z podmiotem dysponującym środkami, o których mowa w art. 5 ust.3 ufp</t>
  </si>
  <si>
    <t>D22. spłaty pożyczek, w tym:</t>
  </si>
  <si>
    <t>D221. zaciągniętych w związku z umową zawartą z podmiotem dysponującym środkami, o których mowa w art. 5 ust.3 ufp</t>
  </si>
  <si>
    <t>D2211. zaciągniętych na prefinansowanie programów i projektów w związku z umową zawartą z podmiotem dysponującym środkami, o których mowa w art. 5 ust.3 ufp</t>
  </si>
  <si>
    <t>D23. pożyczki udzielone</t>
  </si>
  <si>
    <t>D24. lokaty w bankach</t>
  </si>
  <si>
    <t>D25. wykup obligacji samorządowych, tym:</t>
  </si>
  <si>
    <t>D251. wyemitowanych w związku z umową zawartą z podmiotem dysponującym środkami, o których mowa w art. 5 ust.3 ufp</t>
  </si>
  <si>
    <t xml:space="preserve">D26. inne cele </t>
  </si>
  <si>
    <t>E. Umorzenie pożyczki</t>
  </si>
  <si>
    <t xml:space="preserve">7. przewalutowania </t>
  </si>
  <si>
    <t>F.  DŁUG NA KONIEC ROKU</t>
  </si>
  <si>
    <t>1. wyemitowane papiery wartościowe</t>
  </si>
  <si>
    <t>2. zaciągnięte kredyty</t>
  </si>
  <si>
    <t>3. zaciągnięte pożyczki</t>
  </si>
  <si>
    <t>4. przejęte depozyty</t>
  </si>
  <si>
    <t>5. wymagalne zobowiązania, w tym:</t>
  </si>
  <si>
    <t>a/ wynikające z ustaw i orzeczeń sądów lub ostatecznych decyzji administracyjnych</t>
  </si>
  <si>
    <t xml:space="preserve"> b/ uznane za bezsporne przez właściwą jednostkę sektora finansów publicznych, będącą dłużnikiem</t>
  </si>
  <si>
    <t>6.  zobowiązania związane z umową zawartą z podmiotem dysponującym środkami, o których mowa w art. 5 ust.3 ufp</t>
  </si>
  <si>
    <t>a/ kredyty</t>
  </si>
  <si>
    <t>b/ pożyczki</t>
  </si>
  <si>
    <t xml:space="preserve">   c/ emitowane papiery wartościowe</t>
  </si>
  <si>
    <t>c/ emitowane papiery wartościowe</t>
  </si>
  <si>
    <t>G. Wskaźnik łącznego długu do dochodu    (poz.24 /poz.1) %</t>
  </si>
  <si>
    <t>G1. Wskaźnik długu do dochodu  (poz.36 (-) poz.44 ) / poz.1)%</t>
  </si>
  <si>
    <t>G1. Wskaźnik długu do dochodu  (poz.36 (-) poz.44 (-)poz.41) / poz.1)%</t>
  </si>
  <si>
    <t>H. OBCIĄŻENIE ROCZNE BUDŻETU</t>
  </si>
  <si>
    <t>z tytułu spłaty zadłużenia -z tego:</t>
  </si>
  <si>
    <t>1. spłaty rat kredytów z odsetkami</t>
  </si>
  <si>
    <t>2.spłaty rat pożyczek z odsetkami</t>
  </si>
  <si>
    <t>3. potencjalne spłaty udzielonych poręczeń z należnymi odsetkami</t>
  </si>
  <si>
    <t>4. wykup  papierów wartościowych wyemitownych przez j.s.t.</t>
  </si>
  <si>
    <t>5. odsetki od kredytów i pożyczek oraz odsetki i dyskonto od papierów wart. wyemitowanych przez jst</t>
  </si>
  <si>
    <t xml:space="preserve">6. spłaty zobowiązań związanych z umową zawartą z podmiotem dysponującym środkami, o których mowa w art. 5 ust.3 ufp </t>
  </si>
  <si>
    <t>a/ spłaty rat kredytów z odsetkami</t>
  </si>
  <si>
    <t>b/ spłaty rat pożyczek z odsetkami</t>
  </si>
  <si>
    <t>c/ wykup papierów wartościowych z odsetkami i dyskontem</t>
  </si>
  <si>
    <t>d/ potencjalne spłaty poręczeń i gwarancji udzielonych samorządowym osobom prawnym realizującym zadania jst</t>
  </si>
  <si>
    <t>I. Wskaźnik rocznej spłaty łącznego zadłużenia do dochodu                                                                (poz.36 /poz1)%</t>
  </si>
  <si>
    <t>I. Wskaźnik rocznej spłaty zadłużenia do dochodu                                                                                   ( poz.47 (-) poz.53) / poz1)%</t>
  </si>
  <si>
    <t>I. Wskaźnik rocznej spłaty zadłużenia do dochodu bez poręczeń                                                                                  [( poz.47 (-) poz.50)]-poz.53 / poz1)%</t>
  </si>
  <si>
    <t>Autor dokumentu: Anna Żyła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</si>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</sst>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9"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53"/>
      <name val="Calibri"/>
      <family val="2"/>
    </font>
    <font>
      <b/>
      <i/>
      <sz val="9"/>
      <color indexed="53"/>
      <name val="Calibri"/>
      <family val="2"/>
    </font>
    <font>
      <sz val="9"/>
      <color indexed="53"/>
      <name val="Calibri"/>
      <family val="2"/>
    </font>
    <font>
      <b/>
      <i/>
      <sz val="9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5" fillId="0" borderId="5" xfId="0" applyNumberFormat="1" applyFont="1" applyBorder="1" applyAlignment="1">
      <alignment horizontal="centerContinuous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17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1" fontId="7" fillId="0" borderId="18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vertical="center" wrapText="1"/>
    </xf>
    <xf numFmtId="164" fontId="8" fillId="0" borderId="19" xfId="0" applyNumberFormat="1" applyFont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wrapText="1"/>
    </xf>
    <xf numFmtId="164" fontId="8" fillId="0" borderId="22" xfId="0" applyNumberFormat="1" applyFont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1" fontId="5" fillId="0" borderId="24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vertical="center" wrapText="1"/>
    </xf>
    <xf numFmtId="164" fontId="5" fillId="0" borderId="22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1" fontId="9" fillId="0" borderId="25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vertical="center" wrapText="1"/>
    </xf>
    <xf numFmtId="164" fontId="10" fillId="0" borderId="22" xfId="0" applyNumberFormat="1" applyFont="1" applyBorder="1" applyAlignment="1">
      <alignment vertical="center"/>
    </xf>
    <xf numFmtId="164" fontId="9" fillId="0" borderId="22" xfId="0" applyNumberFormat="1" applyFont="1" applyBorder="1" applyAlignment="1">
      <alignment vertical="center"/>
    </xf>
    <xf numFmtId="164" fontId="10" fillId="0" borderId="22" xfId="0" applyNumberFormat="1" applyFont="1" applyFill="1" applyBorder="1" applyAlignment="1">
      <alignment vertical="center"/>
    </xf>
    <xf numFmtId="164" fontId="9" fillId="0" borderId="23" xfId="0" applyNumberFormat="1" applyFont="1" applyBorder="1" applyAlignment="1">
      <alignment vertical="center"/>
    </xf>
    <xf numFmtId="0" fontId="9" fillId="0" borderId="0" xfId="0" applyFont="1" applyAlignment="1">
      <alignment/>
    </xf>
    <xf numFmtId="1" fontId="7" fillId="0" borderId="27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vertical="center" wrapText="1"/>
    </xf>
    <xf numFmtId="164" fontId="7" fillId="0" borderId="28" xfId="0" applyNumberFormat="1" applyFont="1" applyFill="1" applyBorder="1" applyAlignment="1">
      <alignment vertical="center" wrapText="1"/>
    </xf>
    <xf numFmtId="164" fontId="7" fillId="0" borderId="29" xfId="0" applyNumberFormat="1" applyFont="1" applyBorder="1" applyAlignment="1">
      <alignment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64" fontId="8" fillId="0" borderId="30" xfId="0" applyNumberFormat="1" applyFont="1" applyBorder="1" applyAlignment="1">
      <alignment vertical="center"/>
    </xf>
    <xf numFmtId="164" fontId="8" fillId="0" borderId="31" xfId="0" applyNumberFormat="1" applyFont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11" fillId="0" borderId="28" xfId="0" applyNumberFormat="1" applyFont="1" applyBorder="1" applyAlignment="1">
      <alignment vertical="center" wrapText="1"/>
    </xf>
    <xf numFmtId="164" fontId="11" fillId="0" borderId="28" xfId="0" applyNumberFormat="1" applyFont="1" applyFill="1" applyBorder="1" applyAlignment="1">
      <alignment vertical="center" wrapText="1"/>
    </xf>
    <xf numFmtId="164" fontId="11" fillId="0" borderId="29" xfId="0" applyNumberFormat="1" applyFont="1" applyBorder="1" applyAlignment="1">
      <alignment vertical="center" wrapText="1"/>
    </xf>
    <xf numFmtId="164" fontId="11" fillId="0" borderId="19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11" fillId="0" borderId="19" xfId="0" applyNumberFormat="1" applyFont="1" applyFill="1" applyBorder="1" applyAlignment="1">
      <alignment vertical="center"/>
    </xf>
    <xf numFmtId="164" fontId="5" fillId="0" borderId="23" xfId="0" applyNumberFormat="1" applyFont="1" applyBorder="1" applyAlignment="1">
      <alignment vertical="center"/>
    </xf>
    <xf numFmtId="1" fontId="5" fillId="0" borderId="32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vertical="center" wrapText="1"/>
    </xf>
    <xf numFmtId="164" fontId="5" fillId="0" borderId="30" xfId="0" applyNumberFormat="1" applyFont="1" applyBorder="1" applyAlignment="1">
      <alignment vertical="center"/>
    </xf>
    <xf numFmtId="164" fontId="12" fillId="0" borderId="3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12" fillId="0" borderId="30" xfId="0" applyNumberFormat="1" applyFont="1" applyFill="1" applyBorder="1" applyAlignment="1">
      <alignment vertical="center"/>
    </xf>
    <xf numFmtId="164" fontId="5" fillId="0" borderId="33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 wrapText="1"/>
    </xf>
    <xf numFmtId="164" fontId="9" fillId="0" borderId="11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164" fontId="13" fillId="0" borderId="11" xfId="0" applyNumberFormat="1" applyFont="1" applyFill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164" fontId="12" fillId="0" borderId="11" xfId="0" applyNumberFormat="1" applyFont="1" applyFill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9" fillId="0" borderId="34" xfId="17" applyFont="1" applyBorder="1" applyAlignment="1">
      <alignment horizontal="left" vertical="center" wrapText="1"/>
      <protection/>
    </xf>
    <xf numFmtId="164" fontId="9" fillId="0" borderId="1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 wrapText="1"/>
    </xf>
    <xf numFmtId="164" fontId="9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164" fontId="9" fillId="0" borderId="33" xfId="0" applyNumberFormat="1" applyFont="1" applyBorder="1" applyAlignment="1">
      <alignment vertical="center"/>
    </xf>
    <xf numFmtId="1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 wrapText="1"/>
    </xf>
    <xf numFmtId="164" fontId="11" fillId="0" borderId="10" xfId="0" applyNumberFormat="1" applyFont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64" fontId="12" fillId="0" borderId="19" xfId="0" applyNumberFormat="1" applyFont="1" applyBorder="1" applyAlignment="1">
      <alignment vertical="center" wrapText="1"/>
    </xf>
    <xf numFmtId="164" fontId="12" fillId="0" borderId="19" xfId="0" applyNumberFormat="1" applyFont="1" applyBorder="1" applyAlignment="1">
      <alignment vertical="center"/>
    </xf>
    <xf numFmtId="164" fontId="12" fillId="0" borderId="19" xfId="0" applyNumberFormat="1" applyFont="1" applyFill="1" applyBorder="1" applyAlignment="1">
      <alignment vertical="center"/>
    </xf>
    <xf numFmtId="164" fontId="8" fillId="0" borderId="30" xfId="0" applyNumberFormat="1" applyFont="1" applyBorder="1" applyAlignment="1">
      <alignment vertical="center" wrapText="1"/>
    </xf>
    <xf numFmtId="164" fontId="8" fillId="0" borderId="30" xfId="0" applyNumberFormat="1" applyFont="1" applyFill="1" applyBorder="1" applyAlignment="1">
      <alignment vertical="center"/>
    </xf>
    <xf numFmtId="164" fontId="5" fillId="0" borderId="31" xfId="0" applyNumberFormat="1" applyFont="1" applyBorder="1" applyAlignment="1">
      <alignment vertical="center"/>
    </xf>
    <xf numFmtId="1" fontId="9" fillId="0" borderId="9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164" fontId="8" fillId="0" borderId="14" xfId="0" applyNumberFormat="1" applyFont="1" applyBorder="1" applyAlignment="1">
      <alignment vertical="center" wrapText="1"/>
    </xf>
    <xf numFmtId="164" fontId="10" fillId="0" borderId="11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7" fillId="0" borderId="11" xfId="0" applyNumberFormat="1" applyFont="1" applyBorder="1" applyAlignment="1">
      <alignment vertical="center" wrapText="1"/>
    </xf>
    <xf numFmtId="164" fontId="15" fillId="0" borderId="11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164" fontId="12" fillId="0" borderId="14" xfId="0" applyNumberFormat="1" applyFont="1" applyFill="1" applyBorder="1" applyAlignment="1">
      <alignment vertical="center"/>
    </xf>
    <xf numFmtId="1" fontId="7" fillId="0" borderId="26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vertical="center"/>
    </xf>
    <xf numFmtId="164" fontId="7" fillId="0" borderId="11" xfId="0" applyNumberFormat="1" applyFont="1" applyFill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164" fontId="7" fillId="0" borderId="35" xfId="0" applyNumberFormat="1" applyFont="1" applyBorder="1" applyAlignment="1">
      <alignment vertical="center" wrapText="1"/>
    </xf>
    <xf numFmtId="164" fontId="7" fillId="0" borderId="35" xfId="0" applyNumberFormat="1" applyFont="1" applyFill="1" applyBorder="1" applyAlignment="1">
      <alignment vertical="center" wrapText="1"/>
    </xf>
    <xf numFmtId="164" fontId="7" fillId="0" borderId="36" xfId="0" applyNumberFormat="1" applyFont="1" applyBorder="1" applyAlignment="1">
      <alignment vertical="center" wrapText="1"/>
    </xf>
    <xf numFmtId="164" fontId="5" fillId="0" borderId="19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12" fillId="0" borderId="22" xfId="0" applyNumberFormat="1" applyFont="1" applyBorder="1" applyAlignment="1">
      <alignment vertical="center"/>
    </xf>
    <xf numFmtId="164" fontId="12" fillId="0" borderId="22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1" fontId="7" fillId="0" borderId="37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Prognoza i kredyty-tabele 20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9"/>
  <sheetViews>
    <sheetView tabSelected="1" workbookViewId="0" topLeftCell="A89">
      <selection activeCell="A91" sqref="A91:A93"/>
    </sheetView>
  </sheetViews>
  <sheetFormatPr defaultColWidth="9.00390625" defaultRowHeight="12.75"/>
  <cols>
    <col min="1" max="1" width="5.875" style="1" customWidth="1"/>
    <col min="2" max="2" width="27.25390625" style="2" customWidth="1"/>
    <col min="3" max="3" width="10.375" style="2" hidden="1" customWidth="1"/>
    <col min="4" max="5" width="10.25390625" style="2" hidden="1" customWidth="1"/>
    <col min="6" max="6" width="8.75390625" style="2" hidden="1" customWidth="1"/>
    <col min="7" max="7" width="8.75390625" style="2" customWidth="1"/>
    <col min="8" max="8" width="9.375" style="2" customWidth="1"/>
    <col min="9" max="13" width="8.25390625" style="2" customWidth="1"/>
    <col min="14" max="16" width="8.25390625" style="5" customWidth="1"/>
    <col min="17" max="17" width="8.25390625" style="6" customWidth="1"/>
    <col min="18" max="20" width="8.25390625" style="5" customWidth="1"/>
    <col min="21" max="16384" width="9.125" style="2" customWidth="1"/>
  </cols>
  <sheetData>
    <row r="1" spans="3:11" ht="15" customHeight="1" hidden="1">
      <c r="C1" s="3"/>
      <c r="K1" s="4"/>
    </row>
    <row r="2" spans="3:11" ht="12.75" hidden="1">
      <c r="C2" s="3"/>
      <c r="K2" s="5"/>
    </row>
    <row r="3" spans="3:11" ht="12.75" hidden="1">
      <c r="C3" s="3"/>
      <c r="K3" s="5"/>
    </row>
    <row r="4" spans="3:11" ht="11.25" customHeight="1">
      <c r="C4" s="3"/>
      <c r="K4" s="5"/>
    </row>
    <row r="5" spans="2:10" ht="13.5" customHeight="1">
      <c r="B5" s="7" t="s">
        <v>0</v>
      </c>
      <c r="C5" s="7"/>
      <c r="D5" s="8"/>
      <c r="E5" s="8"/>
      <c r="F5" s="8"/>
      <c r="G5" s="8"/>
      <c r="H5" s="8"/>
      <c r="I5" s="8"/>
      <c r="J5" s="8"/>
    </row>
    <row r="6" spans="1:20" s="16" customFormat="1" ht="13.5" customHeight="1" thickBot="1">
      <c r="A6" s="9"/>
      <c r="B6" s="10"/>
      <c r="C6" s="11"/>
      <c r="D6" s="11"/>
      <c r="E6" s="11"/>
      <c r="F6" s="11"/>
      <c r="G6" s="11"/>
      <c r="H6" s="11"/>
      <c r="I6" s="11"/>
      <c r="J6" s="11"/>
      <c r="K6" s="12"/>
      <c r="L6" s="12"/>
      <c r="M6" s="13"/>
      <c r="N6" s="5"/>
      <c r="O6" s="12"/>
      <c r="P6" s="12"/>
      <c r="Q6" s="14"/>
      <c r="R6" s="5"/>
      <c r="S6" s="15" t="s">
        <v>1</v>
      </c>
      <c r="T6" s="15"/>
    </row>
    <row r="7" spans="1:20" s="28" customFormat="1" ht="13.5" customHeight="1" thickTop="1">
      <c r="A7" s="17"/>
      <c r="B7" s="18"/>
      <c r="C7" s="19" t="s">
        <v>2</v>
      </c>
      <c r="D7" s="20" t="s">
        <v>2</v>
      </c>
      <c r="E7" s="20" t="s">
        <v>2</v>
      </c>
      <c r="F7" s="21" t="s">
        <v>3</v>
      </c>
      <c r="G7" s="21" t="s">
        <v>3</v>
      </c>
      <c r="H7" s="22"/>
      <c r="I7" s="23" t="s">
        <v>4</v>
      </c>
      <c r="J7" s="24"/>
      <c r="K7" s="24"/>
      <c r="L7" s="24"/>
      <c r="M7" s="24"/>
      <c r="N7" s="24"/>
      <c r="O7" s="24"/>
      <c r="P7" s="24"/>
      <c r="Q7" s="25"/>
      <c r="R7" s="26"/>
      <c r="S7" s="26"/>
      <c r="T7" s="27"/>
    </row>
    <row r="8" spans="1:20" s="16" customFormat="1" ht="15.75" customHeight="1">
      <c r="A8" s="29" t="s">
        <v>5</v>
      </c>
      <c r="B8" s="30" t="s">
        <v>6</v>
      </c>
      <c r="C8" s="31" t="s">
        <v>7</v>
      </c>
      <c r="D8" s="32" t="s">
        <v>8</v>
      </c>
      <c r="E8" s="32" t="s">
        <v>9</v>
      </c>
      <c r="F8" s="32" t="s">
        <v>10</v>
      </c>
      <c r="G8" s="32" t="s">
        <v>11</v>
      </c>
      <c r="H8" s="33" t="s">
        <v>12</v>
      </c>
      <c r="I8" s="34" t="s">
        <v>13</v>
      </c>
      <c r="J8" s="34" t="s">
        <v>14</v>
      </c>
      <c r="K8" s="34" t="s">
        <v>15</v>
      </c>
      <c r="L8" s="34" t="s">
        <v>16</v>
      </c>
      <c r="M8" s="34" t="s">
        <v>17</v>
      </c>
      <c r="N8" s="34" t="s">
        <v>18</v>
      </c>
      <c r="O8" s="34" t="s">
        <v>19</v>
      </c>
      <c r="P8" s="34" t="s">
        <v>20</v>
      </c>
      <c r="Q8" s="35" t="s">
        <v>21</v>
      </c>
      <c r="R8" s="36" t="s">
        <v>22</v>
      </c>
      <c r="S8" s="36" t="s">
        <v>23</v>
      </c>
      <c r="T8" s="37" t="s">
        <v>24</v>
      </c>
    </row>
    <row r="9" spans="1:20" s="43" customFormat="1" ht="9.75" thickBot="1">
      <c r="A9" s="38">
        <v>1</v>
      </c>
      <c r="B9" s="39">
        <v>2</v>
      </c>
      <c r="C9" s="39">
        <v>3</v>
      </c>
      <c r="D9" s="39">
        <v>3</v>
      </c>
      <c r="E9" s="40">
        <v>4</v>
      </c>
      <c r="F9" s="39">
        <v>3</v>
      </c>
      <c r="G9" s="39">
        <v>3</v>
      </c>
      <c r="H9" s="39">
        <v>4</v>
      </c>
      <c r="I9" s="39">
        <v>5</v>
      </c>
      <c r="J9" s="39">
        <v>6</v>
      </c>
      <c r="K9" s="39">
        <v>7</v>
      </c>
      <c r="L9" s="39">
        <v>8</v>
      </c>
      <c r="M9" s="39">
        <v>9</v>
      </c>
      <c r="N9" s="39">
        <v>10</v>
      </c>
      <c r="O9" s="39">
        <v>11</v>
      </c>
      <c r="P9" s="39">
        <v>12</v>
      </c>
      <c r="Q9" s="41">
        <v>13</v>
      </c>
      <c r="R9" s="39">
        <v>14</v>
      </c>
      <c r="S9" s="39">
        <v>15</v>
      </c>
      <c r="T9" s="42">
        <v>16</v>
      </c>
    </row>
    <row r="10" spans="1:20" s="48" customFormat="1" ht="16.5" customHeight="1" thickTop="1">
      <c r="A10" s="44">
        <v>1</v>
      </c>
      <c r="B10" s="45" t="s">
        <v>25</v>
      </c>
      <c r="C10" s="45">
        <v>220143.3</v>
      </c>
      <c r="D10" s="45">
        <v>285355.8</v>
      </c>
      <c r="E10" s="45">
        <v>279594.1</v>
      </c>
      <c r="F10" s="45">
        <v>324295.2</v>
      </c>
      <c r="G10" s="45">
        <f>G22+G23</f>
        <v>334047.5</v>
      </c>
      <c r="H10" s="45">
        <f aca="true" t="shared" si="0" ref="H10:P10">SUM(H22:H23)</f>
        <v>349700.2</v>
      </c>
      <c r="I10" s="45">
        <f t="shared" si="0"/>
        <v>372321.69700000004</v>
      </c>
      <c r="J10" s="45">
        <f t="shared" si="0"/>
        <v>421158.8</v>
      </c>
      <c r="K10" s="45">
        <f t="shared" si="0"/>
        <v>384179.6588</v>
      </c>
      <c r="L10" s="45">
        <f t="shared" si="0"/>
        <v>577350.0384588</v>
      </c>
      <c r="M10" s="45">
        <f t="shared" si="0"/>
        <v>345172.3884972587</v>
      </c>
      <c r="N10" s="45">
        <f t="shared" si="0"/>
        <v>345799.6608857559</v>
      </c>
      <c r="O10" s="45">
        <f t="shared" si="0"/>
        <v>344856.0017990422</v>
      </c>
      <c r="P10" s="45">
        <f t="shared" si="0"/>
        <v>348728.84182602784</v>
      </c>
      <c r="Q10" s="46">
        <f>SUM(Q22:Q23)</f>
        <v>347629.7744534182</v>
      </c>
      <c r="R10" s="45">
        <f>SUM(R22:R23)</f>
        <v>350906.02219795244</v>
      </c>
      <c r="S10" s="45">
        <f>SUM(S22:S23)</f>
        <v>354215.03241993196</v>
      </c>
      <c r="T10" s="47">
        <f>SUM(T22:T23)</f>
        <v>350557.1827441313</v>
      </c>
    </row>
    <row r="11" spans="1:20" s="48" customFormat="1" ht="4.5" customHeight="1" hidden="1">
      <c r="A11" s="49"/>
      <c r="B11" s="50"/>
      <c r="C11" s="50"/>
      <c r="D11" s="50"/>
      <c r="E11" s="50"/>
      <c r="F11" s="50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1"/>
      <c r="S11" s="51"/>
      <c r="T11" s="53"/>
    </row>
    <row r="12" spans="1:20" s="48" customFormat="1" ht="15.75" customHeight="1" hidden="1">
      <c r="A12" s="54">
        <v>2</v>
      </c>
      <c r="B12" s="55" t="s">
        <v>26</v>
      </c>
      <c r="C12" s="55">
        <v>98339.2</v>
      </c>
      <c r="D12" s="55">
        <v>126690.5</v>
      </c>
      <c r="E12" s="55">
        <v>159369.7</v>
      </c>
      <c r="F12" s="56">
        <v>162547.8</v>
      </c>
      <c r="G12" s="56"/>
      <c r="H12" s="56">
        <v>170286.8</v>
      </c>
      <c r="I12" s="56">
        <v>173855.8</v>
      </c>
      <c r="J12" s="56">
        <v>179233.4</v>
      </c>
      <c r="K12" s="56">
        <v>183552.8</v>
      </c>
      <c r="L12" s="56">
        <v>183552.8</v>
      </c>
      <c r="M12" s="56">
        <v>183552.8</v>
      </c>
      <c r="N12" s="56">
        <v>183552.8</v>
      </c>
      <c r="O12" s="56">
        <v>183552.8</v>
      </c>
      <c r="P12" s="56">
        <v>183552.8</v>
      </c>
      <c r="Q12" s="57">
        <v>183552.8</v>
      </c>
      <c r="R12" s="56">
        <v>183552.8</v>
      </c>
      <c r="S12" s="56">
        <v>183552.8</v>
      </c>
      <c r="T12" s="58">
        <v>183552.8</v>
      </c>
    </row>
    <row r="13" spans="1:20" s="48" customFormat="1" ht="12" hidden="1">
      <c r="A13" s="59"/>
      <c r="B13" s="60" t="s">
        <v>27</v>
      </c>
      <c r="C13" s="60">
        <v>38950.6</v>
      </c>
      <c r="D13" s="60"/>
      <c r="E13" s="60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56"/>
      <c r="S13" s="56"/>
      <c r="T13" s="58"/>
    </row>
    <row r="14" spans="1:20" s="48" customFormat="1" ht="12" hidden="1">
      <c r="A14" s="59"/>
      <c r="B14" s="60"/>
      <c r="C14" s="60"/>
      <c r="D14" s="60"/>
      <c r="E14" s="61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  <c r="R14" s="56"/>
      <c r="S14" s="56"/>
      <c r="T14" s="58"/>
    </row>
    <row r="15" spans="1:20" s="48" customFormat="1" ht="12" hidden="1">
      <c r="A15" s="59"/>
      <c r="B15" s="60" t="s">
        <v>28</v>
      </c>
      <c r="C15" s="60">
        <v>15259.6</v>
      </c>
      <c r="D15" s="60"/>
      <c r="E15" s="60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  <c r="R15" s="56"/>
      <c r="S15" s="56"/>
      <c r="T15" s="58"/>
    </row>
    <row r="16" spans="1:20" s="48" customFormat="1" ht="24" hidden="1">
      <c r="A16" s="59"/>
      <c r="B16" s="60" t="s">
        <v>29</v>
      </c>
      <c r="C16" s="60">
        <v>41039.2</v>
      </c>
      <c r="D16" s="60"/>
      <c r="E16" s="60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7"/>
      <c r="R16" s="56"/>
      <c r="S16" s="56"/>
      <c r="T16" s="58"/>
    </row>
    <row r="17" spans="1:20" s="48" customFormat="1" ht="1.5" customHeight="1" hidden="1">
      <c r="A17" s="62"/>
      <c r="B17" s="60" t="s">
        <v>30</v>
      </c>
      <c r="C17" s="60">
        <v>6209.5</v>
      </c>
      <c r="D17" s="60"/>
      <c r="E17" s="60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  <c r="R17" s="56"/>
      <c r="S17" s="56"/>
      <c r="T17" s="58"/>
    </row>
    <row r="18" spans="1:20" s="48" customFormat="1" ht="18.75" customHeight="1" hidden="1">
      <c r="A18" s="63">
        <v>3</v>
      </c>
      <c r="B18" s="60" t="s">
        <v>31</v>
      </c>
      <c r="C18" s="60">
        <v>75044.3</v>
      </c>
      <c r="D18" s="60">
        <v>67002.1</v>
      </c>
      <c r="E18" s="60">
        <v>72322</v>
      </c>
      <c r="F18" s="64">
        <v>73696.1</v>
      </c>
      <c r="G18" s="64"/>
      <c r="H18" s="64">
        <v>77275.7</v>
      </c>
      <c r="I18" s="64">
        <v>78898.5</v>
      </c>
      <c r="J18" s="64">
        <v>81344.4</v>
      </c>
      <c r="K18" s="64">
        <v>83459.4</v>
      </c>
      <c r="L18" s="64">
        <v>83459.4</v>
      </c>
      <c r="M18" s="64">
        <v>83459.4</v>
      </c>
      <c r="N18" s="64">
        <v>83459.4</v>
      </c>
      <c r="O18" s="64">
        <v>83459.4</v>
      </c>
      <c r="P18" s="64">
        <v>83459.4</v>
      </c>
      <c r="Q18" s="65">
        <v>83459.4</v>
      </c>
      <c r="R18" s="64">
        <v>83459.4</v>
      </c>
      <c r="S18" s="64">
        <v>83459.4</v>
      </c>
      <c r="T18" s="66">
        <v>83459.4</v>
      </c>
    </row>
    <row r="19" spans="1:20" s="48" customFormat="1" ht="19.5" customHeight="1" hidden="1">
      <c r="A19" s="63">
        <v>4</v>
      </c>
      <c r="B19" s="60" t="s">
        <v>32</v>
      </c>
      <c r="C19" s="60">
        <v>31395.3</v>
      </c>
      <c r="D19" s="60">
        <v>25922.7</v>
      </c>
      <c r="E19" s="60">
        <v>30484.6</v>
      </c>
      <c r="F19" s="64">
        <v>31033</v>
      </c>
      <c r="G19" s="64"/>
      <c r="H19" s="64">
        <v>32572.2</v>
      </c>
      <c r="I19" s="64">
        <v>33223.6</v>
      </c>
      <c r="J19" s="64">
        <v>34253.5</v>
      </c>
      <c r="K19" s="64">
        <v>35209.4</v>
      </c>
      <c r="L19" s="64">
        <v>35209.4</v>
      </c>
      <c r="M19" s="64">
        <v>35209.4</v>
      </c>
      <c r="N19" s="64">
        <v>35209.4</v>
      </c>
      <c r="O19" s="64">
        <v>35209.4</v>
      </c>
      <c r="P19" s="64">
        <v>35209.4</v>
      </c>
      <c r="Q19" s="65">
        <v>35209.4</v>
      </c>
      <c r="R19" s="64">
        <v>35209.4</v>
      </c>
      <c r="S19" s="64">
        <v>35209.4</v>
      </c>
      <c r="T19" s="66">
        <v>35209.4</v>
      </c>
    </row>
    <row r="20" spans="1:20" s="48" customFormat="1" ht="16.5" customHeight="1" hidden="1">
      <c r="A20" s="63">
        <v>5</v>
      </c>
      <c r="B20" s="60" t="s">
        <v>33</v>
      </c>
      <c r="C20" s="60">
        <v>7366.6</v>
      </c>
      <c r="D20" s="60">
        <v>528</v>
      </c>
      <c r="E20" s="60">
        <v>260.3</v>
      </c>
      <c r="F20" s="64">
        <v>261.3</v>
      </c>
      <c r="G20" s="64"/>
      <c r="H20" s="64">
        <v>454.1</v>
      </c>
      <c r="I20" s="64">
        <v>478</v>
      </c>
      <c r="J20" s="64">
        <v>495.7</v>
      </c>
      <c r="K20" s="64">
        <v>508.6</v>
      </c>
      <c r="L20" s="64">
        <v>508.6</v>
      </c>
      <c r="M20" s="64">
        <v>508.6</v>
      </c>
      <c r="N20" s="64">
        <v>508.6</v>
      </c>
      <c r="O20" s="64">
        <v>508.6</v>
      </c>
      <c r="P20" s="64">
        <v>508.6</v>
      </c>
      <c r="Q20" s="65">
        <v>508.6</v>
      </c>
      <c r="R20" s="64">
        <v>508.6</v>
      </c>
      <c r="S20" s="64">
        <v>508.6</v>
      </c>
      <c r="T20" s="66">
        <v>508.6</v>
      </c>
    </row>
    <row r="21" spans="1:20" s="48" customFormat="1" ht="16.5" customHeight="1" hidden="1">
      <c r="A21" s="67">
        <v>6</v>
      </c>
      <c r="B21" s="68" t="s">
        <v>34</v>
      </c>
      <c r="C21" s="68"/>
      <c r="D21" s="68"/>
      <c r="E21" s="6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56"/>
      <c r="S21" s="56"/>
      <c r="T21" s="58"/>
    </row>
    <row r="22" spans="1:20" s="48" customFormat="1" ht="14.25" customHeight="1">
      <c r="A22" s="63">
        <v>2</v>
      </c>
      <c r="B22" s="60" t="s">
        <v>35</v>
      </c>
      <c r="C22" s="60"/>
      <c r="D22" s="60"/>
      <c r="E22" s="60">
        <v>258051.4</v>
      </c>
      <c r="F22" s="64">
        <v>296653.8</v>
      </c>
      <c r="G22" s="64">
        <v>303157.2</v>
      </c>
      <c r="H22" s="64">
        <v>328550.3</v>
      </c>
      <c r="I22" s="64">
        <v>314801.911</v>
      </c>
      <c r="J22" s="64">
        <v>320858.8</v>
      </c>
      <c r="K22" s="64">
        <f>J22*100.1%</f>
        <v>321179.6588</v>
      </c>
      <c r="L22" s="64">
        <f>K22*100.1%+849.2</f>
        <v>322350.03845879994</v>
      </c>
      <c r="M22" s="64">
        <f>L22*100.1%+1000</f>
        <v>323672.3884972587</v>
      </c>
      <c r="N22" s="64">
        <f>M22*100.1%</f>
        <v>323996.0608857559</v>
      </c>
      <c r="O22" s="64">
        <f>N22*101.5%-4000</f>
        <v>324856.0017990422</v>
      </c>
      <c r="P22" s="64">
        <f>O22*101.5%-3000</f>
        <v>326728.84182602784</v>
      </c>
      <c r="Q22" s="64">
        <f>P22*101.5%-4000</f>
        <v>327629.7744534182</v>
      </c>
      <c r="R22" s="64">
        <f>Q22*101%-0.05</f>
        <v>330906.02219795244</v>
      </c>
      <c r="S22" s="64">
        <f>R22*101%-0.05</f>
        <v>334215.03241993196</v>
      </c>
      <c r="T22" s="66">
        <f>S22*101%</f>
        <v>337557.1827441313</v>
      </c>
    </row>
    <row r="23" spans="1:20" s="48" customFormat="1" ht="14.25" customHeight="1">
      <c r="A23" s="62">
        <v>3</v>
      </c>
      <c r="B23" s="69" t="s">
        <v>36</v>
      </c>
      <c r="C23" s="69"/>
      <c r="D23" s="69"/>
      <c r="E23" s="69">
        <v>21542.7</v>
      </c>
      <c r="F23" s="56">
        <v>27641.4</v>
      </c>
      <c r="G23" s="56">
        <v>30890.3</v>
      </c>
      <c r="H23" s="56">
        <v>21149.9</v>
      </c>
      <c r="I23" s="56">
        <v>57519.786</v>
      </c>
      <c r="J23" s="56">
        <f>60300+40000</f>
        <v>100300</v>
      </c>
      <c r="K23" s="56">
        <f>58000+5000</f>
        <v>63000</v>
      </c>
      <c r="L23" s="56">
        <f>55000+200000</f>
        <v>255000</v>
      </c>
      <c r="M23" s="56">
        <f>15500+6000</f>
        <v>21500</v>
      </c>
      <c r="N23" s="56">
        <f>8000+6000+5000-2196.4+5000</f>
        <v>21803.6</v>
      </c>
      <c r="O23" s="70">
        <f>14000+5000+1000</f>
        <v>20000</v>
      </c>
      <c r="P23" s="70">
        <v>22000</v>
      </c>
      <c r="Q23" s="70">
        <v>20000</v>
      </c>
      <c r="R23" s="70">
        <v>20000</v>
      </c>
      <c r="S23" s="70">
        <v>20000</v>
      </c>
      <c r="T23" s="71">
        <f>15000-3000+1000</f>
        <v>13000</v>
      </c>
    </row>
    <row r="24" spans="1:20" s="78" customFormat="1" ht="14.25" customHeight="1" thickBot="1">
      <c r="A24" s="72"/>
      <c r="B24" s="73" t="s">
        <v>37</v>
      </c>
      <c r="C24" s="73"/>
      <c r="D24" s="73"/>
      <c r="E24" s="73"/>
      <c r="F24" s="74">
        <v>19479</v>
      </c>
      <c r="G24" s="74">
        <v>18817.7</v>
      </c>
      <c r="H24" s="74">
        <v>18404.7</v>
      </c>
      <c r="I24" s="74">
        <v>16525</v>
      </c>
      <c r="J24" s="74">
        <v>50000</v>
      </c>
      <c r="K24" s="74">
        <v>28000</v>
      </c>
      <c r="L24" s="74">
        <v>20000</v>
      </c>
      <c r="M24" s="74">
        <v>18000</v>
      </c>
      <c r="N24" s="74">
        <v>18000</v>
      </c>
      <c r="O24" s="75">
        <v>18000</v>
      </c>
      <c r="P24" s="75">
        <v>18000</v>
      </c>
      <c r="Q24" s="76">
        <v>18000</v>
      </c>
      <c r="R24" s="74">
        <v>18000</v>
      </c>
      <c r="S24" s="75">
        <v>18000</v>
      </c>
      <c r="T24" s="77">
        <v>11000</v>
      </c>
    </row>
    <row r="25" spans="1:20" s="48" customFormat="1" ht="16.5" customHeight="1" thickBot="1" thickTop="1">
      <c r="A25" s="79">
        <v>4</v>
      </c>
      <c r="B25" s="80" t="s">
        <v>38</v>
      </c>
      <c r="C25" s="80">
        <f aca="true" t="shared" si="1" ref="C25:T25">SUM(C26+C28)</f>
        <v>221475.7</v>
      </c>
      <c r="D25" s="80">
        <f t="shared" si="1"/>
        <v>277181.1</v>
      </c>
      <c r="E25" s="80">
        <f>E26+E28</f>
        <v>294206.649</v>
      </c>
      <c r="F25" s="80">
        <f t="shared" si="1"/>
        <v>308015</v>
      </c>
      <c r="G25" s="80">
        <f>G26+G28</f>
        <v>335660.726</v>
      </c>
      <c r="H25" s="80">
        <f t="shared" si="1"/>
        <v>410888.8</v>
      </c>
      <c r="I25" s="80">
        <f t="shared" si="1"/>
        <v>435150.997</v>
      </c>
      <c r="J25" s="80">
        <f t="shared" si="1"/>
        <v>458088.4</v>
      </c>
      <c r="K25" s="80">
        <f t="shared" si="1"/>
        <v>424597.2949999999</v>
      </c>
      <c r="L25" s="80">
        <f t="shared" si="1"/>
        <v>578850.2119749999</v>
      </c>
      <c r="M25" s="80">
        <f t="shared" si="1"/>
        <v>339344.4630348749</v>
      </c>
      <c r="N25" s="80">
        <f t="shared" si="1"/>
        <v>335841.1853500492</v>
      </c>
      <c r="O25" s="80">
        <f t="shared" si="1"/>
        <v>337345.39127679943</v>
      </c>
      <c r="P25" s="80">
        <f t="shared" si="1"/>
        <v>343857.1182331834</v>
      </c>
      <c r="Q25" s="81">
        <f t="shared" si="1"/>
        <v>335004.8038243493</v>
      </c>
      <c r="R25" s="80">
        <f t="shared" si="1"/>
        <v>334281.02784347103</v>
      </c>
      <c r="S25" s="80">
        <f t="shared" si="1"/>
        <v>337590.03298268834</v>
      </c>
      <c r="T25" s="82">
        <f t="shared" si="1"/>
        <v>338932.1831476018</v>
      </c>
    </row>
    <row r="26" spans="1:20" s="48" customFormat="1" ht="16.5" customHeight="1" thickTop="1">
      <c r="A26" s="83">
        <v>5</v>
      </c>
      <c r="B26" s="55" t="s">
        <v>39</v>
      </c>
      <c r="C26" s="55">
        <v>204974.1</v>
      </c>
      <c r="D26" s="55">
        <v>221519.3</v>
      </c>
      <c r="E26" s="55">
        <v>233723.31</v>
      </c>
      <c r="F26" s="55">
        <v>248122.5</v>
      </c>
      <c r="G26" s="84">
        <v>270945.526</v>
      </c>
      <c r="H26" s="84">
        <v>308835</v>
      </c>
      <c r="I26" s="84">
        <v>315647.247</v>
      </c>
      <c r="J26" s="84">
        <f>296879</f>
        <v>296879</v>
      </c>
      <c r="K26" s="84">
        <f>J26*100.5%-1000</f>
        <v>297363.39499999996</v>
      </c>
      <c r="L26" s="84">
        <f>K26*100.5%</f>
        <v>298850.2119749999</v>
      </c>
      <c r="M26" s="84">
        <f>L26*100.5%-1000</f>
        <v>299344.4630348749</v>
      </c>
      <c r="N26" s="84">
        <f>M26*100.5%</f>
        <v>300841.1853500492</v>
      </c>
      <c r="O26" s="84">
        <f>N26*100.5%</f>
        <v>302345.39127679943</v>
      </c>
      <c r="P26" s="84">
        <f>O26*100.5%</f>
        <v>303857.1182331834</v>
      </c>
      <c r="Q26" s="84">
        <f>P26*100.5%-371.6</f>
        <v>305004.8038243493</v>
      </c>
      <c r="R26" s="84">
        <f>Q26*100.5%-248.8</f>
        <v>306281.02784347103</v>
      </c>
      <c r="S26" s="84">
        <f>R26*100.5%-222.4</f>
        <v>307590.03298268834</v>
      </c>
      <c r="T26" s="85">
        <f>S26*100.5%-195.8</f>
        <v>308932.1831476018</v>
      </c>
    </row>
    <row r="27" spans="1:20" s="48" customFormat="1" ht="0.75" customHeight="1" hidden="1">
      <c r="A27" s="62"/>
      <c r="B27" s="69" t="s">
        <v>40</v>
      </c>
      <c r="C27" s="69">
        <v>19682</v>
      </c>
      <c r="D27" s="69">
        <v>11186.6</v>
      </c>
      <c r="E27" s="69">
        <v>12000</v>
      </c>
      <c r="F27" s="69">
        <v>12500</v>
      </c>
      <c r="G27" s="64"/>
      <c r="H27" s="64">
        <v>13500</v>
      </c>
      <c r="I27" s="64">
        <v>14000</v>
      </c>
      <c r="J27" s="64">
        <v>14500</v>
      </c>
      <c r="K27" s="64">
        <v>15000</v>
      </c>
      <c r="L27" s="64">
        <v>15000</v>
      </c>
      <c r="M27" s="64">
        <v>15000</v>
      </c>
      <c r="N27" s="64">
        <v>15000</v>
      </c>
      <c r="O27" s="64">
        <v>15000</v>
      </c>
      <c r="P27" s="64">
        <v>15000</v>
      </c>
      <c r="Q27" s="65"/>
      <c r="R27" s="64"/>
      <c r="S27" s="64"/>
      <c r="T27" s="66"/>
    </row>
    <row r="28" spans="1:20" s="48" customFormat="1" ht="16.5" customHeight="1" thickBot="1">
      <c r="A28" s="67">
        <v>6</v>
      </c>
      <c r="B28" s="68" t="s">
        <v>41</v>
      </c>
      <c r="C28" s="68">
        <v>16501.6</v>
      </c>
      <c r="D28" s="68">
        <v>55661.8</v>
      </c>
      <c r="E28" s="68">
        <v>60483.339</v>
      </c>
      <c r="F28" s="68">
        <v>59892.5</v>
      </c>
      <c r="G28" s="56">
        <v>64715.2</v>
      </c>
      <c r="H28" s="56">
        <v>102053.8</v>
      </c>
      <c r="I28" s="56">
        <v>119503.75</v>
      </c>
      <c r="J28" s="56">
        <v>161209.4</v>
      </c>
      <c r="K28" s="56">
        <v>127233.9</v>
      </c>
      <c r="L28" s="56">
        <f>80000+200000</f>
        <v>280000</v>
      </c>
      <c r="M28" s="56">
        <v>40000</v>
      </c>
      <c r="N28" s="56">
        <v>35000</v>
      </c>
      <c r="O28" s="56">
        <v>35000</v>
      </c>
      <c r="P28" s="56">
        <v>40000</v>
      </c>
      <c r="Q28" s="57">
        <v>30000</v>
      </c>
      <c r="R28" s="57">
        <v>28000</v>
      </c>
      <c r="S28" s="57">
        <v>30000</v>
      </c>
      <c r="T28" s="86">
        <v>30000</v>
      </c>
    </row>
    <row r="29" spans="1:20" s="48" customFormat="1" ht="18.75" customHeight="1" thickBot="1" thickTop="1">
      <c r="A29" s="79">
        <v>7</v>
      </c>
      <c r="B29" s="80" t="s">
        <v>42</v>
      </c>
      <c r="C29" s="80">
        <f aca="true" t="shared" si="2" ref="C29:T29">C10-C25</f>
        <v>-1332.4000000000233</v>
      </c>
      <c r="D29" s="80">
        <f t="shared" si="2"/>
        <v>8174.700000000012</v>
      </c>
      <c r="E29" s="80">
        <f t="shared" si="2"/>
        <v>-14612.548999999999</v>
      </c>
      <c r="F29" s="80">
        <f t="shared" si="2"/>
        <v>16280.200000000012</v>
      </c>
      <c r="G29" s="87">
        <f t="shared" si="2"/>
        <v>-1613.2260000000242</v>
      </c>
      <c r="H29" s="87">
        <f t="shared" si="2"/>
        <v>-61188.59999999998</v>
      </c>
      <c r="I29" s="87">
        <f t="shared" si="2"/>
        <v>-62829.29999999993</v>
      </c>
      <c r="J29" s="87">
        <f t="shared" si="2"/>
        <v>-36929.600000000035</v>
      </c>
      <c r="K29" s="87">
        <f t="shared" si="2"/>
        <v>-40417.63619999995</v>
      </c>
      <c r="L29" s="87">
        <f t="shared" si="2"/>
        <v>-1500.173516199924</v>
      </c>
      <c r="M29" s="87">
        <f t="shared" si="2"/>
        <v>5827.925462383835</v>
      </c>
      <c r="N29" s="87">
        <f t="shared" si="2"/>
        <v>9958.475535706675</v>
      </c>
      <c r="O29" s="87">
        <f t="shared" si="2"/>
        <v>7510.610522242787</v>
      </c>
      <c r="P29" s="87">
        <f t="shared" si="2"/>
        <v>4871.7235928444425</v>
      </c>
      <c r="Q29" s="88">
        <f t="shared" si="2"/>
        <v>12624.970629068906</v>
      </c>
      <c r="R29" s="87">
        <f t="shared" si="2"/>
        <v>16624.9943544814</v>
      </c>
      <c r="S29" s="87">
        <f t="shared" si="2"/>
        <v>16624.99943724362</v>
      </c>
      <c r="T29" s="89">
        <f t="shared" si="2"/>
        <v>11624.999596529524</v>
      </c>
    </row>
    <row r="30" spans="1:20" s="48" customFormat="1" ht="16.5" customHeight="1" thickBot="1" thickTop="1">
      <c r="A30" s="79">
        <v>8</v>
      </c>
      <c r="B30" s="80" t="s">
        <v>43</v>
      </c>
      <c r="C30" s="80">
        <f aca="true" t="shared" si="3" ref="C30:P30">C31-C46</f>
        <v>1332.4000000000015</v>
      </c>
      <c r="D30" s="80">
        <f t="shared" si="3"/>
        <v>-8174.699999999997</v>
      </c>
      <c r="E30" s="80">
        <f t="shared" si="3"/>
        <v>14612.543</v>
      </c>
      <c r="F30" s="80">
        <f t="shared" si="3"/>
        <v>-16280.200000000003</v>
      </c>
      <c r="G30" s="87">
        <f t="shared" si="3"/>
        <v>1613.199999999997</v>
      </c>
      <c r="H30" s="87">
        <f t="shared" si="3"/>
        <v>61188.64</v>
      </c>
      <c r="I30" s="87">
        <f t="shared" si="3"/>
        <v>62829.3</v>
      </c>
      <c r="J30" s="87">
        <f t="shared" si="3"/>
        <v>36929.6</v>
      </c>
      <c r="K30" s="87">
        <f t="shared" si="3"/>
        <v>40417.600000000006</v>
      </c>
      <c r="L30" s="87">
        <f t="shared" si="3"/>
        <v>1500.2000000000007</v>
      </c>
      <c r="M30" s="87">
        <f t="shared" si="3"/>
        <v>-5827.899999999998</v>
      </c>
      <c r="N30" s="87">
        <f t="shared" si="3"/>
        <v>-9958.5</v>
      </c>
      <c r="O30" s="87">
        <f t="shared" si="3"/>
        <v>-7510.6</v>
      </c>
      <c r="P30" s="87">
        <f t="shared" si="3"/>
        <v>-4871.699999999997</v>
      </c>
      <c r="Q30" s="88">
        <f>Q31-Q46</f>
        <v>-12625</v>
      </c>
      <c r="R30" s="87">
        <f>R31-R46</f>
        <v>-16625</v>
      </c>
      <c r="S30" s="87">
        <f>S31-S46</f>
        <v>-16625</v>
      </c>
      <c r="T30" s="89">
        <f>T31-T46</f>
        <v>-11625</v>
      </c>
    </row>
    <row r="31" spans="1:20" s="48" customFormat="1" ht="18" customHeight="1" thickBot="1" thickTop="1">
      <c r="A31" s="44">
        <v>9</v>
      </c>
      <c r="B31" s="45" t="s">
        <v>44</v>
      </c>
      <c r="C31" s="45">
        <f>SUM(C33:C44)</f>
        <v>35239</v>
      </c>
      <c r="D31" s="45">
        <f>SUM(D33:D44)-D36</f>
        <v>43599.2</v>
      </c>
      <c r="E31" s="45">
        <f>E33+E35+E44</f>
        <v>28176.249</v>
      </c>
      <c r="F31" s="45">
        <f>F33+F35+F44</f>
        <v>13429.6</v>
      </c>
      <c r="G31" s="45">
        <f aca="true" t="shared" si="4" ref="G31:P31">SUM(G33:G44)</f>
        <v>50887</v>
      </c>
      <c r="H31" s="45">
        <f t="shared" si="4"/>
        <v>70042.44</v>
      </c>
      <c r="I31" s="45">
        <f t="shared" si="4"/>
        <v>75000</v>
      </c>
      <c r="J31" s="45">
        <f t="shared" si="4"/>
        <v>54076.1</v>
      </c>
      <c r="K31" s="45">
        <f t="shared" si="4"/>
        <v>60452</v>
      </c>
      <c r="L31" s="45">
        <f t="shared" si="4"/>
        <v>24500</v>
      </c>
      <c r="M31" s="45">
        <f t="shared" si="4"/>
        <v>21130.4</v>
      </c>
      <c r="N31" s="45">
        <f t="shared" si="4"/>
        <v>15000</v>
      </c>
      <c r="O31" s="80">
        <f t="shared" si="4"/>
        <v>14114.4</v>
      </c>
      <c r="P31" s="80">
        <f t="shared" si="4"/>
        <v>16753.300000000003</v>
      </c>
      <c r="Q31" s="46">
        <f>SUM(Q33:Q44)</f>
        <v>4000</v>
      </c>
      <c r="R31" s="45">
        <f>SUM(R33:R44)</f>
        <v>0</v>
      </c>
      <c r="S31" s="80">
        <f>SUM(S33:S44)</f>
        <v>0</v>
      </c>
      <c r="T31" s="82">
        <f>SUM(T33:T44)</f>
        <v>0</v>
      </c>
    </row>
    <row r="32" spans="1:20" s="48" customFormat="1" ht="2.25" customHeight="1" hidden="1">
      <c r="A32" s="49"/>
      <c r="B32" s="50"/>
      <c r="C32" s="50"/>
      <c r="D32" s="50"/>
      <c r="E32" s="50"/>
      <c r="F32" s="50"/>
      <c r="G32" s="90"/>
      <c r="H32" s="90"/>
      <c r="I32" s="90"/>
      <c r="J32" s="90"/>
      <c r="K32" s="90"/>
      <c r="L32" s="90"/>
      <c r="M32" s="90"/>
      <c r="N32" s="90"/>
      <c r="O32" s="91"/>
      <c r="P32" s="91"/>
      <c r="Q32" s="92"/>
      <c r="R32" s="90"/>
      <c r="S32" s="91"/>
      <c r="T32" s="93"/>
    </row>
    <row r="33" spans="1:20" s="48" customFormat="1" ht="15" customHeight="1" thickTop="1">
      <c r="A33" s="94">
        <v>10</v>
      </c>
      <c r="B33" s="95" t="s">
        <v>45</v>
      </c>
      <c r="C33" s="95">
        <v>15000</v>
      </c>
      <c r="D33" s="95">
        <v>10000</v>
      </c>
      <c r="E33" s="95">
        <v>10000</v>
      </c>
      <c r="F33" s="95">
        <v>12000</v>
      </c>
      <c r="G33" s="96">
        <v>20000</v>
      </c>
      <c r="H33" s="96">
        <v>35000.04</v>
      </c>
      <c r="I33" s="96">
        <v>60000</v>
      </c>
      <c r="J33" s="96">
        <v>40000</v>
      </c>
      <c r="K33" s="96">
        <v>45000</v>
      </c>
      <c r="L33" s="97"/>
      <c r="M33" s="97"/>
      <c r="N33" s="97"/>
      <c r="O33" s="98"/>
      <c r="P33" s="98"/>
      <c r="Q33" s="99"/>
      <c r="R33" s="97"/>
      <c r="S33" s="98"/>
      <c r="T33" s="100"/>
    </row>
    <row r="34" spans="1:20" s="78" customFormat="1" ht="51.75" customHeight="1">
      <c r="A34" s="63">
        <v>11</v>
      </c>
      <c r="B34" s="101" t="s">
        <v>46</v>
      </c>
      <c r="C34" s="101"/>
      <c r="D34" s="101"/>
      <c r="E34" s="101"/>
      <c r="F34" s="101"/>
      <c r="G34" s="102"/>
      <c r="H34" s="103"/>
      <c r="I34" s="103"/>
      <c r="J34" s="103"/>
      <c r="K34" s="103"/>
      <c r="L34" s="103"/>
      <c r="M34" s="103"/>
      <c r="N34" s="103"/>
      <c r="O34" s="102"/>
      <c r="P34" s="102"/>
      <c r="Q34" s="104"/>
      <c r="R34" s="103"/>
      <c r="S34" s="102"/>
      <c r="T34" s="105"/>
    </row>
    <row r="35" spans="1:20" s="48" customFormat="1" ht="13.5" customHeight="1">
      <c r="A35" s="67">
        <v>12</v>
      </c>
      <c r="B35" s="68" t="s">
        <v>47</v>
      </c>
      <c r="C35" s="68">
        <v>1060.2</v>
      </c>
      <c r="D35" s="68">
        <v>7311</v>
      </c>
      <c r="E35" s="68">
        <v>6835.449</v>
      </c>
      <c r="F35" s="68">
        <f>F37</f>
        <v>944.2</v>
      </c>
      <c r="G35" s="61">
        <v>984.8</v>
      </c>
      <c r="H35" s="106"/>
      <c r="I35" s="106"/>
      <c r="J35" s="106"/>
      <c r="K35" s="106"/>
      <c r="L35" s="106"/>
      <c r="M35" s="106"/>
      <c r="N35" s="106"/>
      <c r="O35" s="61"/>
      <c r="P35" s="61"/>
      <c r="Q35" s="107"/>
      <c r="R35" s="106"/>
      <c r="S35" s="61"/>
      <c r="T35" s="108"/>
    </row>
    <row r="36" spans="1:20" s="78" customFormat="1" ht="50.25" customHeight="1">
      <c r="A36" s="63">
        <v>13</v>
      </c>
      <c r="B36" s="101" t="s">
        <v>48</v>
      </c>
      <c r="C36" s="101"/>
      <c r="D36" s="101">
        <v>6005.5</v>
      </c>
      <c r="E36" s="101"/>
      <c r="F36" s="101"/>
      <c r="G36" s="103"/>
      <c r="H36" s="103"/>
      <c r="I36" s="103"/>
      <c r="J36" s="103"/>
      <c r="K36" s="103"/>
      <c r="L36" s="103"/>
      <c r="M36" s="103"/>
      <c r="N36" s="103"/>
      <c r="O36" s="75"/>
      <c r="P36" s="75"/>
      <c r="Q36" s="104"/>
      <c r="R36" s="103"/>
      <c r="S36" s="75"/>
      <c r="T36" s="77"/>
    </row>
    <row r="37" spans="1:20" s="78" customFormat="1" ht="60" customHeight="1">
      <c r="A37" s="63">
        <v>14</v>
      </c>
      <c r="B37" s="101" t="s">
        <v>49</v>
      </c>
      <c r="C37" s="101"/>
      <c r="D37" s="101"/>
      <c r="E37" s="101">
        <v>5323.7</v>
      </c>
      <c r="F37" s="101">
        <v>944.2</v>
      </c>
      <c r="G37" s="103"/>
      <c r="H37" s="103"/>
      <c r="I37" s="103"/>
      <c r="J37" s="103"/>
      <c r="K37" s="103"/>
      <c r="L37" s="103"/>
      <c r="M37" s="103"/>
      <c r="N37" s="103"/>
      <c r="O37" s="102"/>
      <c r="P37" s="102"/>
      <c r="Q37" s="104"/>
      <c r="R37" s="103"/>
      <c r="S37" s="102"/>
      <c r="T37" s="105"/>
    </row>
    <row r="38" spans="1:20" s="48" customFormat="1" ht="13.5" customHeight="1">
      <c r="A38" s="63">
        <v>15</v>
      </c>
      <c r="B38" s="60" t="s">
        <v>50</v>
      </c>
      <c r="C38" s="60"/>
      <c r="D38" s="60"/>
      <c r="E38" s="60"/>
      <c r="F38" s="60"/>
      <c r="G38" s="106"/>
      <c r="H38" s="106"/>
      <c r="I38" s="106"/>
      <c r="J38" s="106"/>
      <c r="K38" s="106"/>
      <c r="L38" s="106"/>
      <c r="M38" s="106"/>
      <c r="N38" s="106"/>
      <c r="O38" s="91"/>
      <c r="P38" s="91"/>
      <c r="Q38" s="107"/>
      <c r="R38" s="106"/>
      <c r="S38" s="91"/>
      <c r="T38" s="93"/>
    </row>
    <row r="39" spans="1:20" s="48" customFormat="1" ht="15.75" customHeight="1">
      <c r="A39" s="63">
        <v>16</v>
      </c>
      <c r="B39" s="60" t="s">
        <v>51</v>
      </c>
      <c r="C39" s="60"/>
      <c r="D39" s="60"/>
      <c r="E39" s="60"/>
      <c r="F39" s="60"/>
      <c r="G39" s="106"/>
      <c r="H39" s="106"/>
      <c r="I39" s="106"/>
      <c r="J39" s="106"/>
      <c r="K39" s="106"/>
      <c r="L39" s="106"/>
      <c r="M39" s="106"/>
      <c r="N39" s="106"/>
      <c r="O39" s="61"/>
      <c r="P39" s="61"/>
      <c r="Q39" s="107"/>
      <c r="R39" s="106"/>
      <c r="S39" s="61"/>
      <c r="T39" s="108"/>
    </row>
    <row r="40" spans="1:20" s="78" customFormat="1" ht="14.25" customHeight="1">
      <c r="A40" s="63">
        <v>17</v>
      </c>
      <c r="B40" s="101" t="s">
        <v>52</v>
      </c>
      <c r="C40" s="101">
        <v>16510</v>
      </c>
      <c r="D40" s="101"/>
      <c r="E40" s="101"/>
      <c r="F40" s="101"/>
      <c r="G40" s="103"/>
      <c r="H40" s="103"/>
      <c r="I40" s="103"/>
      <c r="J40" s="103"/>
      <c r="K40" s="103"/>
      <c r="L40" s="103"/>
      <c r="M40" s="103"/>
      <c r="N40" s="103"/>
      <c r="O40" s="102"/>
      <c r="P40" s="102"/>
      <c r="Q40" s="104"/>
      <c r="R40" s="103"/>
      <c r="S40" s="102"/>
      <c r="T40" s="105"/>
    </row>
    <row r="41" spans="1:20" s="48" customFormat="1" ht="36" customHeight="1">
      <c r="A41" s="63">
        <v>18</v>
      </c>
      <c r="B41" s="60" t="s">
        <v>53</v>
      </c>
      <c r="C41" s="60"/>
      <c r="D41" s="60"/>
      <c r="E41" s="60"/>
      <c r="F41" s="60"/>
      <c r="G41" s="106"/>
      <c r="H41" s="106"/>
      <c r="I41" s="106"/>
      <c r="J41" s="106"/>
      <c r="K41" s="106"/>
      <c r="L41" s="106"/>
      <c r="M41" s="106"/>
      <c r="N41" s="106"/>
      <c r="O41" s="61"/>
      <c r="P41" s="61"/>
      <c r="Q41" s="107"/>
      <c r="R41" s="106"/>
      <c r="S41" s="61"/>
      <c r="T41" s="108"/>
    </row>
    <row r="42" spans="1:20" s="78" customFormat="1" ht="48.75" customHeight="1">
      <c r="A42" s="67">
        <v>19</v>
      </c>
      <c r="B42" s="109" t="s">
        <v>54</v>
      </c>
      <c r="C42" s="110"/>
      <c r="D42" s="110"/>
      <c r="E42" s="110"/>
      <c r="F42" s="101"/>
      <c r="G42" s="103"/>
      <c r="H42" s="103"/>
      <c r="I42" s="103"/>
      <c r="J42" s="103"/>
      <c r="K42" s="103"/>
      <c r="L42" s="103"/>
      <c r="M42" s="103"/>
      <c r="N42" s="103"/>
      <c r="O42" s="75"/>
      <c r="P42" s="75"/>
      <c r="Q42" s="104"/>
      <c r="R42" s="103"/>
      <c r="S42" s="75"/>
      <c r="T42" s="77"/>
    </row>
    <row r="43" spans="1:20" s="48" customFormat="1" ht="14.25" customHeight="1">
      <c r="A43" s="67">
        <v>20</v>
      </c>
      <c r="B43" s="60" t="s">
        <v>55</v>
      </c>
      <c r="C43" s="68"/>
      <c r="D43" s="68"/>
      <c r="E43" s="68"/>
      <c r="F43" s="60"/>
      <c r="G43" s="106"/>
      <c r="H43" s="106"/>
      <c r="I43" s="106"/>
      <c r="J43" s="106"/>
      <c r="K43" s="106"/>
      <c r="L43" s="106"/>
      <c r="M43" s="106"/>
      <c r="N43" s="106"/>
      <c r="O43" s="61"/>
      <c r="P43" s="61"/>
      <c r="Q43" s="107"/>
      <c r="R43" s="106"/>
      <c r="S43" s="61"/>
      <c r="T43" s="108"/>
    </row>
    <row r="44" spans="1:20" s="48" customFormat="1" ht="13.5" customHeight="1">
      <c r="A44" s="63">
        <v>21</v>
      </c>
      <c r="B44" s="60" t="s">
        <v>56</v>
      </c>
      <c r="C44" s="60">
        <v>2668.8</v>
      </c>
      <c r="D44" s="60">
        <v>26288.2</v>
      </c>
      <c r="E44" s="60">
        <f aca="true" t="shared" si="5" ref="E44:T44">E45</f>
        <v>11340.8</v>
      </c>
      <c r="F44" s="111">
        <f t="shared" si="5"/>
        <v>485.4</v>
      </c>
      <c r="G44" s="64">
        <f t="shared" si="5"/>
        <v>29902.2</v>
      </c>
      <c r="H44" s="64">
        <f t="shared" si="5"/>
        <v>35042.399999999994</v>
      </c>
      <c r="I44" s="64">
        <f t="shared" si="5"/>
        <v>14999.999999999998</v>
      </c>
      <c r="J44" s="64">
        <f t="shared" si="5"/>
        <v>14076.1</v>
      </c>
      <c r="K44" s="64">
        <f t="shared" si="5"/>
        <v>15452</v>
      </c>
      <c r="L44" s="64">
        <f t="shared" si="5"/>
        <v>24500</v>
      </c>
      <c r="M44" s="64">
        <f t="shared" si="5"/>
        <v>21130.4</v>
      </c>
      <c r="N44" s="64">
        <f t="shared" si="5"/>
        <v>15000</v>
      </c>
      <c r="O44" s="64">
        <f t="shared" si="5"/>
        <v>14114.4</v>
      </c>
      <c r="P44" s="64">
        <f t="shared" si="5"/>
        <v>16753.300000000003</v>
      </c>
      <c r="Q44" s="65">
        <f t="shared" si="5"/>
        <v>4000</v>
      </c>
      <c r="R44" s="64">
        <f t="shared" si="5"/>
        <v>0</v>
      </c>
      <c r="S44" s="64">
        <f t="shared" si="5"/>
        <v>0</v>
      </c>
      <c r="T44" s="66">
        <f t="shared" si="5"/>
        <v>0</v>
      </c>
    </row>
    <row r="45" spans="1:20" s="78" customFormat="1" ht="15" customHeight="1">
      <c r="A45" s="83">
        <v>22</v>
      </c>
      <c r="B45" s="112" t="s">
        <v>57</v>
      </c>
      <c r="C45" s="112"/>
      <c r="D45" s="112"/>
      <c r="E45" s="112">
        <v>11340.8</v>
      </c>
      <c r="F45" s="113">
        <v>485.4</v>
      </c>
      <c r="G45" s="114">
        <v>29902.2</v>
      </c>
      <c r="H45" s="114">
        <f>35161.7-119.3</f>
        <v>35042.399999999994</v>
      </c>
      <c r="I45" s="114">
        <f>20000-2400+0.1-10000+7642.9-243</f>
        <v>14999.999999999998</v>
      </c>
      <c r="J45" s="114">
        <f>17700-5000+3000-1623.9</f>
        <v>14076.1</v>
      </c>
      <c r="K45" s="114">
        <f>10000-1499.9+2000+2866.3+34.4-64+2115.2</f>
        <v>15452</v>
      </c>
      <c r="L45" s="114">
        <f>25000-500</f>
        <v>24500</v>
      </c>
      <c r="M45" s="114">
        <f>22333.2-1202.8</f>
        <v>21130.4</v>
      </c>
      <c r="N45" s="114">
        <f>20000-5000</f>
        <v>15000</v>
      </c>
      <c r="O45" s="115">
        <f>14666.6-552.2</f>
        <v>14114.4</v>
      </c>
      <c r="P45" s="115">
        <f>13000-708.3+1416.6+6000-2955</f>
        <v>16753.300000000003</v>
      </c>
      <c r="Q45" s="116">
        <v>4000</v>
      </c>
      <c r="R45" s="114"/>
      <c r="S45" s="115"/>
      <c r="T45" s="117"/>
    </row>
    <row r="46" spans="1:20" s="48" customFormat="1" ht="19.5" customHeight="1" thickBot="1">
      <c r="A46" s="118">
        <v>23</v>
      </c>
      <c r="B46" s="119" t="s">
        <v>58</v>
      </c>
      <c r="C46" s="120">
        <f>SUM(C48:C57)</f>
        <v>33906.6</v>
      </c>
      <c r="D46" s="120">
        <f>SUM(D48:D58)-D51</f>
        <v>51773.899999999994</v>
      </c>
      <c r="E46" s="120">
        <f>SUM(E48:E57)-E52</f>
        <v>13563.706</v>
      </c>
      <c r="F46" s="120">
        <f>SUM(F48:F57)-F52</f>
        <v>29709.800000000003</v>
      </c>
      <c r="G46" s="120">
        <f>SUM(G48:G50)+G57</f>
        <v>49273.8</v>
      </c>
      <c r="H46" s="120">
        <f aca="true" t="shared" si="6" ref="H46:P46">SUM(H48:H57)</f>
        <v>8853.8</v>
      </c>
      <c r="I46" s="119">
        <f t="shared" si="6"/>
        <v>12170.7</v>
      </c>
      <c r="J46" s="119">
        <f t="shared" si="6"/>
        <v>17146.5</v>
      </c>
      <c r="K46" s="119">
        <f t="shared" si="6"/>
        <v>20034.399999999998</v>
      </c>
      <c r="L46" s="119">
        <f t="shared" si="6"/>
        <v>22999.8</v>
      </c>
      <c r="M46" s="119">
        <f t="shared" si="6"/>
        <v>26958.3</v>
      </c>
      <c r="N46" s="119">
        <f t="shared" si="6"/>
        <v>24958.5</v>
      </c>
      <c r="O46" s="119">
        <f t="shared" si="6"/>
        <v>21625</v>
      </c>
      <c r="P46" s="119">
        <f t="shared" si="6"/>
        <v>21625</v>
      </c>
      <c r="Q46" s="121">
        <f>SUM(Q48:Q57)</f>
        <v>16625</v>
      </c>
      <c r="R46" s="119">
        <f>SUM(R48:R57)</f>
        <v>16625</v>
      </c>
      <c r="S46" s="119">
        <f>SUM(S48:S57)</f>
        <v>16625</v>
      </c>
      <c r="T46" s="122">
        <f>SUM(T48:T57)</f>
        <v>11625</v>
      </c>
    </row>
    <row r="47" spans="1:20" s="48" customFormat="1" ht="12.75" hidden="1" thickBot="1">
      <c r="A47" s="123"/>
      <c r="B47" s="50"/>
      <c r="C47" s="124"/>
      <c r="D47" s="124"/>
      <c r="E47" s="124"/>
      <c r="F47" s="124"/>
      <c r="G47" s="125"/>
      <c r="H47" s="125"/>
      <c r="I47" s="125"/>
      <c r="J47" s="125"/>
      <c r="K47" s="125"/>
      <c r="L47" s="125"/>
      <c r="M47" s="125"/>
      <c r="N47" s="125"/>
      <c r="O47" s="91"/>
      <c r="P47" s="91"/>
      <c r="Q47" s="126"/>
      <c r="R47" s="125"/>
      <c r="S47" s="91"/>
      <c r="T47" s="93"/>
    </row>
    <row r="48" spans="1:20" s="48" customFormat="1" ht="15.75" customHeight="1" thickTop="1">
      <c r="A48" s="94">
        <v>24</v>
      </c>
      <c r="B48" s="95" t="s">
        <v>59</v>
      </c>
      <c r="C48" s="127">
        <v>9644.4</v>
      </c>
      <c r="D48" s="127">
        <v>8770</v>
      </c>
      <c r="E48" s="127">
        <v>8675.91</v>
      </c>
      <c r="F48" s="127">
        <v>18336</v>
      </c>
      <c r="G48" s="84">
        <v>6651.9</v>
      </c>
      <c r="H48" s="84">
        <v>7833.4</v>
      </c>
      <c r="I48" s="84">
        <v>11166.7</v>
      </c>
      <c r="J48" s="84">
        <v>16166.7</v>
      </c>
      <c r="K48" s="84">
        <v>19666.6</v>
      </c>
      <c r="L48" s="84">
        <v>22999.8</v>
      </c>
      <c r="M48" s="84">
        <v>26958.3</v>
      </c>
      <c r="N48" s="84">
        <v>24958.5</v>
      </c>
      <c r="O48" s="96">
        <v>21625</v>
      </c>
      <c r="P48" s="96">
        <v>21625</v>
      </c>
      <c r="Q48" s="128">
        <v>16625</v>
      </c>
      <c r="R48" s="84">
        <v>16625</v>
      </c>
      <c r="S48" s="96">
        <v>16625</v>
      </c>
      <c r="T48" s="129">
        <v>11625</v>
      </c>
    </row>
    <row r="49" spans="1:20" s="78" customFormat="1" ht="50.25" customHeight="1">
      <c r="A49" s="130">
        <v>25</v>
      </c>
      <c r="B49" s="101" t="s">
        <v>60</v>
      </c>
      <c r="C49" s="113"/>
      <c r="D49" s="113"/>
      <c r="E49" s="113"/>
      <c r="F49" s="113"/>
      <c r="G49" s="114"/>
      <c r="H49" s="114"/>
      <c r="I49" s="114"/>
      <c r="J49" s="114"/>
      <c r="K49" s="131"/>
      <c r="L49" s="131"/>
      <c r="M49" s="131"/>
      <c r="N49" s="131"/>
      <c r="O49" s="75"/>
      <c r="P49" s="75"/>
      <c r="Q49" s="132"/>
      <c r="R49" s="131"/>
      <c r="S49" s="75"/>
      <c r="T49" s="77"/>
    </row>
    <row r="50" spans="1:20" s="48" customFormat="1" ht="12.75" customHeight="1">
      <c r="A50" s="67">
        <v>26</v>
      </c>
      <c r="B50" s="68" t="s">
        <v>61</v>
      </c>
      <c r="C50" s="133">
        <v>1956.6</v>
      </c>
      <c r="D50" s="133">
        <v>6068.8</v>
      </c>
      <c r="E50" s="133">
        <v>4887.796</v>
      </c>
      <c r="F50" s="133">
        <f>4996.1+1377.7</f>
        <v>6373.8</v>
      </c>
      <c r="G50" s="64">
        <f>973+256.4</f>
        <v>1229.4</v>
      </c>
      <c r="H50" s="64">
        <v>1020.4</v>
      </c>
      <c r="I50" s="64">
        <v>1004</v>
      </c>
      <c r="J50" s="64">
        <v>979.8</v>
      </c>
      <c r="K50" s="64">
        <v>367.8</v>
      </c>
      <c r="L50" s="64">
        <v>0</v>
      </c>
      <c r="M50" s="64">
        <v>0</v>
      </c>
      <c r="N50" s="64">
        <v>0</v>
      </c>
      <c r="O50" s="61">
        <v>0</v>
      </c>
      <c r="P50" s="61">
        <v>0</v>
      </c>
      <c r="Q50" s="65">
        <v>0</v>
      </c>
      <c r="R50" s="64">
        <v>0</v>
      </c>
      <c r="S50" s="61">
        <v>0</v>
      </c>
      <c r="T50" s="108">
        <v>0</v>
      </c>
    </row>
    <row r="51" spans="1:20" s="78" customFormat="1" ht="51" customHeight="1">
      <c r="A51" s="63">
        <v>27</v>
      </c>
      <c r="B51" s="101" t="s">
        <v>62</v>
      </c>
      <c r="C51" s="134"/>
      <c r="D51" s="134">
        <v>4026.8</v>
      </c>
      <c r="E51" s="134"/>
      <c r="F51" s="134"/>
      <c r="G51" s="131"/>
      <c r="H51" s="131"/>
      <c r="I51" s="131"/>
      <c r="J51" s="131"/>
      <c r="K51" s="131"/>
      <c r="L51" s="131"/>
      <c r="M51" s="131"/>
      <c r="N51" s="131"/>
      <c r="O51" s="75"/>
      <c r="P51" s="75"/>
      <c r="Q51" s="132"/>
      <c r="R51" s="131"/>
      <c r="S51" s="75"/>
      <c r="T51" s="77"/>
    </row>
    <row r="52" spans="1:20" s="78" customFormat="1" ht="65.25" customHeight="1">
      <c r="A52" s="63">
        <v>28</v>
      </c>
      <c r="B52" s="101" t="s">
        <v>63</v>
      </c>
      <c r="C52" s="134"/>
      <c r="D52" s="134"/>
      <c r="E52" s="134">
        <v>2994.1</v>
      </c>
      <c r="F52" s="134">
        <v>4996.14</v>
      </c>
      <c r="G52" s="131">
        <v>256.4</v>
      </c>
      <c r="H52" s="131"/>
      <c r="I52" s="131"/>
      <c r="J52" s="131"/>
      <c r="K52" s="131"/>
      <c r="L52" s="131"/>
      <c r="M52" s="131"/>
      <c r="N52" s="131"/>
      <c r="O52" s="102"/>
      <c r="P52" s="102"/>
      <c r="Q52" s="132"/>
      <c r="R52" s="131"/>
      <c r="S52" s="102"/>
      <c r="T52" s="105"/>
    </row>
    <row r="53" spans="1:20" s="48" customFormat="1" ht="15" customHeight="1">
      <c r="A53" s="63">
        <v>29</v>
      </c>
      <c r="B53" s="60" t="s">
        <v>64</v>
      </c>
      <c r="C53" s="135"/>
      <c r="D53" s="135"/>
      <c r="E53" s="135"/>
      <c r="F53" s="135"/>
      <c r="G53" s="136"/>
      <c r="H53" s="136"/>
      <c r="I53" s="136"/>
      <c r="J53" s="136"/>
      <c r="K53" s="136"/>
      <c r="L53" s="136"/>
      <c r="M53" s="136"/>
      <c r="N53" s="136"/>
      <c r="O53" s="91"/>
      <c r="P53" s="91"/>
      <c r="Q53" s="137"/>
      <c r="R53" s="136"/>
      <c r="S53" s="91"/>
      <c r="T53" s="93"/>
    </row>
    <row r="54" spans="1:20" s="48" customFormat="1" ht="15.75" customHeight="1">
      <c r="A54" s="63">
        <v>30</v>
      </c>
      <c r="B54" s="60" t="s">
        <v>65</v>
      </c>
      <c r="C54" s="60"/>
      <c r="D54" s="60"/>
      <c r="E54" s="60"/>
      <c r="F54" s="60">
        <v>5000</v>
      </c>
      <c r="G54" s="138"/>
      <c r="H54" s="61"/>
      <c r="I54" s="61"/>
      <c r="J54" s="61"/>
      <c r="K54" s="61"/>
      <c r="L54" s="61"/>
      <c r="M54" s="61"/>
      <c r="N54" s="138"/>
      <c r="O54" s="61"/>
      <c r="P54" s="61"/>
      <c r="Q54" s="139"/>
      <c r="R54" s="138"/>
      <c r="S54" s="61"/>
      <c r="T54" s="108"/>
    </row>
    <row r="55" spans="1:20" s="48" customFormat="1" ht="24.75" customHeight="1">
      <c r="A55" s="63">
        <v>31</v>
      </c>
      <c r="B55" s="60" t="s">
        <v>66</v>
      </c>
      <c r="C55" s="140"/>
      <c r="D55" s="140"/>
      <c r="E55" s="140"/>
      <c r="F55" s="140"/>
      <c r="G55" s="106"/>
      <c r="H55" s="106"/>
      <c r="I55" s="106"/>
      <c r="J55" s="106"/>
      <c r="K55" s="106"/>
      <c r="L55" s="106"/>
      <c r="M55" s="106"/>
      <c r="N55" s="106"/>
      <c r="O55" s="91"/>
      <c r="P55" s="91"/>
      <c r="Q55" s="107"/>
      <c r="R55" s="106"/>
      <c r="S55" s="91"/>
      <c r="T55" s="93"/>
    </row>
    <row r="56" spans="1:20" s="78" customFormat="1" ht="51" customHeight="1">
      <c r="A56" s="63">
        <v>32</v>
      </c>
      <c r="B56" s="101" t="s">
        <v>67</v>
      </c>
      <c r="C56" s="141"/>
      <c r="D56" s="141"/>
      <c r="E56" s="141"/>
      <c r="F56" s="141"/>
      <c r="G56" s="103"/>
      <c r="H56" s="103"/>
      <c r="I56" s="103"/>
      <c r="J56" s="103"/>
      <c r="K56" s="103"/>
      <c r="L56" s="103"/>
      <c r="M56" s="103"/>
      <c r="N56" s="103"/>
      <c r="O56" s="102"/>
      <c r="P56" s="102"/>
      <c r="Q56" s="104"/>
      <c r="R56" s="103"/>
      <c r="S56" s="102"/>
      <c r="T56" s="105"/>
    </row>
    <row r="57" spans="1:20" s="48" customFormat="1" ht="14.25" customHeight="1">
      <c r="A57" s="67">
        <v>33</v>
      </c>
      <c r="B57" s="68" t="s">
        <v>68</v>
      </c>
      <c r="C57" s="68">
        <v>22305.6</v>
      </c>
      <c r="D57" s="68">
        <v>36785.1</v>
      </c>
      <c r="E57" s="142"/>
      <c r="F57" s="142"/>
      <c r="G57" s="143">
        <v>41392.5</v>
      </c>
      <c r="H57" s="144"/>
      <c r="I57" s="144"/>
      <c r="J57" s="144"/>
      <c r="K57" s="144"/>
      <c r="L57" s="144"/>
      <c r="M57" s="144"/>
      <c r="N57" s="144"/>
      <c r="O57" s="70"/>
      <c r="P57" s="70"/>
      <c r="Q57" s="145"/>
      <c r="R57" s="144"/>
      <c r="S57" s="70"/>
      <c r="T57" s="71"/>
    </row>
    <row r="58" spans="1:20" s="48" customFormat="1" ht="15" customHeight="1">
      <c r="A58" s="146">
        <v>34</v>
      </c>
      <c r="B58" s="140" t="s">
        <v>69</v>
      </c>
      <c r="C58" s="140"/>
      <c r="D58" s="140">
        <v>150</v>
      </c>
      <c r="E58" s="140">
        <v>214</v>
      </c>
      <c r="F58" s="140">
        <v>56.3</v>
      </c>
      <c r="G58" s="147">
        <v>728.4</v>
      </c>
      <c r="H58" s="147">
        <v>156.5</v>
      </c>
      <c r="I58" s="106"/>
      <c r="J58" s="106"/>
      <c r="K58" s="106"/>
      <c r="L58" s="106"/>
      <c r="M58" s="106"/>
      <c r="N58" s="106"/>
      <c r="O58" s="61"/>
      <c r="P58" s="61"/>
      <c r="Q58" s="107"/>
      <c r="R58" s="106"/>
      <c r="S58" s="61"/>
      <c r="T58" s="108"/>
    </row>
    <row r="59" spans="1:20" s="48" customFormat="1" ht="14.25" customHeight="1">
      <c r="A59" s="63">
        <v>35</v>
      </c>
      <c r="B59" s="60" t="s">
        <v>70</v>
      </c>
      <c r="C59" s="60"/>
      <c r="D59" s="60">
        <v>273.8</v>
      </c>
      <c r="E59" s="60">
        <v>56.8</v>
      </c>
      <c r="F59" s="60">
        <v>46.25</v>
      </c>
      <c r="G59" s="147">
        <v>19.3</v>
      </c>
      <c r="H59" s="106"/>
      <c r="I59" s="106"/>
      <c r="J59" s="106"/>
      <c r="K59" s="106"/>
      <c r="L59" s="106"/>
      <c r="M59" s="106"/>
      <c r="N59" s="106"/>
      <c r="O59" s="98"/>
      <c r="P59" s="61"/>
      <c r="Q59" s="107"/>
      <c r="R59" s="106"/>
      <c r="S59" s="98"/>
      <c r="T59" s="108"/>
    </row>
    <row r="60" spans="1:20" s="48" customFormat="1" ht="18" customHeight="1">
      <c r="A60" s="146">
        <v>36</v>
      </c>
      <c r="B60" s="140" t="s">
        <v>71</v>
      </c>
      <c r="C60" s="140">
        <f>SUM(C61:C65)</f>
        <v>53235.9</v>
      </c>
      <c r="D60" s="140">
        <f>SUM(D62:D68)</f>
        <v>58212</v>
      </c>
      <c r="E60" s="140">
        <v>57768.4</v>
      </c>
      <c r="F60" s="140">
        <f>F62+F63+F68+F65</f>
        <v>45679.736000000004</v>
      </c>
      <c r="G60" s="140">
        <f aca="true" t="shared" si="7" ref="G60:P60">G62+G63</f>
        <v>58028.435999999994</v>
      </c>
      <c r="H60" s="140">
        <f t="shared" si="7"/>
        <v>84018.17599999999</v>
      </c>
      <c r="I60" s="140">
        <f t="shared" si="7"/>
        <v>131847.476</v>
      </c>
      <c r="J60" s="140">
        <f t="shared" si="7"/>
        <v>154700.976</v>
      </c>
      <c r="K60" s="140">
        <f t="shared" si="7"/>
        <v>179666.576</v>
      </c>
      <c r="L60" s="140">
        <f t="shared" si="7"/>
        <v>156666.776</v>
      </c>
      <c r="M60" s="140">
        <f t="shared" si="7"/>
        <v>129708.47600000001</v>
      </c>
      <c r="N60" s="140">
        <f t="shared" si="7"/>
        <v>104749.97600000001</v>
      </c>
      <c r="O60" s="140">
        <f t="shared" si="7"/>
        <v>83124.97600000001</v>
      </c>
      <c r="P60" s="140">
        <f t="shared" si="7"/>
        <v>61499.976</v>
      </c>
      <c r="Q60" s="148">
        <f>Q62+Q63</f>
        <v>44874.976</v>
      </c>
      <c r="R60" s="140">
        <f>R62+R63</f>
        <v>28249.976000000006</v>
      </c>
      <c r="S60" s="140">
        <f>S62+S63</f>
        <v>11624.976000000006</v>
      </c>
      <c r="T60" s="149">
        <f>T62+T63</f>
        <v>-0.023999999994487098</v>
      </c>
    </row>
    <row r="61" spans="1:20" s="48" customFormat="1" ht="14.25" customHeight="1">
      <c r="A61" s="62">
        <v>37</v>
      </c>
      <c r="B61" s="69" t="s">
        <v>72</v>
      </c>
      <c r="C61" s="69"/>
      <c r="D61" s="69"/>
      <c r="E61" s="69"/>
      <c r="F61" s="69"/>
      <c r="G61" s="150"/>
      <c r="H61" s="150"/>
      <c r="I61" s="150"/>
      <c r="J61" s="150"/>
      <c r="K61" s="150"/>
      <c r="L61" s="150"/>
      <c r="M61" s="150"/>
      <c r="N61" s="150"/>
      <c r="O61" s="91"/>
      <c r="P61" s="91"/>
      <c r="Q61" s="151"/>
      <c r="R61" s="150"/>
      <c r="S61" s="91"/>
      <c r="T61" s="93"/>
    </row>
    <row r="62" spans="1:20" s="48" customFormat="1" ht="13.5" customHeight="1">
      <c r="A62" s="63">
        <v>38</v>
      </c>
      <c r="B62" s="60" t="s">
        <v>73</v>
      </c>
      <c r="C62" s="60">
        <v>45216.4</v>
      </c>
      <c r="D62" s="60">
        <f>45216.4+10000-8770-273.8</f>
        <v>46172.6</v>
      </c>
      <c r="E62" s="60">
        <v>47553.4</v>
      </c>
      <c r="F62" s="60">
        <f aca="true" t="shared" si="8" ref="F62:P62">E62+F33-F48-F59</f>
        <v>41171.15</v>
      </c>
      <c r="G62" s="60">
        <f t="shared" si="8"/>
        <v>54499.95</v>
      </c>
      <c r="H62" s="60">
        <f t="shared" si="8"/>
        <v>81666.59</v>
      </c>
      <c r="I62" s="60">
        <f t="shared" si="8"/>
        <v>130499.89</v>
      </c>
      <c r="J62" s="60">
        <f t="shared" si="8"/>
        <v>154333.19</v>
      </c>
      <c r="K62" s="60">
        <f t="shared" si="8"/>
        <v>179666.59</v>
      </c>
      <c r="L62" s="60">
        <f t="shared" si="8"/>
        <v>156666.79</v>
      </c>
      <c r="M62" s="60">
        <f t="shared" si="8"/>
        <v>129708.49</v>
      </c>
      <c r="N62" s="60">
        <f t="shared" si="8"/>
        <v>104749.99</v>
      </c>
      <c r="O62" s="60">
        <f t="shared" si="8"/>
        <v>83124.99</v>
      </c>
      <c r="P62" s="60">
        <f t="shared" si="8"/>
        <v>61499.990000000005</v>
      </c>
      <c r="Q62" s="152">
        <f>P62+Q33-Q48-Q59</f>
        <v>44874.990000000005</v>
      </c>
      <c r="R62" s="60">
        <f>Q62+R33-R48-R59</f>
        <v>28249.990000000005</v>
      </c>
      <c r="S62" s="60">
        <f>R62+S33-S48-S59</f>
        <v>11624.990000000005</v>
      </c>
      <c r="T62" s="153">
        <f>S62+T33-T48-T59</f>
        <v>-0.00999999999476131</v>
      </c>
    </row>
    <row r="63" spans="1:20" s="48" customFormat="1" ht="14.25" customHeight="1">
      <c r="A63" s="63">
        <v>39</v>
      </c>
      <c r="B63" s="60" t="s">
        <v>74</v>
      </c>
      <c r="C63" s="60">
        <v>7161.3</v>
      </c>
      <c r="D63" s="60">
        <v>6274.8</v>
      </c>
      <c r="E63" s="60">
        <v>5679.046</v>
      </c>
      <c r="F63" s="60">
        <f>E63-F50+F52-F58</f>
        <v>4245.086</v>
      </c>
      <c r="G63" s="60">
        <f>F63+G35-G50+G52-G58</f>
        <v>3528.4860000000003</v>
      </c>
      <c r="H63" s="60">
        <f aca="true" t="shared" si="9" ref="H63:P63">G63-H50+H52-H58</f>
        <v>2351.5860000000002</v>
      </c>
      <c r="I63" s="60">
        <f t="shared" si="9"/>
        <v>1347.5860000000002</v>
      </c>
      <c r="J63" s="60">
        <f t="shared" si="9"/>
        <v>367.7860000000003</v>
      </c>
      <c r="K63" s="60">
        <f t="shared" si="9"/>
        <v>-0.013999999999725787</v>
      </c>
      <c r="L63" s="60">
        <f t="shared" si="9"/>
        <v>-0.013999999999725787</v>
      </c>
      <c r="M63" s="60">
        <f t="shared" si="9"/>
        <v>-0.013999999999725787</v>
      </c>
      <c r="N63" s="60">
        <f t="shared" si="9"/>
        <v>-0.013999999999725787</v>
      </c>
      <c r="O63" s="60">
        <f t="shared" si="9"/>
        <v>-0.013999999999725787</v>
      </c>
      <c r="P63" s="60">
        <f t="shared" si="9"/>
        <v>-0.013999999999725787</v>
      </c>
      <c r="Q63" s="152">
        <f>P63-Q50+Q52-Q58</f>
        <v>-0.013999999999725787</v>
      </c>
      <c r="R63" s="60">
        <f>Q63-R50+R52-R58</f>
        <v>-0.013999999999725787</v>
      </c>
      <c r="S63" s="60">
        <f>R63-S50+S52-S58</f>
        <v>-0.013999999999725787</v>
      </c>
      <c r="T63" s="153">
        <f>S63-T50+T52-T58</f>
        <v>-0.013999999999725787</v>
      </c>
    </row>
    <row r="64" spans="1:20" s="48" customFormat="1" ht="14.25" customHeight="1">
      <c r="A64" s="67">
        <v>40</v>
      </c>
      <c r="B64" s="68" t="s">
        <v>75</v>
      </c>
      <c r="C64" s="68"/>
      <c r="D64" s="68"/>
      <c r="E64" s="68"/>
      <c r="F64" s="60"/>
      <c r="G64" s="106"/>
      <c r="H64" s="106"/>
      <c r="I64" s="106"/>
      <c r="J64" s="106"/>
      <c r="K64" s="106"/>
      <c r="L64" s="106"/>
      <c r="M64" s="106"/>
      <c r="N64" s="106"/>
      <c r="O64" s="61"/>
      <c r="P64" s="61"/>
      <c r="Q64" s="107"/>
      <c r="R64" s="106"/>
      <c r="S64" s="61"/>
      <c r="T64" s="108"/>
    </row>
    <row r="65" spans="1:20" s="48" customFormat="1" ht="15" customHeight="1">
      <c r="A65" s="67">
        <v>41</v>
      </c>
      <c r="B65" s="68" t="s">
        <v>76</v>
      </c>
      <c r="C65" s="68">
        <v>858.2</v>
      </c>
      <c r="D65" s="68">
        <v>3785.9</v>
      </c>
      <c r="E65" s="68">
        <v>227.65</v>
      </c>
      <c r="F65" s="60">
        <v>7.1</v>
      </c>
      <c r="G65" s="60"/>
      <c r="H65" s="60"/>
      <c r="I65" s="64"/>
      <c r="J65" s="64"/>
      <c r="K65" s="64"/>
      <c r="L65" s="64"/>
      <c r="M65" s="64"/>
      <c r="N65" s="64"/>
      <c r="O65" s="91"/>
      <c r="P65" s="91"/>
      <c r="Q65" s="65"/>
      <c r="R65" s="64"/>
      <c r="S65" s="91"/>
      <c r="T65" s="93"/>
    </row>
    <row r="66" spans="1:20" s="78" customFormat="1" ht="36">
      <c r="A66" s="63">
        <v>42</v>
      </c>
      <c r="B66" s="101" t="s">
        <v>77</v>
      </c>
      <c r="C66" s="101"/>
      <c r="D66" s="101"/>
      <c r="E66" s="101"/>
      <c r="F66" s="101"/>
      <c r="G66" s="103"/>
      <c r="H66" s="103"/>
      <c r="I66" s="103"/>
      <c r="J66" s="103"/>
      <c r="K66" s="103"/>
      <c r="L66" s="103"/>
      <c r="M66" s="103"/>
      <c r="N66" s="103"/>
      <c r="O66" s="102"/>
      <c r="P66" s="102"/>
      <c r="Q66" s="104"/>
      <c r="R66" s="103"/>
      <c r="S66" s="102"/>
      <c r="T66" s="105"/>
    </row>
    <row r="67" spans="1:20" s="78" customFormat="1" ht="36.75" customHeight="1">
      <c r="A67" s="63">
        <v>43</v>
      </c>
      <c r="B67" s="101" t="s">
        <v>78</v>
      </c>
      <c r="C67" s="101"/>
      <c r="D67" s="101"/>
      <c r="E67" s="101"/>
      <c r="F67" s="101"/>
      <c r="G67" s="103"/>
      <c r="H67" s="103"/>
      <c r="I67" s="103"/>
      <c r="J67" s="103"/>
      <c r="K67" s="103"/>
      <c r="L67" s="103"/>
      <c r="M67" s="103"/>
      <c r="N67" s="103"/>
      <c r="O67" s="75"/>
      <c r="P67" s="75"/>
      <c r="Q67" s="104"/>
      <c r="R67" s="103"/>
      <c r="S67" s="75"/>
      <c r="T67" s="77"/>
    </row>
    <row r="68" spans="1:20" s="48" customFormat="1" ht="48" customHeight="1">
      <c r="A68" s="154">
        <v>44</v>
      </c>
      <c r="B68" s="60" t="s">
        <v>79</v>
      </c>
      <c r="C68" s="60"/>
      <c r="D68" s="60">
        <f>SUM(D69:D72)</f>
        <v>1978.7</v>
      </c>
      <c r="E68" s="60">
        <f>SUM(E69:E72)</f>
        <v>4308.2</v>
      </c>
      <c r="F68" s="60">
        <f>SUM(F69:F72)</f>
        <v>256.4</v>
      </c>
      <c r="G68" s="106"/>
      <c r="H68" s="106"/>
      <c r="I68" s="106"/>
      <c r="J68" s="106"/>
      <c r="K68" s="106"/>
      <c r="L68" s="106"/>
      <c r="M68" s="106"/>
      <c r="N68" s="106"/>
      <c r="O68" s="61"/>
      <c r="P68" s="61"/>
      <c r="Q68" s="107"/>
      <c r="R68" s="106"/>
      <c r="S68" s="61"/>
      <c r="T68" s="108"/>
    </row>
    <row r="69" spans="1:20" s="48" customFormat="1" ht="14.25" customHeight="1">
      <c r="A69" s="155"/>
      <c r="B69" s="156" t="s">
        <v>80</v>
      </c>
      <c r="C69" s="55"/>
      <c r="D69" s="55"/>
      <c r="E69" s="55"/>
      <c r="F69" s="55"/>
      <c r="G69" s="150"/>
      <c r="H69" s="150"/>
      <c r="I69" s="150"/>
      <c r="J69" s="150"/>
      <c r="K69" s="150"/>
      <c r="L69" s="150"/>
      <c r="M69" s="150"/>
      <c r="N69" s="150"/>
      <c r="O69" s="91"/>
      <c r="P69" s="91"/>
      <c r="Q69" s="151"/>
      <c r="R69" s="150"/>
      <c r="S69" s="91"/>
      <c r="T69" s="93"/>
    </row>
    <row r="70" spans="1:20" s="48" customFormat="1" ht="14.25" customHeight="1">
      <c r="A70" s="155"/>
      <c r="B70" s="68" t="s">
        <v>81</v>
      </c>
      <c r="C70" s="68"/>
      <c r="D70" s="68">
        <v>1978.7</v>
      </c>
      <c r="E70" s="68">
        <v>4308.2</v>
      </c>
      <c r="F70" s="68">
        <v>256.4</v>
      </c>
      <c r="G70" s="144"/>
      <c r="H70" s="144"/>
      <c r="I70" s="144"/>
      <c r="J70" s="144"/>
      <c r="K70" s="144"/>
      <c r="L70" s="144"/>
      <c r="M70" s="144"/>
      <c r="N70" s="144"/>
      <c r="O70" s="61"/>
      <c r="P70" s="61"/>
      <c r="Q70" s="145"/>
      <c r="R70" s="144"/>
      <c r="S70" s="61"/>
      <c r="T70" s="108"/>
    </row>
    <row r="71" spans="1:20" s="48" customFormat="1" ht="15.75" customHeight="1" hidden="1">
      <c r="A71" s="155"/>
      <c r="B71" s="60" t="s">
        <v>82</v>
      </c>
      <c r="C71" s="60"/>
      <c r="D71" s="60"/>
      <c r="E71" s="60"/>
      <c r="F71" s="60"/>
      <c r="G71" s="106"/>
      <c r="H71" s="106"/>
      <c r="I71" s="106"/>
      <c r="J71" s="106"/>
      <c r="K71" s="106"/>
      <c r="L71" s="106"/>
      <c r="M71" s="106"/>
      <c r="N71" s="106"/>
      <c r="O71" s="91"/>
      <c r="P71" s="91"/>
      <c r="Q71" s="107"/>
      <c r="R71" s="106"/>
      <c r="S71" s="91"/>
      <c r="T71" s="93"/>
    </row>
    <row r="72" spans="1:20" s="48" customFormat="1" ht="12.75" customHeight="1">
      <c r="A72" s="157"/>
      <c r="B72" s="60" t="s">
        <v>83</v>
      </c>
      <c r="C72" s="60"/>
      <c r="D72" s="60"/>
      <c r="E72" s="60"/>
      <c r="F72" s="60"/>
      <c r="G72" s="106"/>
      <c r="H72" s="106"/>
      <c r="I72" s="106"/>
      <c r="J72" s="106"/>
      <c r="K72" s="106"/>
      <c r="L72" s="106"/>
      <c r="M72" s="106"/>
      <c r="N72" s="106"/>
      <c r="O72" s="91"/>
      <c r="P72" s="91"/>
      <c r="Q72" s="107"/>
      <c r="R72" s="106"/>
      <c r="S72" s="91"/>
      <c r="T72" s="93"/>
    </row>
    <row r="73" spans="1:20" s="48" customFormat="1" ht="24" customHeight="1" hidden="1">
      <c r="A73" s="146">
        <v>34</v>
      </c>
      <c r="B73" s="140" t="s">
        <v>84</v>
      </c>
      <c r="C73" s="140">
        <f aca="true" t="shared" si="10" ref="C73:N73">C60/C10*100</f>
        <v>24.182384837512657</v>
      </c>
      <c r="D73" s="140">
        <f t="shared" si="10"/>
        <v>20.39979562356889</v>
      </c>
      <c r="E73" s="140">
        <f t="shared" si="10"/>
        <v>20.661523258180342</v>
      </c>
      <c r="F73" s="140">
        <f t="shared" si="10"/>
        <v>14.085850176012475</v>
      </c>
      <c r="G73" s="140">
        <f t="shared" si="10"/>
        <v>17.371312762406543</v>
      </c>
      <c r="H73" s="140">
        <f t="shared" si="10"/>
        <v>24.025772933501322</v>
      </c>
      <c r="I73" s="140">
        <f t="shared" si="10"/>
        <v>35.41224620062901</v>
      </c>
      <c r="J73" s="140">
        <f t="shared" si="10"/>
        <v>36.732219770784795</v>
      </c>
      <c r="K73" s="140">
        <f t="shared" si="10"/>
        <v>46.766290688371036</v>
      </c>
      <c r="L73" s="140">
        <f t="shared" si="10"/>
        <v>27.135492433361957</v>
      </c>
      <c r="M73" s="140">
        <f t="shared" si="10"/>
        <v>37.577882913722725</v>
      </c>
      <c r="N73" s="140">
        <f t="shared" si="10"/>
        <v>30.292099110706456</v>
      </c>
      <c r="O73" s="91"/>
      <c r="P73" s="91"/>
      <c r="Q73" s="148">
        <f>Q60/Q10*100</f>
        <v>12.908841329991763</v>
      </c>
      <c r="R73" s="140">
        <f>R60/R10*100</f>
        <v>8.050581697929278</v>
      </c>
      <c r="S73" s="91"/>
      <c r="T73" s="93"/>
    </row>
    <row r="74" spans="1:20" s="48" customFormat="1" ht="24.75" customHeight="1">
      <c r="A74" s="158">
        <v>45</v>
      </c>
      <c r="B74" s="142" t="s">
        <v>85</v>
      </c>
      <c r="C74" s="142"/>
      <c r="D74" s="142">
        <f aca="true" t="shared" si="11" ref="D74:P74">(D60-D68)/D10*100</f>
        <v>19.70638059573347</v>
      </c>
      <c r="E74" s="142">
        <f t="shared" si="11"/>
        <v>19.120646680312642</v>
      </c>
      <c r="F74" s="142">
        <f t="shared" si="11"/>
        <v>14.006786409419567</v>
      </c>
      <c r="G74" s="142">
        <f t="shared" si="11"/>
        <v>17.371312762406543</v>
      </c>
      <c r="H74" s="142">
        <f t="shared" si="11"/>
        <v>24.025772933501322</v>
      </c>
      <c r="I74" s="142">
        <f t="shared" si="11"/>
        <v>35.41224620062901</v>
      </c>
      <c r="J74" s="142">
        <f t="shared" si="11"/>
        <v>36.732219770784795</v>
      </c>
      <c r="K74" s="142">
        <f t="shared" si="11"/>
        <v>46.766290688371036</v>
      </c>
      <c r="L74" s="142">
        <f t="shared" si="11"/>
        <v>27.135492433361957</v>
      </c>
      <c r="M74" s="142">
        <f t="shared" si="11"/>
        <v>37.577882913722725</v>
      </c>
      <c r="N74" s="142">
        <f t="shared" si="11"/>
        <v>30.292099110706456</v>
      </c>
      <c r="O74" s="142">
        <f t="shared" si="11"/>
        <v>24.104256723488717</v>
      </c>
      <c r="P74" s="142">
        <f t="shared" si="11"/>
        <v>17.635471639790783</v>
      </c>
      <c r="Q74" s="159">
        <f>(Q60-Q68)/Q10*100</f>
        <v>12.908841329991763</v>
      </c>
      <c r="R74" s="142">
        <f>(R60-R68)/R10*100</f>
        <v>8.050581697929278</v>
      </c>
      <c r="S74" s="142">
        <f>(S60-S68)/S10*100</f>
        <v>3.2818979817373384</v>
      </c>
      <c r="T74" s="160">
        <f>(T60-T68)/T10*100</f>
        <v>-6.846243972700024E-06</v>
      </c>
    </row>
    <row r="75" spans="1:20" s="48" customFormat="1" ht="36.75" thickBot="1">
      <c r="A75" s="158">
        <v>46</v>
      </c>
      <c r="B75" s="142" t="s">
        <v>86</v>
      </c>
      <c r="C75" s="142"/>
      <c r="D75" s="142">
        <f aca="true" t="shared" si="12" ref="D75:P75">(D60-D65-D68)/D10*100</f>
        <v>18.379650948044514</v>
      </c>
      <c r="E75" s="142">
        <f t="shared" si="12"/>
        <v>19.039225076637887</v>
      </c>
      <c r="F75" s="142">
        <f t="shared" si="12"/>
        <v>14.00459704614808</v>
      </c>
      <c r="G75" s="142">
        <f t="shared" si="12"/>
        <v>17.371312762406543</v>
      </c>
      <c r="H75" s="142">
        <f t="shared" si="12"/>
        <v>24.025772933501322</v>
      </c>
      <c r="I75" s="142">
        <f t="shared" si="12"/>
        <v>35.41224620062901</v>
      </c>
      <c r="J75" s="142">
        <f t="shared" si="12"/>
        <v>36.732219770784795</v>
      </c>
      <c r="K75" s="142">
        <f t="shared" si="12"/>
        <v>46.766290688371036</v>
      </c>
      <c r="L75" s="142">
        <f t="shared" si="12"/>
        <v>27.135492433361957</v>
      </c>
      <c r="M75" s="161">
        <f t="shared" si="12"/>
        <v>37.577882913722725</v>
      </c>
      <c r="N75" s="161">
        <f t="shared" si="12"/>
        <v>30.292099110706456</v>
      </c>
      <c r="O75" s="161">
        <f t="shared" si="12"/>
        <v>24.104256723488717</v>
      </c>
      <c r="P75" s="161">
        <f t="shared" si="12"/>
        <v>17.635471639790783</v>
      </c>
      <c r="Q75" s="162">
        <f>(Q60-Q65-Q68)/Q10*100</f>
        <v>12.908841329991763</v>
      </c>
      <c r="R75" s="161">
        <f>(R60-R65-R68)/R10*100</f>
        <v>8.050581697929278</v>
      </c>
      <c r="S75" s="161">
        <f>(S60-S65-S68)/S10*100</f>
        <v>3.2818979817373384</v>
      </c>
      <c r="T75" s="163">
        <f>(T60-T65-T68)/T10*100</f>
        <v>-6.846243972700024E-06</v>
      </c>
    </row>
    <row r="76" spans="1:20" s="48" customFormat="1" ht="15.75" customHeight="1" thickTop="1">
      <c r="A76" s="44">
        <v>47</v>
      </c>
      <c r="B76" s="45" t="s">
        <v>87</v>
      </c>
      <c r="C76" s="45">
        <f aca="true" t="shared" si="13" ref="C76:T76">SUM(C78:C80)</f>
        <v>13186.6</v>
      </c>
      <c r="D76" s="45">
        <f t="shared" si="13"/>
        <v>13434.3</v>
      </c>
      <c r="E76" s="45">
        <f t="shared" si="13"/>
        <v>12597.5</v>
      </c>
      <c r="F76" s="45">
        <f>SUM(F78:F83)</f>
        <v>26985.4</v>
      </c>
      <c r="G76" s="45">
        <f>SUM(G78:G83)</f>
        <v>10355.3</v>
      </c>
      <c r="H76" s="45">
        <f t="shared" si="13"/>
        <v>13507.3</v>
      </c>
      <c r="I76" s="45">
        <f t="shared" si="13"/>
        <v>18159.899999999998</v>
      </c>
      <c r="J76" s="45">
        <f t="shared" si="13"/>
        <v>24362.699999999997</v>
      </c>
      <c r="K76" s="45">
        <f t="shared" si="13"/>
        <v>28982.100000000002</v>
      </c>
      <c r="L76" s="45">
        <f t="shared" si="13"/>
        <v>33002.7</v>
      </c>
      <c r="M76" s="45">
        <f t="shared" si="13"/>
        <v>35785.7</v>
      </c>
      <c r="N76" s="45">
        <f t="shared" si="13"/>
        <v>32401.4</v>
      </c>
      <c r="O76" s="45">
        <f t="shared" si="13"/>
        <v>27553</v>
      </c>
      <c r="P76" s="45">
        <f t="shared" si="13"/>
        <v>26332.5</v>
      </c>
      <c r="Q76" s="46">
        <f t="shared" si="13"/>
        <v>20141.5</v>
      </c>
      <c r="R76" s="45">
        <f t="shared" si="13"/>
        <v>19157.6</v>
      </c>
      <c r="S76" s="45">
        <f t="shared" si="13"/>
        <v>18173.8</v>
      </c>
      <c r="T76" s="47">
        <f t="shared" si="13"/>
        <v>12122.9</v>
      </c>
    </row>
    <row r="77" spans="1:20" s="48" customFormat="1" ht="12.75" customHeight="1" thickBot="1">
      <c r="A77" s="49"/>
      <c r="B77" s="50" t="s">
        <v>88</v>
      </c>
      <c r="C77" s="50"/>
      <c r="D77" s="50"/>
      <c r="E77" s="50"/>
      <c r="F77" s="50"/>
      <c r="G77" s="125"/>
      <c r="H77" s="125"/>
      <c r="I77" s="125"/>
      <c r="J77" s="125"/>
      <c r="K77" s="125"/>
      <c r="L77" s="125"/>
      <c r="M77" s="125"/>
      <c r="N77" s="125"/>
      <c r="O77" s="164"/>
      <c r="P77" s="164"/>
      <c r="Q77" s="126"/>
      <c r="R77" s="125"/>
      <c r="S77" s="164"/>
      <c r="T77" s="165"/>
    </row>
    <row r="78" spans="1:20" s="48" customFormat="1" ht="15" customHeight="1" thickTop="1">
      <c r="A78" s="83">
        <v>48</v>
      </c>
      <c r="B78" s="55" t="s">
        <v>89</v>
      </c>
      <c r="C78" s="55">
        <v>11100.2</v>
      </c>
      <c r="D78" s="55">
        <v>11244</v>
      </c>
      <c r="E78" s="55">
        <v>10629</v>
      </c>
      <c r="F78" s="55">
        <v>20439.2</v>
      </c>
      <c r="G78" s="166">
        <v>9023.8</v>
      </c>
      <c r="H78" s="166">
        <v>10060</v>
      </c>
      <c r="I78" s="166">
        <v>14960.5</v>
      </c>
      <c r="J78" s="166">
        <v>23357.6</v>
      </c>
      <c r="K78" s="84">
        <v>28608.7</v>
      </c>
      <c r="L78" s="84">
        <v>33002.7</v>
      </c>
      <c r="M78" s="84">
        <v>35785.7</v>
      </c>
      <c r="N78" s="84">
        <v>32401.4</v>
      </c>
      <c r="O78" s="91">
        <v>27553</v>
      </c>
      <c r="P78" s="98">
        <v>26332.5</v>
      </c>
      <c r="Q78" s="128">
        <v>20141.5</v>
      </c>
      <c r="R78" s="84">
        <v>19157.6</v>
      </c>
      <c r="S78" s="91">
        <v>18173.8</v>
      </c>
      <c r="T78" s="100">
        <v>12122.9</v>
      </c>
    </row>
    <row r="79" spans="1:20" s="48" customFormat="1" ht="14.25" customHeight="1">
      <c r="A79" s="62">
        <v>49</v>
      </c>
      <c r="B79" s="69" t="s">
        <v>90</v>
      </c>
      <c r="C79" s="69">
        <v>2086.4</v>
      </c>
      <c r="D79" s="69">
        <v>2190.3</v>
      </c>
      <c r="E79" s="69">
        <v>1968.5</v>
      </c>
      <c r="F79" s="69">
        <v>1502.2</v>
      </c>
      <c r="G79" s="166">
        <v>1072.5</v>
      </c>
      <c r="H79" s="166">
        <v>1097.9</v>
      </c>
      <c r="I79" s="166">
        <v>1053.8</v>
      </c>
      <c r="J79" s="166">
        <v>1005.1</v>
      </c>
      <c r="K79" s="166">
        <v>373.4</v>
      </c>
      <c r="L79" s="166">
        <v>0</v>
      </c>
      <c r="M79" s="166">
        <v>0</v>
      </c>
      <c r="N79" s="166">
        <v>0</v>
      </c>
      <c r="O79" s="61">
        <v>0</v>
      </c>
      <c r="P79" s="61">
        <v>0</v>
      </c>
      <c r="Q79" s="167">
        <v>0</v>
      </c>
      <c r="R79" s="166">
        <v>0</v>
      </c>
      <c r="S79" s="61">
        <v>0</v>
      </c>
      <c r="T79" s="108">
        <v>0</v>
      </c>
    </row>
    <row r="80" spans="1:20" s="48" customFormat="1" ht="22.5" customHeight="1">
      <c r="A80" s="63">
        <v>50</v>
      </c>
      <c r="B80" s="60" t="s">
        <v>91</v>
      </c>
      <c r="C80" s="60"/>
      <c r="D80" s="60"/>
      <c r="E80" s="60"/>
      <c r="F80" s="60"/>
      <c r="G80" s="60"/>
      <c r="H80" s="60">
        <v>2349.4</v>
      </c>
      <c r="I80" s="60">
        <v>2145.6</v>
      </c>
      <c r="J80" s="60"/>
      <c r="K80" s="60"/>
      <c r="L80" s="60"/>
      <c r="M80" s="60"/>
      <c r="N80" s="60"/>
      <c r="O80" s="60"/>
      <c r="P80" s="60"/>
      <c r="Q80" s="152"/>
      <c r="R80" s="60"/>
      <c r="S80" s="60"/>
      <c r="T80" s="153"/>
    </row>
    <row r="81" spans="1:20" s="48" customFormat="1" ht="24" customHeight="1">
      <c r="A81" s="63">
        <v>51</v>
      </c>
      <c r="B81" s="60" t="s">
        <v>92</v>
      </c>
      <c r="C81" s="60"/>
      <c r="D81" s="60"/>
      <c r="E81" s="60"/>
      <c r="F81" s="60"/>
      <c r="G81" s="106"/>
      <c r="H81" s="106"/>
      <c r="I81" s="106"/>
      <c r="J81" s="106"/>
      <c r="K81" s="106"/>
      <c r="L81" s="106"/>
      <c r="M81" s="106"/>
      <c r="N81" s="106"/>
      <c r="O81" s="91"/>
      <c r="P81" s="91"/>
      <c r="Q81" s="107"/>
      <c r="R81" s="106"/>
      <c r="S81" s="91"/>
      <c r="T81" s="93"/>
    </row>
    <row r="82" spans="1:20" s="48" customFormat="1" ht="37.5" customHeight="1">
      <c r="A82" s="63">
        <v>52</v>
      </c>
      <c r="B82" s="60" t="s">
        <v>93</v>
      </c>
      <c r="C82" s="60"/>
      <c r="D82" s="60"/>
      <c r="E82" s="60"/>
      <c r="F82" s="60"/>
      <c r="G82" s="106"/>
      <c r="H82" s="106"/>
      <c r="I82" s="106"/>
      <c r="J82" s="106"/>
      <c r="K82" s="106"/>
      <c r="L82" s="106"/>
      <c r="M82" s="106"/>
      <c r="N82" s="106"/>
      <c r="O82" s="61"/>
      <c r="P82" s="61"/>
      <c r="Q82" s="107"/>
      <c r="R82" s="106"/>
      <c r="S82" s="61"/>
      <c r="T82" s="108"/>
    </row>
    <row r="83" spans="1:20" s="48" customFormat="1" ht="48" customHeight="1">
      <c r="A83" s="67">
        <v>53</v>
      </c>
      <c r="B83" s="68" t="s">
        <v>94</v>
      </c>
      <c r="C83" s="68"/>
      <c r="D83" s="68"/>
      <c r="E83" s="68"/>
      <c r="F83" s="68">
        <f>SUM(F84:F87)</f>
        <v>5044</v>
      </c>
      <c r="G83" s="68">
        <f>SUM(G84:G87)</f>
        <v>259</v>
      </c>
      <c r="H83" s="144"/>
      <c r="I83" s="144"/>
      <c r="J83" s="144"/>
      <c r="K83" s="144"/>
      <c r="L83" s="144"/>
      <c r="M83" s="144"/>
      <c r="N83" s="144"/>
      <c r="O83" s="91"/>
      <c r="P83" s="91"/>
      <c r="Q83" s="145"/>
      <c r="R83" s="144"/>
      <c r="S83" s="91"/>
      <c r="T83" s="93"/>
    </row>
    <row r="84" spans="1:20" s="48" customFormat="1" ht="13.5" customHeight="1">
      <c r="A84" s="83"/>
      <c r="B84" s="60" t="s">
        <v>95</v>
      </c>
      <c r="C84" s="60"/>
      <c r="D84" s="60"/>
      <c r="E84" s="60"/>
      <c r="F84" s="60"/>
      <c r="G84" s="106"/>
      <c r="H84" s="106"/>
      <c r="I84" s="106"/>
      <c r="J84" s="106"/>
      <c r="K84" s="106"/>
      <c r="L84" s="106"/>
      <c r="M84" s="106"/>
      <c r="N84" s="106"/>
      <c r="O84" s="61"/>
      <c r="P84" s="61"/>
      <c r="Q84" s="107"/>
      <c r="R84" s="106"/>
      <c r="S84" s="61"/>
      <c r="T84" s="108"/>
    </row>
    <row r="85" spans="1:20" s="48" customFormat="1" ht="12.75" customHeight="1">
      <c r="A85" s="62"/>
      <c r="B85" s="69" t="s">
        <v>96</v>
      </c>
      <c r="C85" s="69"/>
      <c r="D85" s="69"/>
      <c r="E85" s="69"/>
      <c r="F85" s="69">
        <v>5044</v>
      </c>
      <c r="G85" s="91">
        <v>259</v>
      </c>
      <c r="H85" s="168"/>
      <c r="I85" s="168"/>
      <c r="J85" s="168"/>
      <c r="K85" s="168"/>
      <c r="L85" s="168"/>
      <c r="M85" s="168"/>
      <c r="N85" s="168"/>
      <c r="O85" s="91"/>
      <c r="P85" s="91"/>
      <c r="Q85" s="169"/>
      <c r="R85" s="168"/>
      <c r="S85" s="91"/>
      <c r="T85" s="93"/>
    </row>
    <row r="86" spans="1:20" s="48" customFormat="1" ht="23.25" customHeight="1">
      <c r="A86" s="62"/>
      <c r="B86" s="68" t="s">
        <v>97</v>
      </c>
      <c r="C86" s="68"/>
      <c r="D86" s="68"/>
      <c r="E86" s="68"/>
      <c r="F86" s="68"/>
      <c r="G86" s="144"/>
      <c r="H86" s="144"/>
      <c r="I86" s="144"/>
      <c r="J86" s="144"/>
      <c r="K86" s="144"/>
      <c r="L86" s="144"/>
      <c r="M86" s="144"/>
      <c r="N86" s="144"/>
      <c r="O86" s="61"/>
      <c r="P86" s="61"/>
      <c r="Q86" s="145"/>
      <c r="R86" s="144"/>
      <c r="S86" s="61"/>
      <c r="T86" s="108"/>
    </row>
    <row r="87" spans="1:20" s="48" customFormat="1" ht="46.5" customHeight="1">
      <c r="A87" s="170"/>
      <c r="B87" s="60" t="s">
        <v>98</v>
      </c>
      <c r="C87" s="60"/>
      <c r="D87" s="60"/>
      <c r="E87" s="60"/>
      <c r="F87" s="60"/>
      <c r="G87" s="106"/>
      <c r="H87" s="106"/>
      <c r="I87" s="106"/>
      <c r="J87" s="106"/>
      <c r="K87" s="106"/>
      <c r="L87" s="106"/>
      <c r="M87" s="106"/>
      <c r="N87" s="106"/>
      <c r="O87" s="91"/>
      <c r="P87" s="91"/>
      <c r="Q87" s="107"/>
      <c r="R87" s="106"/>
      <c r="S87" s="91"/>
      <c r="T87" s="93"/>
    </row>
    <row r="88" spans="1:20" s="48" customFormat="1" ht="35.25" customHeight="1" hidden="1">
      <c r="A88" s="146">
        <v>42</v>
      </c>
      <c r="B88" s="140" t="s">
        <v>99</v>
      </c>
      <c r="C88" s="140">
        <f aca="true" t="shared" si="14" ref="C88:N88">C76/C10*100</f>
        <v>5.990007417895526</v>
      </c>
      <c r="D88" s="140">
        <f t="shared" si="14"/>
        <v>4.707912017207991</v>
      </c>
      <c r="E88" s="140">
        <f t="shared" si="14"/>
        <v>4.505638709829714</v>
      </c>
      <c r="F88" s="140">
        <f t="shared" si="14"/>
        <v>8.321245581186524</v>
      </c>
      <c r="G88" s="140">
        <f t="shared" si="14"/>
        <v>3.099948360637334</v>
      </c>
      <c r="H88" s="140">
        <f t="shared" si="14"/>
        <v>3.8625371103591015</v>
      </c>
      <c r="I88" s="140">
        <f t="shared" si="14"/>
        <v>4.877475620229566</v>
      </c>
      <c r="J88" s="140">
        <f t="shared" si="14"/>
        <v>5.7846826422717506</v>
      </c>
      <c r="K88" s="140">
        <f t="shared" si="14"/>
        <v>7.543892378510282</v>
      </c>
      <c r="L88" s="140">
        <f t="shared" si="14"/>
        <v>5.716237603118319</v>
      </c>
      <c r="M88" s="140">
        <f t="shared" si="14"/>
        <v>10.367486274263273</v>
      </c>
      <c r="N88" s="140">
        <f t="shared" si="14"/>
        <v>9.369991837760843</v>
      </c>
      <c r="O88" s="91"/>
      <c r="P88" s="91"/>
      <c r="Q88" s="148">
        <f>Q76/Q10*100</f>
        <v>5.793951347138973</v>
      </c>
      <c r="R88" s="140">
        <f>R76/R10*100</f>
        <v>5.459467432335159</v>
      </c>
      <c r="S88" s="91"/>
      <c r="T88" s="93"/>
    </row>
    <row r="89" spans="1:20" s="48" customFormat="1" ht="36">
      <c r="A89" s="146">
        <v>54</v>
      </c>
      <c r="B89" s="140" t="s">
        <v>100</v>
      </c>
      <c r="C89" s="140">
        <f>(C78+C79)/C10*100</f>
        <v>5.990007417895526</v>
      </c>
      <c r="D89" s="140">
        <f aca="true" t="shared" si="15" ref="D89:P89">(D76-D83)/D10*100</f>
        <v>4.707912017207991</v>
      </c>
      <c r="E89" s="140">
        <f t="shared" si="15"/>
        <v>4.505638709829714</v>
      </c>
      <c r="F89" s="140">
        <f t="shared" si="15"/>
        <v>6.7658725753572675</v>
      </c>
      <c r="G89" s="140">
        <f t="shared" si="15"/>
        <v>3.0224144769830636</v>
      </c>
      <c r="H89" s="140">
        <f t="shared" si="15"/>
        <v>3.8625371103591015</v>
      </c>
      <c r="I89" s="140">
        <f t="shared" si="15"/>
        <v>4.877475620229566</v>
      </c>
      <c r="J89" s="140">
        <f t="shared" si="15"/>
        <v>5.7846826422717506</v>
      </c>
      <c r="K89" s="140">
        <f t="shared" si="15"/>
        <v>7.543892378510282</v>
      </c>
      <c r="L89" s="140">
        <f t="shared" si="15"/>
        <v>5.716237603118319</v>
      </c>
      <c r="M89" s="140">
        <f t="shared" si="15"/>
        <v>10.367486274263273</v>
      </c>
      <c r="N89" s="140">
        <f t="shared" si="15"/>
        <v>9.369991837760843</v>
      </c>
      <c r="O89" s="140">
        <f t="shared" si="15"/>
        <v>7.989711606079557</v>
      </c>
      <c r="P89" s="140">
        <f t="shared" si="15"/>
        <v>7.550995742742906</v>
      </c>
      <c r="Q89" s="148">
        <f>(Q76-Q83)/Q10*100</f>
        <v>5.793951347138973</v>
      </c>
      <c r="R89" s="140">
        <f>(R76-R83)/R10*100</f>
        <v>5.459467432335159</v>
      </c>
      <c r="S89" s="140">
        <f>(S76-S83)/S10*100</f>
        <v>5.130725219604583</v>
      </c>
      <c r="T89" s="149">
        <f>(T76-T83)/T10*100</f>
        <v>3.4581804614879053</v>
      </c>
    </row>
    <row r="90" spans="1:20" s="48" customFormat="1" ht="47.25" customHeight="1" thickBot="1">
      <c r="A90" s="171">
        <v>55</v>
      </c>
      <c r="B90" s="161" t="s">
        <v>101</v>
      </c>
      <c r="C90" s="161">
        <f>(C76-C80)/C10*100</f>
        <v>5.990007417895526</v>
      </c>
      <c r="D90" s="161">
        <f>(D76-D80)/D10*100</f>
        <v>4.707912017207991</v>
      </c>
      <c r="E90" s="161">
        <f>(E76-E80)/E10*100</f>
        <v>4.505638709829714</v>
      </c>
      <c r="F90" s="161">
        <f aca="true" t="shared" si="16" ref="F90:P90">((F76-F80)-F83)/F10*100</f>
        <v>6.7658725753572675</v>
      </c>
      <c r="G90" s="161">
        <f t="shared" si="16"/>
        <v>3.0224144769830636</v>
      </c>
      <c r="H90" s="161">
        <f t="shared" si="16"/>
        <v>3.190704494878756</v>
      </c>
      <c r="I90" s="161">
        <f t="shared" si="16"/>
        <v>4.30119977670815</v>
      </c>
      <c r="J90" s="161">
        <f t="shared" si="16"/>
        <v>5.7846826422717506</v>
      </c>
      <c r="K90" s="161">
        <f t="shared" si="16"/>
        <v>7.543892378510282</v>
      </c>
      <c r="L90" s="161">
        <f t="shared" si="16"/>
        <v>5.716237603118319</v>
      </c>
      <c r="M90" s="161">
        <f t="shared" si="16"/>
        <v>10.367486274263273</v>
      </c>
      <c r="N90" s="161">
        <f t="shared" si="16"/>
        <v>9.369991837760843</v>
      </c>
      <c r="O90" s="161">
        <f t="shared" si="16"/>
        <v>7.989711606079557</v>
      </c>
      <c r="P90" s="161">
        <f t="shared" si="16"/>
        <v>7.550995742742906</v>
      </c>
      <c r="Q90" s="162">
        <f>((Q76-Q80)-Q83)/Q10*100</f>
        <v>5.793951347138973</v>
      </c>
      <c r="R90" s="161">
        <f>((R76-R80)-R83)/R10*100</f>
        <v>5.459467432335159</v>
      </c>
      <c r="S90" s="161">
        <f>((S76-S80)-S83)/S10*100</f>
        <v>5.130725219604583</v>
      </c>
      <c r="T90" s="163">
        <f>((T76-T80)-T83)/T10*100</f>
        <v>3.4581804614879053</v>
      </c>
    </row>
    <row r="91" spans="1:20" s="16" customFormat="1" ht="13.5" thickTop="1">
      <c r="A91" s="16" t="s">
        <v>102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6"/>
      <c r="R91" s="5"/>
      <c r="S91" s="5"/>
      <c r="T91" s="5"/>
    </row>
    <row r="92" spans="1:20" s="16" customFormat="1" ht="12.75">
      <c r="A92" s="16" t="s">
        <v>103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5"/>
      <c r="O92" s="5"/>
      <c r="P92" s="5"/>
      <c r="Q92" s="6"/>
      <c r="R92" s="5"/>
      <c r="S92" s="5"/>
      <c r="T92" s="5"/>
    </row>
    <row r="93" spans="1:20" s="16" customFormat="1" ht="12.75">
      <c r="A93" s="16" t="s">
        <v>104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6"/>
      <c r="R93" s="2"/>
      <c r="S93" s="5"/>
      <c r="T93" s="5"/>
    </row>
    <row r="94" spans="1:20" s="16" customFormat="1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6"/>
      <c r="R94" s="2"/>
      <c r="S94" s="5"/>
      <c r="T94" s="5"/>
    </row>
    <row r="95" spans="1:20" s="16" customFormat="1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5"/>
      <c r="O95" s="5"/>
      <c r="P95" s="5"/>
      <c r="Q95" s="6"/>
      <c r="R95" s="5"/>
      <c r="S95" s="5"/>
      <c r="T95" s="5"/>
    </row>
    <row r="96" spans="1:20" s="16" customFormat="1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5"/>
      <c r="O96" s="5"/>
      <c r="P96" s="5"/>
      <c r="Q96" s="6"/>
      <c r="R96" s="5"/>
      <c r="S96" s="5"/>
      <c r="T96" s="5"/>
    </row>
    <row r="97" spans="1:20" s="16" customFormat="1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5"/>
      <c r="O97" s="5"/>
      <c r="P97" s="5"/>
      <c r="Q97" s="6"/>
      <c r="R97" s="5"/>
      <c r="S97" s="5"/>
      <c r="T97" s="5"/>
    </row>
    <row r="98" spans="1:20" s="16" customFormat="1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5"/>
      <c r="O98" s="5"/>
      <c r="P98" s="5"/>
      <c r="Q98" s="6"/>
      <c r="R98" s="5"/>
      <c r="S98" s="5"/>
      <c r="T98" s="5"/>
    </row>
    <row r="99" spans="1:20" s="16" customFormat="1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5"/>
      <c r="O99" s="5"/>
      <c r="P99" s="5"/>
      <c r="Q99" s="6"/>
      <c r="R99" s="5"/>
      <c r="S99" s="5"/>
      <c r="T99" s="5"/>
    </row>
    <row r="100" spans="1:20" s="16" customFormat="1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5"/>
      <c r="O100" s="5"/>
      <c r="P100" s="5"/>
      <c r="Q100" s="6"/>
      <c r="R100" s="5"/>
      <c r="S100" s="5"/>
      <c r="T100" s="5"/>
    </row>
    <row r="101" spans="1:20" s="16" customFormat="1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5"/>
      <c r="O101" s="5"/>
      <c r="P101" s="5"/>
      <c r="Q101" s="6"/>
      <c r="R101" s="5"/>
      <c r="S101" s="5"/>
      <c r="T101" s="5"/>
    </row>
    <row r="102" spans="1:20" s="16" customFormat="1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5"/>
      <c r="O102" s="5"/>
      <c r="P102" s="5"/>
      <c r="Q102" s="6"/>
      <c r="R102" s="5"/>
      <c r="S102" s="5"/>
      <c r="T102" s="5"/>
    </row>
    <row r="103" spans="1:20" s="16" customFormat="1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5"/>
      <c r="O103" s="5"/>
      <c r="P103" s="5"/>
      <c r="Q103" s="6"/>
      <c r="R103" s="5"/>
      <c r="S103" s="5"/>
      <c r="T103" s="5"/>
    </row>
    <row r="104" spans="1:20" s="16" customFormat="1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5"/>
      <c r="O104" s="5"/>
      <c r="P104" s="5"/>
      <c r="Q104" s="6"/>
      <c r="R104" s="5"/>
      <c r="S104" s="5"/>
      <c r="T104" s="5"/>
    </row>
    <row r="105" spans="1:20" s="16" customFormat="1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5"/>
      <c r="O105" s="5"/>
      <c r="P105" s="5"/>
      <c r="Q105" s="6"/>
      <c r="R105" s="5"/>
      <c r="S105" s="5"/>
      <c r="T105" s="5"/>
    </row>
    <row r="106" spans="1:20" s="16" customFormat="1" ht="12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5"/>
      <c r="O106" s="5"/>
      <c r="P106" s="5"/>
      <c r="Q106" s="6"/>
      <c r="R106" s="5"/>
      <c r="S106" s="5"/>
      <c r="T106" s="5"/>
    </row>
    <row r="107" spans="1:20" s="16" customFormat="1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5"/>
      <c r="O107" s="5"/>
      <c r="P107" s="5"/>
      <c r="Q107" s="6"/>
      <c r="R107" s="5"/>
      <c r="S107" s="5"/>
      <c r="T107" s="5"/>
    </row>
    <row r="108" spans="1:20" s="16" customFormat="1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5"/>
      <c r="O108" s="5"/>
      <c r="P108" s="5"/>
      <c r="Q108" s="6"/>
      <c r="R108" s="5"/>
      <c r="S108" s="5"/>
      <c r="T108" s="5"/>
    </row>
    <row r="109" spans="1:20" s="16" customFormat="1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5"/>
      <c r="O109" s="5"/>
      <c r="P109" s="5"/>
      <c r="Q109" s="6"/>
      <c r="R109" s="5"/>
      <c r="S109" s="5"/>
      <c r="T109" s="5"/>
    </row>
    <row r="110" spans="1:20" s="16" customFormat="1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5"/>
      <c r="O110" s="5"/>
      <c r="P110" s="5"/>
      <c r="Q110" s="6"/>
      <c r="R110" s="5"/>
      <c r="S110" s="5"/>
      <c r="T110" s="5"/>
    </row>
    <row r="111" spans="1:20" s="16" customFormat="1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5"/>
      <c r="O111" s="5"/>
      <c r="P111" s="5"/>
      <c r="Q111" s="6"/>
      <c r="R111" s="5"/>
      <c r="S111" s="5"/>
      <c r="T111" s="5"/>
    </row>
    <row r="112" spans="1:20" s="16" customFormat="1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5"/>
      <c r="O112" s="5"/>
      <c r="P112" s="5"/>
      <c r="Q112" s="6"/>
      <c r="R112" s="5"/>
      <c r="S112" s="5"/>
      <c r="T112" s="5"/>
    </row>
    <row r="113" spans="1:20" s="16" customFormat="1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5"/>
      <c r="O113" s="5"/>
      <c r="P113" s="5"/>
      <c r="Q113" s="6"/>
      <c r="R113" s="5"/>
      <c r="S113" s="5"/>
      <c r="T113" s="5"/>
    </row>
    <row r="114" spans="1:20" s="16" customFormat="1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5"/>
      <c r="O114" s="5"/>
      <c r="P114" s="5"/>
      <c r="Q114" s="6"/>
      <c r="R114" s="5"/>
      <c r="S114" s="5"/>
      <c r="T114" s="5"/>
    </row>
    <row r="115" spans="1:20" s="16" customFormat="1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5"/>
      <c r="O115" s="5"/>
      <c r="P115" s="5"/>
      <c r="Q115" s="6"/>
      <c r="R115" s="5"/>
      <c r="S115" s="5"/>
      <c r="T115" s="5"/>
    </row>
    <row r="116" spans="1:20" s="16" customFormat="1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5"/>
      <c r="O116" s="5"/>
      <c r="P116" s="5"/>
      <c r="Q116" s="6"/>
      <c r="R116" s="5"/>
      <c r="S116" s="5"/>
      <c r="T116" s="5"/>
    </row>
    <row r="117" spans="1:20" s="16" customFormat="1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5"/>
      <c r="O117" s="5"/>
      <c r="P117" s="5"/>
      <c r="Q117" s="6"/>
      <c r="R117" s="5"/>
      <c r="S117" s="5"/>
      <c r="T117" s="5"/>
    </row>
    <row r="118" spans="1:20" s="16" customFormat="1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5"/>
      <c r="O118" s="5"/>
      <c r="P118" s="5"/>
      <c r="Q118" s="6"/>
      <c r="R118" s="5"/>
      <c r="S118" s="5"/>
      <c r="T118" s="5"/>
    </row>
    <row r="119" spans="1:20" s="16" customFormat="1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5"/>
      <c r="O119" s="5"/>
      <c r="P119" s="5"/>
      <c r="Q119" s="6"/>
      <c r="R119" s="5"/>
      <c r="S119" s="5"/>
      <c r="T119" s="5"/>
    </row>
    <row r="120" spans="1:20" s="16" customFormat="1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5"/>
      <c r="O120" s="5"/>
      <c r="P120" s="5"/>
      <c r="Q120" s="6"/>
      <c r="R120" s="5"/>
      <c r="S120" s="5"/>
      <c r="T120" s="5"/>
    </row>
    <row r="121" spans="1:20" s="16" customFormat="1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5"/>
      <c r="O121" s="5"/>
      <c r="P121" s="5"/>
      <c r="Q121" s="6"/>
      <c r="R121" s="5"/>
      <c r="S121" s="5"/>
      <c r="T121" s="5"/>
    </row>
    <row r="122" spans="1:20" s="16" customFormat="1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5"/>
      <c r="O122" s="5"/>
      <c r="P122" s="5"/>
      <c r="Q122" s="6"/>
      <c r="R122" s="5"/>
      <c r="S122" s="5"/>
      <c r="T122" s="5"/>
    </row>
    <row r="123" spans="1:20" s="16" customFormat="1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5"/>
      <c r="O123" s="5"/>
      <c r="P123" s="5"/>
      <c r="Q123" s="6"/>
      <c r="R123" s="5"/>
      <c r="S123" s="5"/>
      <c r="T123" s="5"/>
    </row>
    <row r="124" spans="1:20" s="16" customFormat="1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5"/>
      <c r="O124" s="5"/>
      <c r="P124" s="5"/>
      <c r="Q124" s="6"/>
      <c r="R124" s="5"/>
      <c r="S124" s="5"/>
      <c r="T124" s="5"/>
    </row>
    <row r="125" spans="1:20" s="16" customFormat="1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5"/>
      <c r="O125" s="5"/>
      <c r="P125" s="5"/>
      <c r="Q125" s="6"/>
      <c r="R125" s="5"/>
      <c r="S125" s="5"/>
      <c r="T125" s="5"/>
    </row>
    <row r="126" spans="1:20" s="16" customFormat="1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5"/>
      <c r="O126" s="5"/>
      <c r="P126" s="5"/>
      <c r="Q126" s="6"/>
      <c r="R126" s="5"/>
      <c r="S126" s="5"/>
      <c r="T126" s="5"/>
    </row>
    <row r="127" spans="1:20" s="16" customFormat="1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5"/>
      <c r="O127" s="5"/>
      <c r="P127" s="5"/>
      <c r="Q127" s="6"/>
      <c r="R127" s="5"/>
      <c r="S127" s="5"/>
      <c r="T127" s="5"/>
    </row>
    <row r="128" spans="1:20" s="16" customFormat="1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5"/>
      <c r="O128" s="5"/>
      <c r="P128" s="5"/>
      <c r="Q128" s="6"/>
      <c r="R128" s="5"/>
      <c r="S128" s="5"/>
      <c r="T128" s="5"/>
    </row>
    <row r="129" spans="1:20" s="16" customFormat="1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5"/>
      <c r="O129" s="5"/>
      <c r="P129" s="5"/>
      <c r="Q129" s="6"/>
      <c r="R129" s="5"/>
      <c r="S129" s="5"/>
      <c r="T129" s="5"/>
    </row>
    <row r="130" spans="1:20" s="16" customFormat="1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5"/>
      <c r="O130" s="5"/>
      <c r="P130" s="5"/>
      <c r="Q130" s="6"/>
      <c r="R130" s="5"/>
      <c r="S130" s="5"/>
      <c r="T130" s="5"/>
    </row>
    <row r="131" spans="1:20" s="16" customFormat="1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5"/>
      <c r="O131" s="5"/>
      <c r="P131" s="5"/>
      <c r="Q131" s="6"/>
      <c r="R131" s="5"/>
      <c r="S131" s="5"/>
      <c r="T131" s="5"/>
    </row>
    <row r="132" spans="1:20" s="16" customFormat="1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5"/>
      <c r="O132" s="5"/>
      <c r="P132" s="5"/>
      <c r="Q132" s="6"/>
      <c r="R132" s="5"/>
      <c r="S132" s="5"/>
      <c r="T132" s="5"/>
    </row>
    <row r="133" spans="1:20" s="16" customFormat="1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5"/>
      <c r="O133" s="5"/>
      <c r="P133" s="5"/>
      <c r="Q133" s="6"/>
      <c r="R133" s="5"/>
      <c r="S133" s="5"/>
      <c r="T133" s="5"/>
    </row>
    <row r="134" spans="1:20" s="16" customFormat="1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5"/>
      <c r="O134" s="5"/>
      <c r="P134" s="5"/>
      <c r="Q134" s="6"/>
      <c r="R134" s="5"/>
      <c r="S134" s="5"/>
      <c r="T134" s="5"/>
    </row>
    <row r="135" spans="1:20" s="16" customFormat="1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5"/>
      <c r="O135" s="5"/>
      <c r="P135" s="5"/>
      <c r="Q135" s="6"/>
      <c r="R135" s="5"/>
      <c r="S135" s="5"/>
      <c r="T135" s="5"/>
    </row>
    <row r="136" spans="1:20" s="16" customFormat="1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5"/>
      <c r="O136" s="5"/>
      <c r="P136" s="5"/>
      <c r="Q136" s="6"/>
      <c r="R136" s="5"/>
      <c r="S136" s="5"/>
      <c r="T136" s="5"/>
    </row>
    <row r="137" spans="1:20" s="16" customFormat="1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5"/>
      <c r="O137" s="5"/>
      <c r="P137" s="5"/>
      <c r="Q137" s="6"/>
      <c r="R137" s="5"/>
      <c r="S137" s="5"/>
      <c r="T137" s="5"/>
    </row>
    <row r="138" spans="1:20" s="16" customFormat="1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5"/>
      <c r="O138" s="5"/>
      <c r="P138" s="5"/>
      <c r="Q138" s="6"/>
      <c r="R138" s="5"/>
      <c r="S138" s="5"/>
      <c r="T138" s="5"/>
    </row>
    <row r="139" spans="1:20" s="16" customFormat="1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5"/>
      <c r="O139" s="5"/>
      <c r="P139" s="5"/>
      <c r="Q139" s="6"/>
      <c r="R139" s="5"/>
      <c r="S139" s="5"/>
      <c r="T139" s="5"/>
    </row>
    <row r="140" spans="1:20" s="16" customFormat="1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5"/>
      <c r="O140" s="5"/>
      <c r="P140" s="5"/>
      <c r="Q140" s="6"/>
      <c r="R140" s="5"/>
      <c r="S140" s="5"/>
      <c r="T140" s="5"/>
    </row>
    <row r="141" spans="1:20" s="16" customFormat="1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5"/>
      <c r="O141" s="5"/>
      <c r="P141" s="5"/>
      <c r="Q141" s="6"/>
      <c r="R141" s="5"/>
      <c r="S141" s="5"/>
      <c r="T141" s="5"/>
    </row>
    <row r="142" spans="1:20" s="16" customFormat="1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5"/>
      <c r="O142" s="5"/>
      <c r="P142" s="5"/>
      <c r="Q142" s="6"/>
      <c r="R142" s="5"/>
      <c r="S142" s="5"/>
      <c r="T142" s="5"/>
    </row>
    <row r="143" spans="1:20" s="16" customFormat="1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5"/>
      <c r="O143" s="5"/>
      <c r="P143" s="5"/>
      <c r="Q143" s="6"/>
      <c r="R143" s="5"/>
      <c r="S143" s="5"/>
      <c r="T143" s="5"/>
    </row>
    <row r="144" spans="1:20" s="16" customFormat="1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5"/>
      <c r="O144" s="5"/>
      <c r="P144" s="5"/>
      <c r="Q144" s="6"/>
      <c r="R144" s="5"/>
      <c r="S144" s="5"/>
      <c r="T144" s="5"/>
    </row>
    <row r="145" spans="1:20" s="16" customFormat="1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5"/>
      <c r="O145" s="5"/>
      <c r="P145" s="5"/>
      <c r="Q145" s="6"/>
      <c r="R145" s="5"/>
      <c r="S145" s="5"/>
      <c r="T145" s="5"/>
    </row>
    <row r="146" spans="1:20" s="16" customFormat="1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5"/>
      <c r="O146" s="5"/>
      <c r="P146" s="5"/>
      <c r="Q146" s="6"/>
      <c r="R146" s="5"/>
      <c r="S146" s="5"/>
      <c r="T146" s="5"/>
    </row>
    <row r="147" spans="1:20" s="16" customFormat="1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5"/>
      <c r="O147" s="5"/>
      <c r="P147" s="5"/>
      <c r="Q147" s="6"/>
      <c r="R147" s="5"/>
      <c r="S147" s="5"/>
      <c r="T147" s="5"/>
    </row>
    <row r="148" spans="1:20" s="16" customFormat="1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5"/>
      <c r="O148" s="5"/>
      <c r="P148" s="5"/>
      <c r="Q148" s="6"/>
      <c r="R148" s="5"/>
      <c r="S148" s="5"/>
      <c r="T148" s="5"/>
    </row>
    <row r="149" spans="1:20" s="16" customFormat="1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5"/>
      <c r="O149" s="5"/>
      <c r="P149" s="5"/>
      <c r="Q149" s="6"/>
      <c r="R149" s="5"/>
      <c r="S149" s="5"/>
      <c r="T149" s="5"/>
    </row>
    <row r="150" spans="1:20" s="16" customFormat="1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5"/>
      <c r="O150" s="5"/>
      <c r="P150" s="5"/>
      <c r="Q150" s="6"/>
      <c r="R150" s="5"/>
      <c r="S150" s="5"/>
      <c r="T150" s="5"/>
    </row>
    <row r="151" spans="1:20" s="16" customFormat="1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5"/>
      <c r="O151" s="5"/>
      <c r="P151" s="5"/>
      <c r="Q151" s="6"/>
      <c r="R151" s="5"/>
      <c r="S151" s="5"/>
      <c r="T151" s="5"/>
    </row>
    <row r="152" spans="1:20" s="16" customFormat="1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5"/>
      <c r="O152" s="5"/>
      <c r="P152" s="5"/>
      <c r="Q152" s="6"/>
      <c r="R152" s="5"/>
      <c r="S152" s="5"/>
      <c r="T152" s="5"/>
    </row>
    <row r="153" spans="1:20" s="16" customFormat="1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5"/>
      <c r="O153" s="5"/>
      <c r="P153" s="5"/>
      <c r="Q153" s="6"/>
      <c r="R153" s="5"/>
      <c r="S153" s="5"/>
      <c r="T153" s="5"/>
    </row>
    <row r="154" spans="1:20" s="16" customFormat="1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5"/>
      <c r="O154" s="5"/>
      <c r="P154" s="5"/>
      <c r="Q154" s="6"/>
      <c r="R154" s="5"/>
      <c r="S154" s="5"/>
      <c r="T154" s="5"/>
    </row>
    <row r="155" spans="1:20" s="16" customFormat="1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5"/>
      <c r="O155" s="5"/>
      <c r="P155" s="5"/>
      <c r="Q155" s="6"/>
      <c r="R155" s="5"/>
      <c r="S155" s="5"/>
      <c r="T155" s="5"/>
    </row>
    <row r="156" spans="1:20" s="16" customFormat="1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5"/>
      <c r="O156" s="5"/>
      <c r="P156" s="5"/>
      <c r="Q156" s="6"/>
      <c r="R156" s="5"/>
      <c r="S156" s="5"/>
      <c r="T156" s="5"/>
    </row>
    <row r="157" spans="1:20" s="16" customFormat="1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5"/>
      <c r="O157" s="5"/>
      <c r="P157" s="5"/>
      <c r="Q157" s="6"/>
      <c r="R157" s="5"/>
      <c r="S157" s="5"/>
      <c r="T157" s="5"/>
    </row>
    <row r="158" spans="1:20" s="16" customFormat="1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5"/>
      <c r="O158" s="5"/>
      <c r="P158" s="5"/>
      <c r="Q158" s="6"/>
      <c r="R158" s="5"/>
      <c r="S158" s="5"/>
      <c r="T158" s="5"/>
    </row>
    <row r="159" spans="1:20" s="16" customFormat="1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5"/>
      <c r="O159" s="5"/>
      <c r="P159" s="5"/>
      <c r="Q159" s="6"/>
      <c r="R159" s="5"/>
      <c r="S159" s="5"/>
      <c r="T159" s="5"/>
    </row>
    <row r="160" spans="1:20" s="16" customFormat="1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5"/>
      <c r="O160" s="5"/>
      <c r="P160" s="5"/>
      <c r="Q160" s="6"/>
      <c r="R160" s="5"/>
      <c r="S160" s="5"/>
      <c r="T160" s="5"/>
    </row>
    <row r="161" spans="1:20" s="16" customFormat="1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5"/>
      <c r="O161" s="5"/>
      <c r="P161" s="5"/>
      <c r="Q161" s="6"/>
      <c r="R161" s="5"/>
      <c r="S161" s="5"/>
      <c r="T161" s="5"/>
    </row>
    <row r="162" spans="1:20" s="16" customFormat="1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5"/>
      <c r="O162" s="5"/>
      <c r="P162" s="5"/>
      <c r="Q162" s="6"/>
      <c r="R162" s="5"/>
      <c r="S162" s="5"/>
      <c r="T162" s="5"/>
    </row>
    <row r="163" spans="1:20" s="16" customFormat="1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5"/>
      <c r="O163" s="5"/>
      <c r="P163" s="5"/>
      <c r="Q163" s="6"/>
      <c r="R163" s="5"/>
      <c r="S163" s="5"/>
      <c r="T163" s="5"/>
    </row>
    <row r="164" spans="1:20" s="16" customFormat="1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5"/>
      <c r="O164" s="5"/>
      <c r="P164" s="5"/>
      <c r="Q164" s="6"/>
      <c r="R164" s="5"/>
      <c r="S164" s="5"/>
      <c r="T164" s="5"/>
    </row>
    <row r="165" spans="1:20" s="16" customFormat="1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5"/>
      <c r="O165" s="5"/>
      <c r="P165" s="5"/>
      <c r="Q165" s="6"/>
      <c r="R165" s="5"/>
      <c r="S165" s="5"/>
      <c r="T165" s="5"/>
    </row>
    <row r="166" spans="1:20" s="16" customFormat="1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5"/>
      <c r="O166" s="5"/>
      <c r="P166" s="5"/>
      <c r="Q166" s="6"/>
      <c r="R166" s="5"/>
      <c r="S166" s="5"/>
      <c r="T166" s="5"/>
    </row>
    <row r="167" spans="1:20" s="16" customFormat="1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5"/>
      <c r="O167" s="5"/>
      <c r="P167" s="5"/>
      <c r="Q167" s="6"/>
      <c r="R167" s="5"/>
      <c r="S167" s="5"/>
      <c r="T167" s="5"/>
    </row>
    <row r="168" spans="1:20" s="16" customFormat="1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5"/>
      <c r="O168" s="5"/>
      <c r="P168" s="5"/>
      <c r="Q168" s="6"/>
      <c r="R168" s="5"/>
      <c r="S168" s="5"/>
      <c r="T168" s="5"/>
    </row>
    <row r="169" spans="1:20" s="16" customFormat="1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5"/>
      <c r="O169" s="5"/>
      <c r="P169" s="5"/>
      <c r="Q169" s="6"/>
      <c r="R169" s="5"/>
      <c r="S169" s="5"/>
      <c r="T169" s="5"/>
    </row>
    <row r="170" spans="1:20" s="16" customFormat="1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5"/>
      <c r="O170" s="5"/>
      <c r="P170" s="5"/>
      <c r="Q170" s="6"/>
      <c r="R170" s="5"/>
      <c r="S170" s="5"/>
      <c r="T170" s="5"/>
    </row>
    <row r="171" spans="1:20" s="16" customFormat="1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5"/>
      <c r="O171" s="5"/>
      <c r="P171" s="5"/>
      <c r="Q171" s="6"/>
      <c r="R171" s="5"/>
      <c r="S171" s="5"/>
      <c r="T171" s="5"/>
    </row>
    <row r="172" spans="1:20" s="16" customFormat="1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5"/>
      <c r="O172" s="5"/>
      <c r="P172" s="5"/>
      <c r="Q172" s="6"/>
      <c r="R172" s="5"/>
      <c r="S172" s="5"/>
      <c r="T172" s="5"/>
    </row>
    <row r="173" spans="1:20" s="16" customFormat="1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5"/>
      <c r="O173" s="5"/>
      <c r="P173" s="5"/>
      <c r="Q173" s="6"/>
      <c r="R173" s="5"/>
      <c r="S173" s="5"/>
      <c r="T173" s="5"/>
    </row>
    <row r="174" spans="1:20" s="16" customFormat="1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5"/>
      <c r="O174" s="5"/>
      <c r="P174" s="5"/>
      <c r="Q174" s="6"/>
      <c r="R174" s="5"/>
      <c r="S174" s="5"/>
      <c r="T174" s="5"/>
    </row>
    <row r="175" spans="1:20" s="16" customFormat="1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5"/>
      <c r="O175" s="5"/>
      <c r="P175" s="5"/>
      <c r="Q175" s="6"/>
      <c r="R175" s="5"/>
      <c r="S175" s="5"/>
      <c r="T175" s="5"/>
    </row>
    <row r="176" spans="1:20" s="16" customFormat="1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5"/>
      <c r="O176" s="5"/>
      <c r="P176" s="5"/>
      <c r="Q176" s="6"/>
      <c r="R176" s="5"/>
      <c r="S176" s="5"/>
      <c r="T176" s="5"/>
    </row>
    <row r="177" spans="1:20" s="16" customFormat="1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5"/>
      <c r="O177" s="5"/>
      <c r="P177" s="5"/>
      <c r="Q177" s="6"/>
      <c r="R177" s="5"/>
      <c r="S177" s="5"/>
      <c r="T177" s="5"/>
    </row>
    <row r="178" spans="1:20" s="16" customFormat="1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5"/>
      <c r="O178" s="5"/>
      <c r="P178" s="5"/>
      <c r="Q178" s="6"/>
      <c r="R178" s="5"/>
      <c r="S178" s="5"/>
      <c r="T178" s="5"/>
    </row>
    <row r="179" spans="1:20" s="16" customFormat="1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5"/>
      <c r="O179" s="5"/>
      <c r="P179" s="5"/>
      <c r="Q179" s="6"/>
      <c r="R179" s="5"/>
      <c r="S179" s="5"/>
      <c r="T179" s="5"/>
    </row>
    <row r="180" spans="1:20" s="16" customFormat="1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5"/>
      <c r="O180" s="5"/>
      <c r="P180" s="5"/>
      <c r="Q180" s="6"/>
      <c r="R180" s="5"/>
      <c r="S180" s="5"/>
      <c r="T180" s="5"/>
    </row>
    <row r="181" spans="1:20" s="16" customFormat="1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5"/>
      <c r="O181" s="5"/>
      <c r="P181" s="5"/>
      <c r="Q181" s="6"/>
      <c r="R181" s="5"/>
      <c r="S181" s="5"/>
      <c r="T181" s="5"/>
    </row>
    <row r="182" spans="1:20" s="16" customFormat="1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5"/>
      <c r="O182" s="5"/>
      <c r="P182" s="5"/>
      <c r="Q182" s="6"/>
      <c r="R182" s="5"/>
      <c r="S182" s="5"/>
      <c r="T182" s="5"/>
    </row>
    <row r="183" spans="1:20" s="16" customFormat="1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5"/>
      <c r="O183" s="5"/>
      <c r="P183" s="5"/>
      <c r="Q183" s="6"/>
      <c r="R183" s="5"/>
      <c r="S183" s="5"/>
      <c r="T183" s="5"/>
    </row>
    <row r="184" spans="1:20" s="16" customFormat="1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5"/>
      <c r="O184" s="5"/>
      <c r="P184" s="5"/>
      <c r="Q184" s="6"/>
      <c r="R184" s="5"/>
      <c r="S184" s="5"/>
      <c r="T184" s="5"/>
    </row>
    <row r="185" spans="1:20" s="16" customFormat="1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5"/>
      <c r="O185" s="5"/>
      <c r="P185" s="5"/>
      <c r="Q185" s="6"/>
      <c r="R185" s="5"/>
      <c r="S185" s="5"/>
      <c r="T185" s="5"/>
    </row>
    <row r="186" spans="1:20" s="16" customFormat="1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5"/>
      <c r="O186" s="5"/>
      <c r="P186" s="5"/>
      <c r="Q186" s="6"/>
      <c r="R186" s="5"/>
      <c r="S186" s="5"/>
      <c r="T186" s="5"/>
    </row>
    <row r="187" spans="1:20" s="16" customFormat="1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5"/>
      <c r="O187" s="5"/>
      <c r="P187" s="5"/>
      <c r="Q187" s="6"/>
      <c r="R187" s="5"/>
      <c r="S187" s="5"/>
      <c r="T187" s="5"/>
    </row>
    <row r="188" spans="1:20" s="16" customFormat="1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5"/>
      <c r="O188" s="5"/>
      <c r="P188" s="5"/>
      <c r="Q188" s="6"/>
      <c r="R188" s="5"/>
      <c r="S188" s="5"/>
      <c r="T188" s="5"/>
    </row>
    <row r="189" spans="1:20" s="16" customFormat="1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5"/>
      <c r="O189" s="5"/>
      <c r="P189" s="5"/>
      <c r="Q189" s="6"/>
      <c r="R189" s="5"/>
      <c r="S189" s="5"/>
      <c r="T189" s="5"/>
    </row>
    <row r="190" spans="1:20" s="16" customFormat="1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5"/>
      <c r="O190" s="5"/>
      <c r="P190" s="5"/>
      <c r="Q190" s="6"/>
      <c r="R190" s="5"/>
      <c r="S190" s="5"/>
      <c r="T190" s="5"/>
    </row>
    <row r="191" spans="1:20" s="16" customFormat="1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5"/>
      <c r="O191" s="5"/>
      <c r="P191" s="5"/>
      <c r="Q191" s="6"/>
      <c r="R191" s="5"/>
      <c r="S191" s="5"/>
      <c r="T191" s="5"/>
    </row>
    <row r="192" spans="1:20" s="16" customFormat="1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5"/>
      <c r="O192" s="5"/>
      <c r="P192" s="5"/>
      <c r="Q192" s="6"/>
      <c r="R192" s="5"/>
      <c r="S192" s="5"/>
      <c r="T192" s="5"/>
    </row>
    <row r="193" spans="1:20" s="16" customFormat="1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5"/>
      <c r="O193" s="5"/>
      <c r="P193" s="5"/>
      <c r="Q193" s="6"/>
      <c r="R193" s="5"/>
      <c r="S193" s="5"/>
      <c r="T193" s="5"/>
    </row>
    <row r="194" spans="1:20" s="16" customFormat="1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5"/>
      <c r="O194" s="5"/>
      <c r="P194" s="5"/>
      <c r="Q194" s="6"/>
      <c r="R194" s="5"/>
      <c r="S194" s="5"/>
      <c r="T194" s="5"/>
    </row>
    <row r="195" spans="1:20" s="16" customFormat="1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5"/>
      <c r="O195" s="5"/>
      <c r="P195" s="5"/>
      <c r="Q195" s="6"/>
      <c r="R195" s="5"/>
      <c r="S195" s="5"/>
      <c r="T195" s="5"/>
    </row>
    <row r="196" spans="1:20" s="16" customFormat="1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5"/>
      <c r="O196" s="5"/>
      <c r="P196" s="5"/>
      <c r="Q196" s="6"/>
      <c r="R196" s="5"/>
      <c r="S196" s="5"/>
      <c r="T196" s="5"/>
    </row>
    <row r="197" spans="1:20" s="16" customFormat="1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5"/>
      <c r="O197" s="5"/>
      <c r="P197" s="5"/>
      <c r="Q197" s="6"/>
      <c r="R197" s="5"/>
      <c r="S197" s="5"/>
      <c r="T197" s="5"/>
    </row>
    <row r="198" spans="1:20" s="16" customFormat="1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5"/>
      <c r="O198" s="5"/>
      <c r="P198" s="5"/>
      <c r="Q198" s="6"/>
      <c r="R198" s="5"/>
      <c r="S198" s="5"/>
      <c r="T198" s="5"/>
    </row>
    <row r="199" spans="1:20" s="16" customFormat="1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5"/>
      <c r="O199" s="5"/>
      <c r="P199" s="5"/>
      <c r="Q199" s="6"/>
      <c r="R199" s="5"/>
      <c r="S199" s="5"/>
      <c r="T199" s="5"/>
    </row>
    <row r="200" spans="1:20" s="16" customFormat="1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5"/>
      <c r="O200" s="5"/>
      <c r="P200" s="5"/>
      <c r="Q200" s="6"/>
      <c r="R200" s="5"/>
      <c r="S200" s="5"/>
      <c r="T200" s="5"/>
    </row>
    <row r="201" spans="1:20" s="16" customFormat="1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5"/>
      <c r="O201" s="5"/>
      <c r="P201" s="5"/>
      <c r="Q201" s="6"/>
      <c r="R201" s="5"/>
      <c r="S201" s="5"/>
      <c r="T201" s="5"/>
    </row>
    <row r="202" spans="1:20" s="16" customFormat="1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5"/>
      <c r="O202" s="5"/>
      <c r="P202" s="5"/>
      <c r="Q202" s="6"/>
      <c r="R202" s="5"/>
      <c r="S202" s="5"/>
      <c r="T202" s="5"/>
    </row>
    <row r="203" spans="1:20" s="16" customFormat="1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5"/>
      <c r="O203" s="5"/>
      <c r="P203" s="5"/>
      <c r="Q203" s="6"/>
      <c r="R203" s="5"/>
      <c r="S203" s="5"/>
      <c r="T203" s="5"/>
    </row>
    <row r="204" spans="1:20" s="16" customFormat="1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5"/>
      <c r="O204" s="5"/>
      <c r="P204" s="5"/>
      <c r="Q204" s="6"/>
      <c r="R204" s="5"/>
      <c r="S204" s="5"/>
      <c r="T204" s="5"/>
    </row>
    <row r="205" spans="1:20" s="16" customFormat="1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5"/>
      <c r="O205" s="5"/>
      <c r="P205" s="5"/>
      <c r="Q205" s="6"/>
      <c r="R205" s="5"/>
      <c r="S205" s="5"/>
      <c r="T205" s="5"/>
    </row>
    <row r="206" spans="1:20" s="16" customFormat="1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5"/>
      <c r="O206" s="5"/>
      <c r="P206" s="5"/>
      <c r="Q206" s="6"/>
      <c r="R206" s="5"/>
      <c r="S206" s="5"/>
      <c r="T206" s="5"/>
    </row>
    <row r="207" spans="1:20" s="16" customFormat="1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5"/>
      <c r="O207" s="5"/>
      <c r="P207" s="5"/>
      <c r="Q207" s="6"/>
      <c r="R207" s="5"/>
      <c r="S207" s="5"/>
      <c r="T207" s="5"/>
    </row>
    <row r="208" spans="1:20" s="16" customFormat="1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5"/>
      <c r="O208" s="5"/>
      <c r="P208" s="5"/>
      <c r="Q208" s="6"/>
      <c r="R208" s="5"/>
      <c r="S208" s="5"/>
      <c r="T208" s="5"/>
    </row>
    <row r="209" spans="1:20" s="16" customFormat="1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5"/>
      <c r="O209" s="5"/>
      <c r="P209" s="5"/>
      <c r="Q209" s="6"/>
      <c r="R209" s="5"/>
      <c r="S209" s="5"/>
      <c r="T209" s="5"/>
    </row>
    <row r="210" spans="1:20" s="16" customFormat="1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5"/>
      <c r="O210" s="5"/>
      <c r="P210" s="5"/>
      <c r="Q210" s="6"/>
      <c r="R210" s="5"/>
      <c r="S210" s="5"/>
      <c r="T210" s="5"/>
    </row>
    <row r="211" spans="1:20" s="16" customFormat="1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5"/>
      <c r="O211" s="5"/>
      <c r="P211" s="5"/>
      <c r="Q211" s="6"/>
      <c r="R211" s="5"/>
      <c r="S211" s="5"/>
      <c r="T211" s="5"/>
    </row>
    <row r="212" spans="1:20" s="16" customFormat="1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5"/>
      <c r="O212" s="5"/>
      <c r="P212" s="5"/>
      <c r="Q212" s="6"/>
      <c r="R212" s="5"/>
      <c r="S212" s="5"/>
      <c r="T212" s="5"/>
    </row>
    <row r="213" spans="1:20" s="16" customFormat="1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5"/>
      <c r="O213" s="5"/>
      <c r="P213" s="5"/>
      <c r="Q213" s="6"/>
      <c r="R213" s="5"/>
      <c r="S213" s="5"/>
      <c r="T213" s="5"/>
    </row>
    <row r="214" spans="1:20" s="16" customFormat="1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5"/>
      <c r="O214" s="5"/>
      <c r="P214" s="5"/>
      <c r="Q214" s="6"/>
      <c r="R214" s="5"/>
      <c r="S214" s="5"/>
      <c r="T214" s="5"/>
    </row>
    <row r="215" spans="1:20" s="16" customFormat="1" ht="12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5"/>
      <c r="O215" s="5"/>
      <c r="P215" s="5"/>
      <c r="Q215" s="6"/>
      <c r="R215" s="5"/>
      <c r="S215" s="5"/>
      <c r="T215" s="5"/>
    </row>
    <row r="216" spans="1:20" s="16" customFormat="1" ht="12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5"/>
      <c r="O216" s="5"/>
      <c r="P216" s="5"/>
      <c r="Q216" s="6"/>
      <c r="R216" s="5"/>
      <c r="S216" s="5"/>
      <c r="T216" s="5"/>
    </row>
    <row r="217" spans="1:20" s="16" customFormat="1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5"/>
      <c r="O217" s="5"/>
      <c r="P217" s="5"/>
      <c r="Q217" s="6"/>
      <c r="R217" s="5"/>
      <c r="S217" s="5"/>
      <c r="T217" s="5"/>
    </row>
    <row r="218" spans="1:20" s="16" customFormat="1" ht="12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5"/>
      <c r="O218" s="5"/>
      <c r="P218" s="5"/>
      <c r="Q218" s="6"/>
      <c r="R218" s="5"/>
      <c r="S218" s="5"/>
      <c r="T218" s="5"/>
    </row>
    <row r="219" spans="1:20" s="16" customFormat="1" ht="12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5"/>
      <c r="O219" s="5"/>
      <c r="P219" s="5"/>
      <c r="Q219" s="6"/>
      <c r="R219" s="5"/>
      <c r="S219" s="5"/>
      <c r="T219" s="5"/>
    </row>
    <row r="220" spans="1:20" s="16" customFormat="1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5"/>
      <c r="O220" s="5"/>
      <c r="P220" s="5"/>
      <c r="Q220" s="6"/>
      <c r="R220" s="5"/>
      <c r="S220" s="5"/>
      <c r="T220" s="5"/>
    </row>
    <row r="221" spans="1:20" s="16" customFormat="1" ht="12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5"/>
      <c r="O221" s="5"/>
      <c r="P221" s="5"/>
      <c r="Q221" s="6"/>
      <c r="R221" s="5"/>
      <c r="S221" s="5"/>
      <c r="T221" s="5"/>
    </row>
    <row r="222" spans="1:20" s="16" customFormat="1" ht="12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5"/>
      <c r="O222" s="5"/>
      <c r="P222" s="5"/>
      <c r="Q222" s="6"/>
      <c r="R222" s="5"/>
      <c r="S222" s="5"/>
      <c r="T222" s="5"/>
    </row>
    <row r="223" spans="1:20" s="16" customFormat="1" ht="12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5"/>
      <c r="O223" s="5"/>
      <c r="P223" s="5"/>
      <c r="Q223" s="6"/>
      <c r="R223" s="5"/>
      <c r="S223" s="5"/>
      <c r="T223" s="5"/>
    </row>
    <row r="224" spans="1:20" s="16" customFormat="1" ht="12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5"/>
      <c r="O224" s="5"/>
      <c r="P224" s="5"/>
      <c r="Q224" s="6"/>
      <c r="R224" s="5"/>
      <c r="S224" s="5"/>
      <c r="T224" s="5"/>
    </row>
    <row r="225" spans="1:20" s="16" customFormat="1" ht="12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5"/>
      <c r="O225" s="5"/>
      <c r="P225" s="5"/>
      <c r="Q225" s="6"/>
      <c r="R225" s="5"/>
      <c r="S225" s="5"/>
      <c r="T225" s="5"/>
    </row>
    <row r="226" spans="1:20" s="16" customFormat="1" ht="12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5"/>
      <c r="O226" s="5"/>
      <c r="P226" s="5"/>
      <c r="Q226" s="6"/>
      <c r="R226" s="5"/>
      <c r="S226" s="5"/>
      <c r="T226" s="5"/>
    </row>
    <row r="227" spans="1:20" s="16" customFormat="1" ht="12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5"/>
      <c r="O227" s="5"/>
      <c r="P227" s="5"/>
      <c r="Q227" s="6"/>
      <c r="R227" s="5"/>
      <c r="S227" s="5"/>
      <c r="T227" s="5"/>
    </row>
    <row r="228" spans="1:20" s="16" customFormat="1" ht="12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5"/>
      <c r="O228" s="5"/>
      <c r="P228" s="5"/>
      <c r="Q228" s="6"/>
      <c r="R228" s="5"/>
      <c r="S228" s="5"/>
      <c r="T228" s="5"/>
    </row>
    <row r="229" spans="1:20" s="16" customFormat="1" ht="12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5"/>
      <c r="O229" s="5"/>
      <c r="P229" s="5"/>
      <c r="Q229" s="6"/>
      <c r="R229" s="5"/>
      <c r="S229" s="5"/>
      <c r="T229" s="5"/>
    </row>
    <row r="230" spans="1:20" s="16" customFormat="1" ht="12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5"/>
      <c r="O230" s="5"/>
      <c r="P230" s="5"/>
      <c r="Q230" s="6"/>
      <c r="R230" s="5"/>
      <c r="S230" s="5"/>
      <c r="T230" s="5"/>
    </row>
    <row r="231" spans="1:20" s="16" customFormat="1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5"/>
      <c r="O231" s="5"/>
      <c r="P231" s="5"/>
      <c r="Q231" s="6"/>
      <c r="R231" s="5"/>
      <c r="S231" s="5"/>
      <c r="T231" s="5"/>
    </row>
    <row r="232" spans="1:20" s="16" customFormat="1" ht="12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5"/>
      <c r="O232" s="5"/>
      <c r="P232" s="5"/>
      <c r="Q232" s="6"/>
      <c r="R232" s="5"/>
      <c r="S232" s="5"/>
      <c r="T232" s="5"/>
    </row>
    <row r="233" spans="1:20" s="16" customFormat="1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5"/>
      <c r="O233" s="5"/>
      <c r="P233" s="5"/>
      <c r="Q233" s="6"/>
      <c r="R233" s="5"/>
      <c r="S233" s="5"/>
      <c r="T233" s="5"/>
    </row>
    <row r="234" spans="1:20" s="16" customFormat="1" ht="12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5"/>
      <c r="O234" s="5"/>
      <c r="P234" s="5"/>
      <c r="Q234" s="6"/>
      <c r="R234" s="5"/>
      <c r="S234" s="5"/>
      <c r="T234" s="5"/>
    </row>
    <row r="235" spans="1:20" s="16" customFormat="1" ht="12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5"/>
      <c r="O235" s="5"/>
      <c r="P235" s="5"/>
      <c r="Q235" s="6"/>
      <c r="R235" s="5"/>
      <c r="S235" s="5"/>
      <c r="T235" s="5"/>
    </row>
    <row r="236" spans="1:20" s="16" customFormat="1" ht="12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5"/>
      <c r="O236" s="5"/>
      <c r="P236" s="5"/>
      <c r="Q236" s="6"/>
      <c r="R236" s="5"/>
      <c r="S236" s="5"/>
      <c r="T236" s="5"/>
    </row>
    <row r="237" spans="1:20" s="16" customFormat="1" ht="12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5"/>
      <c r="O237" s="5"/>
      <c r="P237" s="5"/>
      <c r="Q237" s="6"/>
      <c r="R237" s="5"/>
      <c r="S237" s="5"/>
      <c r="T237" s="5"/>
    </row>
    <row r="238" spans="1:20" s="16" customFormat="1" ht="12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5"/>
      <c r="O238" s="5"/>
      <c r="P238" s="5"/>
      <c r="Q238" s="6"/>
      <c r="R238" s="5"/>
      <c r="S238" s="5"/>
      <c r="T238" s="5"/>
    </row>
    <row r="239" spans="1:20" s="16" customFormat="1" ht="12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5"/>
      <c r="O239" s="5"/>
      <c r="P239" s="5"/>
      <c r="Q239" s="6"/>
      <c r="R239" s="5"/>
      <c r="S239" s="5"/>
      <c r="T239" s="5"/>
    </row>
    <row r="240" spans="1:20" s="16" customFormat="1" ht="12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5"/>
      <c r="O240" s="5"/>
      <c r="P240" s="5"/>
      <c r="Q240" s="6"/>
      <c r="R240" s="5"/>
      <c r="S240" s="5"/>
      <c r="T240" s="5"/>
    </row>
    <row r="241" spans="1:20" s="16" customFormat="1" ht="12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5"/>
      <c r="O241" s="5"/>
      <c r="P241" s="5"/>
      <c r="Q241" s="6"/>
      <c r="R241" s="5"/>
      <c r="S241" s="5"/>
      <c r="T241" s="5"/>
    </row>
    <row r="242" spans="1:20" s="16" customFormat="1" ht="12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5"/>
      <c r="O242" s="5"/>
      <c r="P242" s="5"/>
      <c r="Q242" s="6"/>
      <c r="R242" s="5"/>
      <c r="S242" s="5"/>
      <c r="T242" s="5"/>
    </row>
    <row r="243" spans="1:20" s="16" customFormat="1" ht="12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5"/>
      <c r="O243" s="5"/>
      <c r="P243" s="5"/>
      <c r="Q243" s="6"/>
      <c r="R243" s="5"/>
      <c r="S243" s="5"/>
      <c r="T243" s="5"/>
    </row>
    <row r="244" spans="1:20" s="16" customFormat="1" ht="12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5"/>
      <c r="O244" s="5"/>
      <c r="P244" s="5"/>
      <c r="Q244" s="6"/>
      <c r="R244" s="5"/>
      <c r="S244" s="5"/>
      <c r="T244" s="5"/>
    </row>
    <row r="245" spans="1:20" s="16" customFormat="1" ht="12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5"/>
      <c r="O245" s="5"/>
      <c r="P245" s="5"/>
      <c r="Q245" s="6"/>
      <c r="R245" s="5"/>
      <c r="S245" s="5"/>
      <c r="T245" s="5"/>
    </row>
    <row r="246" spans="1:20" s="16" customFormat="1" ht="12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5"/>
      <c r="O246" s="5"/>
      <c r="P246" s="5"/>
      <c r="Q246" s="6"/>
      <c r="R246" s="5"/>
      <c r="S246" s="5"/>
      <c r="T246" s="5"/>
    </row>
    <row r="247" spans="1:20" s="16" customFormat="1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5"/>
      <c r="O247" s="5"/>
      <c r="P247" s="5"/>
      <c r="Q247" s="6"/>
      <c r="R247" s="5"/>
      <c r="S247" s="5"/>
      <c r="T247" s="5"/>
    </row>
    <row r="248" spans="1:20" s="16" customFormat="1" ht="12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5"/>
      <c r="O248" s="5"/>
      <c r="P248" s="5"/>
      <c r="Q248" s="6"/>
      <c r="R248" s="5"/>
      <c r="S248" s="5"/>
      <c r="T248" s="5"/>
    </row>
    <row r="249" spans="1:20" s="16" customFormat="1" ht="12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6"/>
      <c r="R249" s="5"/>
      <c r="S249" s="5"/>
      <c r="T249" s="5"/>
    </row>
  </sheetData>
  <mergeCells count="5">
    <mergeCell ref="A68:A72"/>
    <mergeCell ref="K6:L6"/>
    <mergeCell ref="O6:P6"/>
    <mergeCell ref="S6:T6"/>
    <mergeCell ref="I7:P7"/>
  </mergeCells>
  <printOptions horizontalCentered="1"/>
  <pageMargins left="0.22" right="0.21" top="0.47" bottom="0.16" header="0.3" footer="0.28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2009-11-26T12:44:26Z</cp:lastPrinted>
  <dcterms:created xsi:type="dcterms:W3CDTF">2009-11-26T12:43:21Z</dcterms:created>
  <dcterms:modified xsi:type="dcterms:W3CDTF">2009-11-26T12:45:23Z</dcterms:modified>
  <cp:category/>
  <cp:version/>
  <cp:contentType/>
  <cp:contentStatus/>
</cp:coreProperties>
</file>