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0"/>
  </bookViews>
  <sheets>
    <sheet name="Tab 23" sheetId="1" r:id="rId1"/>
  </sheets>
  <definedNames>
    <definedName name="_xlnm.Print_Titles" localSheetId="0">'Tab 23'!$5:$7</definedName>
  </definedNames>
  <calcPr fullCalcOnLoad="1"/>
</workbook>
</file>

<file path=xl/sharedStrings.xml><?xml version="1.0" encoding="utf-8"?>
<sst xmlns="http://schemas.openxmlformats.org/spreadsheetml/2006/main" count="2065" uniqueCount="681">
  <si>
    <t>Wpłaty jednostek samorządu terytorialnego do budżetu państwa</t>
  </si>
  <si>
    <t>Rezerwy ogólne i celowe</t>
  </si>
  <si>
    <t>Rezerwa ogólna do 1% wydatków</t>
  </si>
  <si>
    <t>OŚWIATA I WYCHOWANIE</t>
  </si>
  <si>
    <t>Szkoły podstawowe</t>
  </si>
  <si>
    <t>Dotacja podmiotowa z budżetu dla niepublicznej jednostki systemu oświaty</t>
  </si>
  <si>
    <t>Zakupy pomocy naukowych, dydaktycznych i książek</t>
  </si>
  <si>
    <t>Zakup usług dostępu do sieci Internet</t>
  </si>
  <si>
    <t>Wydatki na zakupy inwestycyjne jednostek budżetowych</t>
  </si>
  <si>
    <t>Szkoły podstawowe specjalne</t>
  </si>
  <si>
    <t>Składki na ubezpieczenia zdrowotne</t>
  </si>
  <si>
    <t>Oddziały przedszkolne w szkołach podstawowych</t>
  </si>
  <si>
    <t>Wydatki osobowe nie zaliczone do wynagrodzeń</t>
  </si>
  <si>
    <t xml:space="preserve">Przedszkola </t>
  </si>
  <si>
    <t>Przedszkola specjalne</t>
  </si>
  <si>
    <t>Zakup pomocy naukowych, dydakt. i książek</t>
  </si>
  <si>
    <t>Gimnazja</t>
  </si>
  <si>
    <t>Gimnazja specjalne</t>
  </si>
  <si>
    <t>Licea ogólnokształcące</t>
  </si>
  <si>
    <t>na podstawie porozumień z organami administracji rządowej</t>
  </si>
  <si>
    <t>Dotacja podmiotowa dla niepublicznej szkoły lub innej placówki oświatowo-wychowawczej</t>
  </si>
  <si>
    <t>Zakup usług remont. KS</t>
  </si>
  <si>
    <t>Licea profilowane</t>
  </si>
  <si>
    <t xml:space="preserve">Szkoły zawodowe </t>
  </si>
  <si>
    <t>Zasądzone renty</t>
  </si>
  <si>
    <t>Wpłata na PFRON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</si>
  <si>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</si>
  <si>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</si>
  <si>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</si>
  <si>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</si>
  <si>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</si>
  <si>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</si>
  <si>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r>
      <t>Zakup usług pozostałych -</t>
    </r>
    <r>
      <rPr>
        <i/>
        <sz val="9"/>
        <rFont val="Times New Roman CE"/>
        <family val="1"/>
      </rPr>
      <t xml:space="preserve"> doskonalenie</t>
    </r>
  </si>
  <si>
    <t>Odpis na ZFŚS emerytów</t>
  </si>
  <si>
    <t>Dotacja celowa z budżetu na finansowanie i dofinansowanie zadań zleconych do realizacji stowarzyszeniom OP</t>
  </si>
  <si>
    <t>Wprowadził do BIP: Agnieszka Sulewska</t>
  </si>
  <si>
    <t>Data wprowadzenia do BIP: 07.09.2009 r.</t>
  </si>
  <si>
    <t>Autor dokumentu: Małgorzata Liwak</t>
  </si>
  <si>
    <t>zakup sprzętu i oprogramowania komputerowego                   (w tym 68,0 tys. zł - porozumienia)</t>
  </si>
  <si>
    <t xml:space="preserve">SZKOLNICTWO WYŻSZE </t>
  </si>
  <si>
    <t>Stypendia i zasiłki dla studentów</t>
  </si>
  <si>
    <t>Nagrody o charakterze szczególnym niezaliczane do wynagrodzeń</t>
  </si>
  <si>
    <t>OCHRONA ZDROWIA</t>
  </si>
  <si>
    <t>Szpitale ogólne</t>
  </si>
  <si>
    <t>Programy polityki zdrowotnej</t>
  </si>
  <si>
    <r>
      <t xml:space="preserve">Dotacja podmiotowa z budżetu dla jednostek niezaliczanych do sektora finansów publicznych </t>
    </r>
    <r>
      <rPr>
        <i/>
        <sz val="9"/>
        <rFont val="Times New Roman CE"/>
        <family val="1"/>
      </rPr>
      <t>(porozumienia z j.s.t.)</t>
    </r>
  </si>
  <si>
    <t>Dotacja podmiotowa z budżetu dla pozostałych jednostek sektora  finansów publicznych</t>
  </si>
  <si>
    <t>Zwalczanie narkomanii</t>
  </si>
  <si>
    <t>Uzbrojenie terenu pod Słupską Specjalną Strefę Ekonomiczną, Kompleks Koszalin - drogi</t>
  </si>
  <si>
    <t>"Lokalny system powiadamiania o przemocy - Razem skuteczni, razem bezpieczni" ROROZUMIENIA</t>
  </si>
  <si>
    <t>Zakup akcesoriów kompeterowych, w tym programów i licencji</t>
  </si>
  <si>
    <r>
      <t xml:space="preserve">Dotacja przedmiotowa z budżetu dla pozostałych jednostek sektora finansów publicznych - </t>
    </r>
    <r>
      <rPr>
        <i/>
        <sz val="9"/>
        <rFont val="Times New Roman CE"/>
        <family val="1"/>
      </rPr>
      <t>realizacja "Programu zwalczania narkomanii".</t>
    </r>
  </si>
  <si>
    <t>Dotacja podmiotowa z budżetu dla pozostałych jednostek sektora  finansów publicznych- realizacja "Programu zwalczania narkomanii".</t>
  </si>
  <si>
    <t>festiwal "Integracja Ty i Ja"</t>
  </si>
  <si>
    <t xml:space="preserve">Dotacja celowa z budżetu na finansowanie lub dofinansowanie zadań zleconych do realizacji stowarzyszeniom </t>
  </si>
  <si>
    <t>Przeciwdziałanie alkoholizmowi</t>
  </si>
  <si>
    <t>Dotacja podmiotowa z budżetu dla samorządowej instytucji kultury</t>
  </si>
  <si>
    <t xml:space="preserve">Składki na ubezpieczenia zdrowotne  oraz świadczenia dla osób nie objętych obowiązkiem ubezpieczenia zdrowotnego  </t>
  </si>
  <si>
    <t>Izby Wytrzeźwień</t>
  </si>
  <si>
    <r>
      <t xml:space="preserve">Zakup usług zdrowotnych - </t>
    </r>
    <r>
      <rPr>
        <i/>
        <sz val="9"/>
        <rFont val="Times New Roman CE"/>
        <family val="1"/>
      </rPr>
      <t>badania lekarskie</t>
    </r>
  </si>
  <si>
    <t>Opłata na rzecz budżetu jednostek samorz. terytor.</t>
  </si>
  <si>
    <t>Koszty postępowania sądowego i prokuratorskie</t>
  </si>
  <si>
    <t>POMOC SPOŁECZNA</t>
  </si>
  <si>
    <t>Placówki opiekuńczo-wychowawcze -Rodzinne Domy Dziecka</t>
  </si>
  <si>
    <t>Dotacja celowa z budżetu lub dofinansowanie zadań zleconych do realizacji stowarzyszeniom</t>
  </si>
  <si>
    <t>Świadczenia społeczne</t>
  </si>
  <si>
    <t>Zakup usług przez j.s.t. od innych j.s.t.</t>
  </si>
  <si>
    <t>Domy pomocy społecznej</t>
  </si>
  <si>
    <t>Ośrodki wsparcia</t>
  </si>
  <si>
    <t>"Złoty Wiek"</t>
  </si>
  <si>
    <t>"Odrodzenie" - ŚDS 1</t>
  </si>
  <si>
    <t>Rodziny zastępcze</t>
  </si>
  <si>
    <t>Dodotkowe wynagrodzenia roczne</t>
  </si>
  <si>
    <t>Dodatki mieszkaniowe</t>
  </si>
  <si>
    <t>Zwrot dotacji wykorzystanych niezgodnie z przeznaczeniem lub pobranych w nadmiernej wysokości</t>
  </si>
  <si>
    <t>Zasiłki rodzinne, pielęgnacyjne i wychowawcze</t>
  </si>
  <si>
    <t>Powiatowe centra pomocy rodzinie</t>
  </si>
  <si>
    <t>Ośrodki pomocy społecznej</t>
  </si>
  <si>
    <t>Podatek od towarów i usług VAT</t>
  </si>
  <si>
    <t xml:space="preserve">Koszty postępowania sądowego i prokuratorskiego </t>
  </si>
  <si>
    <t>Tabela nr 23</t>
  </si>
  <si>
    <t>"XIV Festiwal Młodzieży Euroregionu Pomerania - Koszalin 2009"</t>
  </si>
  <si>
    <t xml:space="preserve">Dotacja celowa na pomoc finansową udzielaną między jednostkami samorządu terytorialnego na dofinansowanie własnych zadań inwestycyjnych i zakupów inwestycyjnych </t>
  </si>
  <si>
    <t>współorganizacja imprezy pn. Dzień Unii Europejskiej</t>
  </si>
  <si>
    <t>Wybory do Parlamentu Europejskiego</t>
  </si>
  <si>
    <t>Jednostki specjalistyczne poradnictwa, mieszkania chronione i ośrodki  interwencji kryzysowej</t>
  </si>
  <si>
    <t>Ośrodki adopcyjno-opiekuńcze</t>
  </si>
  <si>
    <t xml:space="preserve">Podróże służbowe krajowe </t>
  </si>
  <si>
    <t>Usługi opiekuńcze i specjalistyczne usługi opiekuńcze</t>
  </si>
  <si>
    <t>Pomoc dla repatriantów</t>
  </si>
  <si>
    <t>Dotacja celowa z budżetu na finansowanie lub dofinansowanie zadań zleconych do realizacji stowarzyszeniom</t>
  </si>
  <si>
    <r>
      <t>Zakup usług pozostałych -</t>
    </r>
    <r>
      <rPr>
        <i/>
        <sz val="9"/>
        <rFont val="Times New Roman CE"/>
        <family val="1"/>
      </rPr>
      <t xml:space="preserve"> RO</t>
    </r>
  </si>
  <si>
    <t>Zakup usług pozostałych KS</t>
  </si>
  <si>
    <t xml:space="preserve">POZOSTAŁE ZADANIA W ZAKRESIE POLITYKI SPOŁECZNEJ </t>
  </si>
  <si>
    <t>Żłobki</t>
  </si>
  <si>
    <t>"Program Comenius - Partnerskie projekty"</t>
  </si>
  <si>
    <t>Boisko sportowe przy SP Nr 17</t>
  </si>
  <si>
    <t>Boisko sportowe przy SP Nr 10</t>
  </si>
  <si>
    <t>Rehabilitacja zawodowa i społeczna osób niepełnosprawnych</t>
  </si>
  <si>
    <t>EDUKACYJNA OPIEKA WYCHOWAWCZA</t>
  </si>
  <si>
    <t>Świetlice szkolne</t>
  </si>
  <si>
    <t>Specjalne ośrodki szkolno-wychowawcze</t>
  </si>
  <si>
    <t>Zakup pomocy naukowych, dydakt. książek</t>
  </si>
  <si>
    <t>Zakup pomocy naukowych, dydakt.i książek</t>
  </si>
  <si>
    <t>Placówki wychowania pozaszkolnego</t>
  </si>
  <si>
    <t>Internaty i bursy szkolne</t>
  </si>
  <si>
    <t>Pomoc materialna dla uczniów</t>
  </si>
  <si>
    <t xml:space="preserve">Stypendia oraz inne formy pomocy dla uczniów </t>
  </si>
  <si>
    <t>Szkolne Schroniska Młodzieżowe</t>
  </si>
  <si>
    <t>Stołówki szkolne</t>
  </si>
  <si>
    <t>Pozostałe wydatki</t>
  </si>
  <si>
    <r>
      <t xml:space="preserve">Zakup materiałów i wyposażenia  </t>
    </r>
    <r>
      <rPr>
        <i/>
        <sz val="9"/>
        <rFont val="Times New Roman CE"/>
        <family val="1"/>
      </rPr>
      <t>RO</t>
    </r>
  </si>
  <si>
    <r>
      <t>Zakup usług pozostałych</t>
    </r>
    <r>
      <rPr>
        <i/>
        <sz val="9"/>
        <rFont val="Times New Roman CE"/>
        <family val="1"/>
      </rPr>
      <t xml:space="preserve"> RO</t>
    </r>
  </si>
  <si>
    <t>GOSPODARKA KOMUNALNA  I  OCHRONA ŚRODOWISKA</t>
  </si>
  <si>
    <t>Gospodarka ściekowa i ochrona wód</t>
  </si>
  <si>
    <t>1. Oczyszczalnia ścieków w Jamnie</t>
  </si>
  <si>
    <t>2. Uzbrojenie oś. "Unii Europejskiej"</t>
  </si>
  <si>
    <t>3. Kolektor XXVI</t>
  </si>
  <si>
    <r>
      <t>Wynagrodzenia osobowe pracowników -</t>
    </r>
    <r>
      <rPr>
        <i/>
        <sz val="9"/>
        <rFont val="Times New Roman CE"/>
        <family val="1"/>
      </rPr>
      <t xml:space="preserve"> (na podwyżki wynagrodzeń od września 2009r.)</t>
    </r>
  </si>
  <si>
    <t>widowisko OPEROWE</t>
  </si>
  <si>
    <t>organizacja KFDF "Młodzi i Film"</t>
  </si>
  <si>
    <t>impreza pn. "Noc muzeów"</t>
  </si>
  <si>
    <t>wystawa "Prehiostoria Pomorza Środkowego"</t>
  </si>
  <si>
    <t>monitoring Muzeum</t>
  </si>
  <si>
    <t>dziedziniec oraz droga dojazdowa do działu archeologii</t>
  </si>
  <si>
    <t>remont klatki schodowej</t>
  </si>
  <si>
    <t>wymiana instalacji elektrycznej w salach wystawowych</t>
  </si>
  <si>
    <t xml:space="preserve">druk folderów, plakatów </t>
  </si>
  <si>
    <t>Wydatki na zakup i objęcie akcji, wniesienie wkładów do spółek prawa handlowego</t>
  </si>
  <si>
    <t>Dotacja podmiotowa z budżetu dla samorządowej instytucji kultury (na realizację zadań dofinans. ze środków zewnętrznych)</t>
  </si>
  <si>
    <t>Boisko sportowe przy SP Nr 18 ul. St. Staszica</t>
  </si>
  <si>
    <t>Boiska sportowe na Osiedlu Wenedów</t>
  </si>
  <si>
    <r>
      <t>Dotacja celowa z budżetu na finansowanie lub dofinansowanie zadań zleconych do realizacji stowarzyszeniom -</t>
    </r>
    <r>
      <rPr>
        <i/>
        <sz val="9"/>
        <rFont val="Times New Roman CE"/>
        <family val="1"/>
      </rPr>
      <t xml:space="preserve"> VI Bałtyckich Igrzysk Młodzieży - Koszalin 2009</t>
    </r>
    <r>
      <rPr>
        <sz val="9"/>
        <rFont val="Times New Roman CE"/>
        <family val="0"/>
      </rPr>
      <t xml:space="preserve"> </t>
    </r>
  </si>
  <si>
    <r>
      <t xml:space="preserve">Dotacje celowe z budżetu na finansowanie  lub dofinansowanie  inwestycji i zakupów inwestycyjnych jednostek nie zaliczanych do sektora finansów publicznych </t>
    </r>
    <r>
      <rPr>
        <i/>
        <sz val="9"/>
        <rFont val="Times New Roman CE"/>
        <family val="1"/>
      </rPr>
      <t>- VI Bałtyckich Igrzysk Młodzieży - Koszalin 2009</t>
    </r>
  </si>
  <si>
    <t>4. Uzbrojenie osiedla " Podgórne-Batalionów Chłopskich"</t>
  </si>
  <si>
    <t>5. Kolektor sanitarny "A" - II etap</t>
  </si>
  <si>
    <t>6. Kanalizacja sanitarna w ul.Zwycięstwa (przy ul.Zdobywców Wału Pomorskiego)</t>
  </si>
  <si>
    <t>7. Uzbrojenie ul.Zdobywców Wału Pomorskiego - odcinek ul. Wopistów do ul. Sanatoryjnej</t>
  </si>
  <si>
    <t>8. Uzbrojenie ul.Zdobywców Wału Pomorskiego - odcinek ul. Sianowskiej do ul. Słonecznej</t>
  </si>
  <si>
    <t>Oczyszczanie miast i wsi</t>
  </si>
  <si>
    <t>Utrzymanie zieleni w miastach i gminach</t>
  </si>
  <si>
    <t>Schroniska dla zwierząt</t>
  </si>
  <si>
    <r>
      <t xml:space="preserve">Zakup usług pozostałych - </t>
    </r>
    <r>
      <rPr>
        <i/>
        <sz val="9"/>
        <rFont val="Times New Roman CE"/>
        <family val="1"/>
      </rPr>
      <t>bieżące utrzymanie</t>
    </r>
  </si>
  <si>
    <t>Oświetlenie ulic, placów i dróg</t>
  </si>
  <si>
    <t xml:space="preserve">Zakup usług remontowych </t>
  </si>
  <si>
    <t>Środowiskowy Dom Samopomocy przy      ul. Wyspiańskiego 4</t>
  </si>
  <si>
    <r>
      <t xml:space="preserve">Wydatki na zakupy inwestycyjne jednostek budżetowych </t>
    </r>
    <r>
      <rPr>
        <i/>
        <sz val="9"/>
        <rFont val="Times New Roman CE"/>
        <family val="1"/>
      </rPr>
      <t>- zestawy komputerowe</t>
    </r>
  </si>
  <si>
    <t>na częściową refundację kosztów poniesionych przez Muzeum na budowę budynku dla działu archeologii</t>
  </si>
  <si>
    <t>"Healthy lifestyle"</t>
  </si>
  <si>
    <t>refundacja kosztów dot. Wykopalisk na Rynku Miejskim</t>
  </si>
  <si>
    <t>Wydatki na zakup i objęcie akcji oraz wniesienie wkładów do spółek prawa handlowego (PGK)</t>
  </si>
  <si>
    <t>Organizacyjno-Administ.</t>
  </si>
  <si>
    <t>Zakup usług pozostałych     w tym:</t>
  </si>
  <si>
    <r>
      <t>Świadczenia społeczne</t>
    </r>
    <r>
      <rPr>
        <b/>
        <sz val="9"/>
        <rFont val="Times New Roman CE"/>
        <family val="1"/>
      </rPr>
      <t xml:space="preserve"> -      </t>
    </r>
    <r>
      <rPr>
        <b/>
        <i/>
        <sz val="9"/>
        <rFont val="Times New Roman CE"/>
        <family val="1"/>
      </rPr>
      <t>(w tym:</t>
    </r>
    <r>
      <rPr>
        <b/>
        <sz val="9"/>
        <rFont val="Times New Roman CE"/>
        <family val="1"/>
      </rPr>
      <t xml:space="preserve"> Prace społecznie użyteczne - 334,0 tys. zł)</t>
    </r>
  </si>
  <si>
    <t xml:space="preserve">Dotacja celowa z budżetu na finansowanie  lub dofinansowanie zadań zleconych do realizacji stowarzyszeniom </t>
  </si>
  <si>
    <t>Centrum Kultury 105</t>
  </si>
  <si>
    <t>KULTURA I OCHRONA DZIEDZICTWA NARODOWEGO</t>
  </si>
  <si>
    <t>Zadania w zakresie kinematografii</t>
  </si>
  <si>
    <r>
      <t xml:space="preserve">Wydatki inwestycyjne jednostek budżetowych         </t>
    </r>
    <r>
      <rPr>
        <i/>
        <sz val="9"/>
        <rFont val="Times New Roman CE"/>
        <family val="1"/>
      </rPr>
      <t>(w tym: IK - 500,0 tys. zł - sala sport. przy gim. Nr6)</t>
    </r>
  </si>
  <si>
    <t xml:space="preserve">Dotacja podmiotowa z budżetu dla instytucji kultury  </t>
  </si>
  <si>
    <t>Pozostałe zadania w zakresie kultury</t>
  </si>
  <si>
    <r>
      <t xml:space="preserve">Zakup usług pozostałych - </t>
    </r>
    <r>
      <rPr>
        <i/>
        <sz val="9"/>
        <rFont val="Times New Roman CE"/>
        <family val="1"/>
      </rPr>
      <t xml:space="preserve">organizacja różnych imprez </t>
    </r>
  </si>
  <si>
    <t xml:space="preserve">Zakup materiałów i wyposażenia - RWZ </t>
  </si>
  <si>
    <t>Dotacja celowa z budżetu na finansowanie lub dofinansowanie zadań zleconych do realizacji stowarzyszeniom OP</t>
  </si>
  <si>
    <t>Dotacja podmiotowa z budżetu dla samorządowej instytucji kultury w tym:</t>
  </si>
  <si>
    <t>działalność bieżąca</t>
  </si>
  <si>
    <t>porozumienia</t>
  </si>
  <si>
    <t>Gala Baletowa</t>
  </si>
  <si>
    <t>Filharmonie, orkiestry, chóry i kapele</t>
  </si>
  <si>
    <t>ul. Waryńskiego ze skrzyżowaniem z ul. Zwycięstwa, ul. Piłsudskiego, ul. Kościuszki,</t>
  </si>
  <si>
    <t>remont skrzyżowania ulic Monte Cassino - Fałta</t>
  </si>
  <si>
    <t xml:space="preserve">remont odcinka ul. Zwycięstwa </t>
  </si>
  <si>
    <t>Dokumentacje przyszłościowe - ZDM</t>
  </si>
  <si>
    <t>ulica Lubiatowska</t>
  </si>
  <si>
    <t>ul. Reymonta, ul. Staffa, Struga, Tetmajera, Żeromskiego</t>
  </si>
  <si>
    <t>przebudowa rejonu ulic Gnieźnieńskiej, 4 - go Marca, Połczyńskiej</t>
  </si>
  <si>
    <t>przebudowa skrzyżowań / budowa skrzyżowań z ruchem okężnym</t>
  </si>
  <si>
    <t>modernizacja rejonu ulic: T. Chałbińskiego - Leśna - Promykowa</t>
  </si>
  <si>
    <t>Parking przy ulicy: Na Skarpie - Eugeniusza Kwiatkowskiego</t>
  </si>
  <si>
    <t>przebudowa ul. St. Moniuszki</t>
  </si>
  <si>
    <t>Zakup usług zdrowotnych - BHP</t>
  </si>
  <si>
    <t>Opłaty na rzecz budżetu państwa - Fk</t>
  </si>
  <si>
    <t>Rezerwa celowa (na remonty Rad Osiedli )</t>
  </si>
  <si>
    <t>Rezerwa celowa (na przeciwdziałanie i usuwanie skutków klęsk żywiołowych)</t>
  </si>
  <si>
    <t xml:space="preserve">Dotacja podmiotowa z budżetu dla samorządowej instytucji kultury w tym:  </t>
  </si>
  <si>
    <t>"Lato Muzyczne z Filharmonią"</t>
  </si>
  <si>
    <t>Dotacje celowe z budżetu na finansowanie  lub dofinansowanie kosztów realizacji inwestycji i zakupów inwestycyjnych  innych jednostek sektora finansów publicznych</t>
  </si>
  <si>
    <t>Domy i ośrodki kultury, świetlice i kluby</t>
  </si>
  <si>
    <t>na imprezy</t>
  </si>
  <si>
    <t xml:space="preserve">Modernizacja budynku MOK </t>
  </si>
  <si>
    <r>
      <t>Wydatki inwestycyjne jednostek budżetowych -</t>
    </r>
    <r>
      <rPr>
        <i/>
        <sz val="8"/>
        <rFont val="Times New Roman CE"/>
        <family val="1"/>
      </rPr>
      <t>MDK</t>
    </r>
  </si>
  <si>
    <t>Biblioteki</t>
  </si>
  <si>
    <t>"Roczniki Koszalińskie"</t>
  </si>
  <si>
    <t>Muzea</t>
  </si>
  <si>
    <t>Ochrona zabytków i opieka nad zabytkami</t>
  </si>
  <si>
    <r>
      <t>Zakup usług remontowych -</t>
    </r>
    <r>
      <rPr>
        <i/>
        <sz val="9"/>
        <rFont val="Times New Roman CE"/>
        <family val="1"/>
      </rPr>
      <t>remont murów miejskich</t>
    </r>
  </si>
  <si>
    <t>Nagrody o charakterze szczególnym niezaliczane do wynagrodzeń - KS</t>
  </si>
  <si>
    <r>
      <t xml:space="preserve">Zakup materiałów i wyposażenia - </t>
    </r>
    <r>
      <rPr>
        <i/>
        <sz val="9"/>
        <rFont val="Times New Roman CE"/>
        <family val="1"/>
      </rPr>
      <t xml:space="preserve"> RO</t>
    </r>
  </si>
  <si>
    <r>
      <t>Zakup usług pozostałych -</t>
    </r>
    <r>
      <rPr>
        <i/>
        <sz val="9"/>
        <rFont val="Times New Roman CE"/>
        <family val="1"/>
      </rPr>
      <t xml:space="preserve"> KS</t>
    </r>
  </si>
  <si>
    <r>
      <t xml:space="preserve">Różne opłaty i składki </t>
    </r>
    <r>
      <rPr>
        <i/>
        <sz val="9"/>
        <rFont val="Times New Roman CE"/>
        <family val="1"/>
      </rPr>
      <t>- RO</t>
    </r>
  </si>
  <si>
    <t>KULTURA FIZYCZNA I SPORT</t>
  </si>
  <si>
    <t>Obiekty sportowe</t>
  </si>
  <si>
    <t xml:space="preserve">Bałtyk </t>
  </si>
  <si>
    <t>Zadania w zakresie kultury fizycznej i sportu</t>
  </si>
  <si>
    <t xml:space="preserve">Pozostała działalność </t>
  </si>
  <si>
    <r>
      <t>Zakup materiałów i wyposażenia -</t>
    </r>
    <r>
      <rPr>
        <i/>
        <sz val="9"/>
        <rFont val="Times New Roman CE"/>
        <family val="1"/>
      </rPr>
      <t xml:space="preserve"> RO</t>
    </r>
  </si>
  <si>
    <r>
      <t>Różne opłaty i składki -</t>
    </r>
    <r>
      <rPr>
        <i/>
        <sz val="9"/>
        <rFont val="Times New Roman CE"/>
        <family val="1"/>
      </rPr>
      <t xml:space="preserve"> RO</t>
    </r>
  </si>
  <si>
    <t>OGÓŁEM</t>
  </si>
  <si>
    <t>własne</t>
  </si>
  <si>
    <t>zlecone</t>
  </si>
  <si>
    <t>Wydatki inwestycyjne jednostek budżetowych - ul. Połczyńska</t>
  </si>
  <si>
    <t>na zobowiązania</t>
  </si>
  <si>
    <t>"Szlak gotyku ceglanego EuRoB II"</t>
  </si>
  <si>
    <t>GMINA WŁASNE</t>
  </si>
  <si>
    <t xml:space="preserve">Składki na ubezpieczenia społeczne </t>
  </si>
  <si>
    <t>Promocja jednostek samorządu terytorialnego</t>
  </si>
  <si>
    <t>Zakup usług pozostałych - PI</t>
  </si>
  <si>
    <t>"Promocja rozwoju Koszalina - Vademecum Inwestora"</t>
  </si>
  <si>
    <t>"Koszaliński katolog usług polsko - niemieckich"</t>
  </si>
  <si>
    <t>POWIAT WŁASNE</t>
  </si>
  <si>
    <t>Obsługa papierów wartościowych, kredytów i  pożyczek j.s.t.</t>
  </si>
  <si>
    <r>
      <t xml:space="preserve">Dotacja podmiotowa z budżetu dla niepublicznej jednostki systemu oświaty </t>
    </r>
    <r>
      <rPr>
        <i/>
        <sz val="9"/>
        <rFont val="Times New Roman CE"/>
        <family val="1"/>
      </rPr>
      <t>- nauka pływania</t>
    </r>
  </si>
  <si>
    <t>Środowiskowy Dom Samopomocy 2</t>
  </si>
  <si>
    <t xml:space="preserve">Stypendia dla uczniów </t>
  </si>
  <si>
    <t>Międzynarodowy Festiwal Organowy</t>
  </si>
  <si>
    <r>
      <t xml:space="preserve">Wydatki inwestycyjne jednostek budżetowych </t>
    </r>
    <r>
      <rPr>
        <i/>
        <sz val="9"/>
        <rFont val="Times New Roman CE"/>
        <family val="1"/>
      </rPr>
      <t>- akustyka</t>
    </r>
  </si>
  <si>
    <t>wydanie "Koszalińskich Zeszytów Muzealnych" i informator</t>
  </si>
  <si>
    <t>Zakup usług do sieci Internet - PI</t>
  </si>
  <si>
    <t>Zakup usług do sieci Internet - RWZ</t>
  </si>
  <si>
    <t>Zakup usług pozostałych - KS</t>
  </si>
  <si>
    <t>Zakup materiałów i wyposażenia - PI</t>
  </si>
  <si>
    <t>Zakup materiałów i wyposażenia - Km</t>
  </si>
  <si>
    <t>Zakup usług pozostałych - Km</t>
  </si>
  <si>
    <t>Różne opłaty i składki OA</t>
  </si>
  <si>
    <t>"Concerto ATC2"</t>
  </si>
  <si>
    <t>"Budowa Centrum rekreacyjno - sportowego w Koszalinie"</t>
  </si>
  <si>
    <t xml:space="preserve">Zakup materiałów i wyposażenia  </t>
  </si>
  <si>
    <t>740 - lecie Koszalina</t>
  </si>
  <si>
    <t xml:space="preserve">Dotacje celowe z budżetu na finansowanie  lub dofinansowanie kosztów realizacji inwestycji i zakupów inwestycyjnych  innych jednostek sektora finansów publicznych </t>
  </si>
  <si>
    <t>wydawnictwa - "Miesiąc w Koszalinie"</t>
  </si>
  <si>
    <t>Almanach</t>
  </si>
  <si>
    <t>Składki FP</t>
  </si>
  <si>
    <t>Infrastruktura telekomunikacyjna</t>
  </si>
  <si>
    <t>Wynagrodzienia bezosobowe</t>
  </si>
  <si>
    <t>Pomoc materialna dla studentów i doktorantów</t>
  </si>
  <si>
    <t xml:space="preserve"> WYKONANIE   PLANU   WYDATKÓW   MIASTA   KOSZALINA   ZA  I  PÓŁCZE   2009   ROKU                                                                                                    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</si>
  <si>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</si>
  <si>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</si>
  <si>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Zespoły ds orzekania o niepełnosprawności</t>
  </si>
  <si>
    <t>Poradnie psychologiczno - pedagogiczne, w tym poradnie specjalistyczne</t>
  </si>
  <si>
    <t xml:space="preserve">Teatry </t>
  </si>
  <si>
    <t>Wydatki na zakup i objęcie akcji, wniesienie wkładów do spółek prawa handlowego (amfibia)</t>
  </si>
  <si>
    <r>
      <t xml:space="preserve">Zakup usług dostępu do sieci Internet - </t>
    </r>
    <r>
      <rPr>
        <i/>
        <sz val="9"/>
        <rFont val="Times New Roman CE"/>
        <family val="1"/>
      </rPr>
      <t>Inf</t>
    </r>
  </si>
  <si>
    <r>
      <t xml:space="preserve">Zakup usług dostępu do sieci Internet - </t>
    </r>
    <r>
      <rPr>
        <i/>
        <sz val="9"/>
        <rFont val="Times New Roman CE"/>
        <family val="1"/>
      </rPr>
      <t>BZP</t>
    </r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</si>
  <si>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</si>
  <si>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</si>
  <si>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</si>
  <si>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</si>
  <si>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t>Odsetki i dyskonto od krajowych skarbowych papierów wartościowych oraz od krajowych pożyczek i kredytów</t>
  </si>
  <si>
    <t>Wydatki osobowe niezaliczone do wynagrodzeń</t>
  </si>
  <si>
    <t>Wpłaty jednostek na fundusz celowy na finansowanie lub dofinansowanie zadań inwestycyjnych</t>
  </si>
  <si>
    <t>Zakup usług remontowych (w tym: RO - 315.000 zł)</t>
  </si>
  <si>
    <t>ul. Połczyńska - (projekt odcinka od ul. Działkowej do ul. Żytniej)</t>
  </si>
  <si>
    <t>ul. Gnieźnieńska (od 4-go Marca do Połczyńskiej)</t>
  </si>
  <si>
    <t>ul. Kwiatkowskiego</t>
  </si>
  <si>
    <t>Świadczenia rodzinne, świadczenia z funduszu alimentacyjnego oraz składki na ubezpieczenia emerytalne i rentowe z ubezpieczenia społecznego</t>
  </si>
  <si>
    <t>Koszty i odszkodowania wypłacane na rzecz osób fizycznych</t>
  </si>
  <si>
    <t>Pozostałe podatki na rzecz budżetu państwa</t>
  </si>
  <si>
    <t>ul. Młyńska</t>
  </si>
  <si>
    <t>skrzyżowanie ul.J. Pawła II - Staszica</t>
  </si>
  <si>
    <t>skrzyżowanie ul. A. Krajowej - Bohaterów Warszawy - Morskiej</t>
  </si>
  <si>
    <t>Zakup usług obejmujących wykonanie ekspertyz, analiz i opinii</t>
  </si>
  <si>
    <t>Osiedle Unii Europejskiej - drogi</t>
  </si>
  <si>
    <t>Osiedle Bukowe - drogi</t>
  </si>
  <si>
    <t>Osiedle Topolowe - drogi</t>
  </si>
  <si>
    <t>przebudowa ulicy Brzozowej</t>
  </si>
  <si>
    <t>przebudowa ulicy Wenedów</t>
  </si>
  <si>
    <t>przebudowa ulic: Zawiszy Czarnego, Dąbrówki, Ks. Anastazji, K. Wielkiego</t>
  </si>
  <si>
    <t>ul. Rzeczna (dojazd do Specj. Oś. Szkolno - Wych.)</t>
  </si>
  <si>
    <t>"Transgraniczna wymiana daświadczeń w Euroregionie Pomerania"</t>
  </si>
  <si>
    <t>Zakup usług obejmujących tłumaczenia</t>
  </si>
  <si>
    <t>Dotacja przedmiotowa z budżetu dla zakładu budżetowego</t>
  </si>
  <si>
    <t>Zakup pozostałych usług - OP</t>
  </si>
  <si>
    <t xml:space="preserve">Zakup usług obejmujących wykonanie ekspertyz, analiz i opinii </t>
  </si>
  <si>
    <t>Szkolenia pracowników niebędących członkami korpusu służby cywilnej</t>
  </si>
  <si>
    <t xml:space="preserve">Opłaty z tytułu zakupu usług telekomunikacyjnych telefonii komórkowej </t>
  </si>
  <si>
    <t>Opłaty z tytułu zakupu usług telekomunikacyjnych telefonii stacjonarnej</t>
  </si>
  <si>
    <t>Opłaty czynszowe za pomieszczenie biurowe</t>
  </si>
  <si>
    <t>Zakup materiałów papierniczych do sprzętu drukarskiego i urządzeń kserograficznych</t>
  </si>
  <si>
    <t>Zakup akcesoriów komputerowych, w tym programów i licencji</t>
  </si>
  <si>
    <r>
      <t>Koszty postępowania sądowego -</t>
    </r>
    <r>
      <rPr>
        <i/>
        <sz val="9"/>
        <rFont val="Times New Roman CE"/>
        <family val="1"/>
      </rPr>
      <t xml:space="preserve"> OP</t>
    </r>
  </si>
  <si>
    <t>Opłaty z tytułu zakupu usług telekomunikacyjnych telefonii komórkowej - OA</t>
  </si>
  <si>
    <t>Opłaty z tytułu zakupu usług telekomunikacyjnych telefonii stacjonarnej -OA</t>
  </si>
  <si>
    <t>Zakup usług obejmujących wykonanie ekspertyz, analiz i opinii - RWZ</t>
  </si>
  <si>
    <t>Zakup usług obejmujących tłumaczenia - RWZ</t>
  </si>
  <si>
    <t>Opłaty z tytułu zakupu usług telekomunikacyjnych telefonii komórkowej</t>
  </si>
  <si>
    <t xml:space="preserve">Opłaty z tytułu zakupu usług telekomunikacyjnych telefonii stacjonarnej </t>
  </si>
  <si>
    <t xml:space="preserve">Zakup usług obejmujących tłumaczenia </t>
  </si>
  <si>
    <t xml:space="preserve">Wynagrodzenia bezosobowe </t>
  </si>
  <si>
    <t>Stypendia różne</t>
  </si>
  <si>
    <t>Europejski fundusz stypendialny dla studentów w Koszalinie 2006/2007</t>
  </si>
  <si>
    <r>
      <t xml:space="preserve">Wydatki inwestycyjne jednostek budżetowych  - </t>
    </r>
    <r>
      <rPr>
        <b/>
        <sz val="9"/>
        <rFont val="Times New Roman CE"/>
        <family val="1"/>
      </rPr>
      <t>budowa Hospicjum</t>
    </r>
  </si>
  <si>
    <t>Rodzinny Dom Dziecka Nr 2</t>
  </si>
  <si>
    <t xml:space="preserve">Zakup usług zdrowotnych </t>
  </si>
  <si>
    <t>Rodzinny Dom Dziecka Nr 3</t>
  </si>
  <si>
    <t>Zakup usług pozostałych - RWZ</t>
  </si>
  <si>
    <r>
      <t xml:space="preserve">Wydatki inwestycyjne jednostek budżetowych </t>
    </r>
    <r>
      <rPr>
        <i/>
        <sz val="9"/>
        <rFont val="Times New Roman CE"/>
        <family val="1"/>
      </rPr>
      <t>- budowa schroniska</t>
    </r>
  </si>
  <si>
    <t>Wynagrodzenie bezosobowe</t>
  </si>
  <si>
    <t>organizacja międzynarodowych warsztatów teatralnych</t>
  </si>
  <si>
    <t>Wydatki na zakup i objęcie akcji, wniesienie wkładów do spółek prawa handlowego (ZOS)</t>
  </si>
  <si>
    <t>Zakup usług pozostałych - RO</t>
  </si>
  <si>
    <t>Dotacje celowe przekazane do samorządu województwa na zadania bieżące realizowane na podstawie porozumień między j.s.t.</t>
  </si>
  <si>
    <t>Dotacje celowe z budżetu dla jednostek niezaliczanych do sektora finansów publicznych realizujących projekty finansowane z udziałem środków z budżetu UE</t>
  </si>
  <si>
    <t>Nagrody o charakterze szczególnym niezaliczane do wynagrodzeń - USC</t>
  </si>
  <si>
    <t>USC</t>
  </si>
  <si>
    <t>Galeria "Scena"</t>
  </si>
  <si>
    <t>Zakup usług remontowo - konserwatorskich dotyczących obiektów zabytkowych będących w użytkowaniu jednostek budżetowych</t>
  </si>
  <si>
    <r>
      <t xml:space="preserve">Zakup materiałów i wyposażenia </t>
    </r>
    <r>
      <rPr>
        <b/>
        <sz val="9"/>
        <rFont val="Times New Roman CE"/>
        <family val="1"/>
      </rPr>
      <t>"Szkolne projekty Socrates Comenius 2005/2006"</t>
    </r>
  </si>
  <si>
    <t>Zakup materiałów i wyposażenia - RWZ</t>
  </si>
  <si>
    <t>Zakup usług pozostałych  - RWZ</t>
  </si>
  <si>
    <r>
      <t xml:space="preserve">Zakup akcesoriów komputerowych, w tym programów i licencji                         </t>
    </r>
    <r>
      <rPr>
        <i/>
        <sz val="9"/>
        <rFont val="Times New Roman CE"/>
        <family val="1"/>
      </rPr>
      <t>OA i Inf.</t>
    </r>
  </si>
  <si>
    <t>Zakup materiałów i wyposażenia - R</t>
  </si>
  <si>
    <t>Zakup usług pozostałych - R</t>
  </si>
  <si>
    <t>Dotacja podmiotowa z budżetu dla pozostałych jednostek sektorafinansów publicznych</t>
  </si>
  <si>
    <t>Opłaty na rzecz budżetów j.s.t.</t>
  </si>
  <si>
    <t>Usuwanie skutków klęsk żywiołowych</t>
  </si>
  <si>
    <t>Niewłaściwe obciążenia</t>
  </si>
  <si>
    <t xml:space="preserve">Wydatki inwestycyjne jednostek budżetowych  </t>
  </si>
  <si>
    <t>adaptacja pomieszczeń w budynku przy ul. Morskiej</t>
  </si>
  <si>
    <t>"Śpiewająca Polska"</t>
  </si>
  <si>
    <t>Różne opłaty i składki -Rp</t>
  </si>
  <si>
    <t>Kary i odszkodowania na rzecz osób fizycznych</t>
  </si>
  <si>
    <r>
      <t xml:space="preserve">Wydatki inwestycyjne jednostek budżetowych </t>
    </r>
    <r>
      <rPr>
        <i/>
        <sz val="9"/>
        <rFont val="Times New Roman CE"/>
        <family val="1"/>
      </rPr>
      <t>(elewacja - IK)</t>
    </r>
  </si>
  <si>
    <t xml:space="preserve">Wydatki inwestycyjne jednostek budżetowych             </t>
  </si>
  <si>
    <r>
      <t xml:space="preserve">Zakup materiałów papierniczych do sprzętu drukarskiego i urządzeń kserograficznych - </t>
    </r>
    <r>
      <rPr>
        <i/>
        <sz val="9"/>
        <rFont val="Times New Roman CE"/>
        <family val="1"/>
      </rPr>
      <t>RO</t>
    </r>
  </si>
  <si>
    <t>01095</t>
  </si>
  <si>
    <t>4740</t>
  </si>
  <si>
    <t>Dotacja celowa z budżetu dla pozostałych jednostek zaliczanych do sektora finansow publicznych</t>
  </si>
  <si>
    <t>Wydatki inwestycyjne jednostek budżetowych (w tym RO - 20.000 zł)</t>
  </si>
  <si>
    <t>Zakup usług remontowych (w tym 561,4 tys. zł - RO)</t>
  </si>
  <si>
    <t>Zakup usług pozostałych (w tym 3,0 tys. zł - RO)</t>
  </si>
  <si>
    <t>Europejski fundusz stypendialny dla uczniów szkół ponadgimnazjalnych w Koszalinie 2009</t>
  </si>
  <si>
    <t>Nagrody motywacyjne</t>
  </si>
  <si>
    <t>Dotacja podmiotowa z budżetu dla jednostek niezaliczanych do sektora finansów publicznych</t>
  </si>
  <si>
    <r>
      <t>Wydatki inwestycyjne jednostek budżetowych  -</t>
    </r>
    <r>
      <rPr>
        <i/>
        <sz val="9"/>
        <rFont val="Times New Roman CE"/>
        <family val="1"/>
      </rPr>
      <t xml:space="preserve"> likwidacja barier architektonicznych</t>
    </r>
  </si>
  <si>
    <r>
      <t xml:space="preserve">Zakup usług remontowych - </t>
    </r>
    <r>
      <rPr>
        <i/>
        <sz val="9"/>
        <rFont val="Times New Roman CE"/>
        <family val="1"/>
      </rPr>
      <t>Rady Osiedli</t>
    </r>
  </si>
  <si>
    <t>na podstawie porozumień          z jednostkami samorządu terytorialnego</t>
  </si>
  <si>
    <t>"Zero tolerancji dla przemocy w szkole"</t>
  </si>
  <si>
    <t>"Program opieki i terapii skierowany na uczniów z niepłynnością mowy"</t>
  </si>
  <si>
    <t xml:space="preserve">w tym: </t>
  </si>
  <si>
    <t>Zakup akcesoriów komputerowych , w tym programów i licencji</t>
  </si>
  <si>
    <t>"Knowledge is Power - Wiedza to potęga"</t>
  </si>
  <si>
    <t>"Leonardo da Vinci - Seminarium kontaktowe"</t>
  </si>
  <si>
    <t>Zakup pozostałych usług - KS</t>
  </si>
  <si>
    <t>remont obiektów mostowych (ul. Monte Cassino)</t>
  </si>
  <si>
    <t>budowa ścieżek rowerowych</t>
  </si>
  <si>
    <t xml:space="preserve">Budowa i przebudowa dróg stanowiących zewnętrzny pierścień układu komunikacyjnego </t>
  </si>
  <si>
    <t xml:space="preserve">ul. Gnieźnieńska - skrzyżowanie z ul. 4-go Marca </t>
  </si>
  <si>
    <t>ul. Lechicka (od ul. Słowiańskiej do torów)</t>
  </si>
  <si>
    <t>ul. Mieszka I (od ul. BOWiD do wiaduktu)</t>
  </si>
  <si>
    <t>remont ul. Kędzierzyńskiej</t>
  </si>
  <si>
    <t>Dotacja podmiotowa z budżetu dla uczelni publicznej</t>
  </si>
  <si>
    <t>skrzyżowanie ul.J. Pawła II - Staszica (porozumienia)</t>
  </si>
  <si>
    <t>ul. Lutyków, ul. Obotrytów, ul. P. Skargi, ul. Łużycka, ul. Poprzeczna</t>
  </si>
  <si>
    <t>Osiedle Lipowe - drogi</t>
  </si>
  <si>
    <t>Osiedle Podgórne - Batalionów Chłopskich - drogi</t>
  </si>
  <si>
    <t>przebudowa ul. Marynarzy</t>
  </si>
  <si>
    <t>remont odcinka ul. Bursztynowej</t>
  </si>
  <si>
    <t>Ewidencja dróg - ZDM</t>
  </si>
  <si>
    <t>Opłaty za administrowanie i czynsze za budynki, lokale i ponieszczenia garażowe</t>
  </si>
  <si>
    <r>
      <t xml:space="preserve">Wydatki inwestycyjne jednostek budżetowych </t>
    </r>
    <r>
      <rPr>
        <i/>
        <sz val="9"/>
        <rFont val="Times New Roman CE"/>
        <family val="1"/>
      </rPr>
      <t xml:space="preserve">- modernizacja przedszkoli </t>
    </r>
  </si>
  <si>
    <t>ul. Syrenki i Gdańska</t>
  </si>
  <si>
    <r>
      <t xml:space="preserve">Wydatki inwestycyjne jednostek budżetowych </t>
    </r>
    <r>
      <rPr>
        <i/>
        <sz val="9"/>
        <rFont val="Times New Roman CE"/>
        <family val="1"/>
      </rPr>
      <t>- (dach na budynku warsztatów w ZS Nr 10 - 400,0 tys. zł; sala gimnast. ZS Nr 8 - 100,0 tys. zł)</t>
    </r>
  </si>
  <si>
    <r>
      <t xml:space="preserve">Wydatki na zakupy inwestycyjne jednostek budżetowych </t>
    </r>
    <r>
      <rPr>
        <i/>
        <sz val="9"/>
        <rFont val="Times New Roman CE"/>
        <family val="1"/>
      </rPr>
      <t xml:space="preserve">(ZS Nr 12) </t>
    </r>
  </si>
  <si>
    <t>Swietlice</t>
  </si>
  <si>
    <t>Ośrodki rewalidacyjno - wychowawcze</t>
  </si>
  <si>
    <t>Dotacja podmiotowa dla niepublicznej jednostki systemu oświaty</t>
  </si>
  <si>
    <t>na realizację projektów dofinans. ze środków zewnętrznych</t>
  </si>
  <si>
    <r>
      <t>Wydatki inwestycyjne jednostek budżetowych -</t>
    </r>
    <r>
      <rPr>
        <i/>
        <sz val="9"/>
        <rFont val="Times New Roman CE"/>
        <family val="1"/>
      </rPr>
      <t xml:space="preserve"> sala koncertowa</t>
    </r>
  </si>
  <si>
    <t>festiwal filmów Wł. Wysockiego</t>
  </si>
  <si>
    <t>Festiwal Pieśni Religijnej</t>
  </si>
  <si>
    <t>odprawa emerytalna i nagrody jubileuszowe</t>
  </si>
  <si>
    <t>*</t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</si>
  <si>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Times New Roman CE"/>
        <family val="0"/>
      </rPr>
      <t>zakup instrumentów *</t>
    </r>
  </si>
  <si>
    <t>wkład własny do Hanza Jazz Festiwal</t>
  </si>
  <si>
    <t>wykonanie projektu graficznego i druk publikacji "Awangarda w plenerze: Osieki i łazy. Polska awangarda lat 60 - 80 w kolekcji sztuki współczesnej w Muzeum w Koszalinie"</t>
  </si>
  <si>
    <t xml:space="preserve">"Muzealne spotkanie z fotografią" </t>
  </si>
  <si>
    <t>poprawa bazy umożliwiająca uatrakcyjnienie działań wystawienniczych i oświatowych Muzeum w Koszalinie</t>
  </si>
  <si>
    <t xml:space="preserve">archeologiczne wykopaliskowe badania ratownicze 2008 stanowisk zagrożonych woj. Zachodniopomorskiego </t>
  </si>
  <si>
    <t>"Leonardo da Vinci" - Transfer Wiedzy Transfer Umiejętności - Aktywni Ustawicznie</t>
  </si>
  <si>
    <t xml:space="preserve">Wydatki osobowe niazaliczane do wynagrodzeń </t>
  </si>
  <si>
    <r>
      <t>Dotacja podmiotowa z budżetu dla samorządowej instytucji kultury -</t>
    </r>
    <r>
      <rPr>
        <i/>
        <sz val="9"/>
        <rFont val="Times New Roman CE"/>
        <family val="1"/>
      </rPr>
      <t xml:space="preserve"> porozum.</t>
    </r>
  </si>
  <si>
    <r>
      <t>Zakup materiałów i wyposażenia</t>
    </r>
    <r>
      <rPr>
        <i/>
        <sz val="9"/>
        <rFont val="Times New Roman CE"/>
        <family val="1"/>
      </rPr>
      <t xml:space="preserve"> - porozum.</t>
    </r>
  </si>
  <si>
    <t>Dotacje celowe z budżetu na finansowanie lub dofinansowanie kosztów realizacji inwestycji i zakupów inwestycyjnych innych jednostek sektora finansów publicznych</t>
  </si>
  <si>
    <t>Wynagrodzenia bezosobowe - R</t>
  </si>
  <si>
    <t xml:space="preserve">Dotacja celowa z budżetu na finansowanie lub dofinansowanie zadań zleconych do realizacji fundacjom </t>
  </si>
  <si>
    <t xml:space="preserve">Schronisko dla bezdomnych </t>
  </si>
  <si>
    <t>"Polsko - Niemieckie Forum Gospodarcze i Giełda Kooperacyjna w Koszalinie"</t>
  </si>
  <si>
    <t>wystawa pt. "Mur Chiński"</t>
  </si>
  <si>
    <t>Infrastruktura kolejowa</t>
  </si>
  <si>
    <t>ul. Kosynierów</t>
  </si>
  <si>
    <r>
      <t xml:space="preserve">Zakup usług pozostałych </t>
    </r>
    <r>
      <rPr>
        <b/>
        <i/>
        <sz val="9"/>
        <rFont val="Times New Roman CE"/>
        <family val="1"/>
      </rPr>
      <t>- roboty publiczne</t>
    </r>
  </si>
  <si>
    <t>remont Domku Kata</t>
  </si>
  <si>
    <t>"Dni Koszalina"</t>
  </si>
  <si>
    <t>Organizacja "Majówki 2008"</t>
  </si>
  <si>
    <t>Współorganizacja koncertu z okazji Dnia Unii Europejskiej, Dnia Zwycięstwa i inauguracji XXX Tygodnia Kultury Studenckiej</t>
  </si>
  <si>
    <t>Zakup usług pozostałych - "Sportowa Dolina"</t>
  </si>
  <si>
    <t>remont siedziby</t>
  </si>
  <si>
    <t>Zakup usług obejmujących wykonanie ekspertyz, alaliz i opinii - OA</t>
  </si>
  <si>
    <t>Zakup energii - PI</t>
  </si>
  <si>
    <t>Inne formy pomocy dla uczniów</t>
  </si>
  <si>
    <t>"Umieć czytać historię. Polsko - Niemieckie Spotkania Archiwalne - Koszalin 2008"</t>
  </si>
  <si>
    <r>
      <t>Wynagrodzenia bezosobowe -</t>
    </r>
    <r>
      <rPr>
        <i/>
        <sz val="9"/>
        <rFont val="Times New Roman CE"/>
        <family val="1"/>
      </rPr>
      <t xml:space="preserve"> porozum.</t>
    </r>
  </si>
  <si>
    <t>Dotacje celowe z budżetu ma finansowanie lub dofinansowanie kosztów realizacji inwestycji i zakupów inwestycyjnych iinych jednostek sektora finansów publicznych</t>
  </si>
  <si>
    <t>"Mam skrzydła - lecę do pracy. Koszaliński program aktywizacji zawodowej osób niepełnosprawnych pozostających bez zatrunienia"</t>
  </si>
  <si>
    <t>Zakup akcesoriów komputerowych, w tym progromów i licencji</t>
  </si>
  <si>
    <t>Zakup usług obejmujących wykonanie ekspertyz, alaliz i opinii - BHP</t>
  </si>
  <si>
    <t>odprawa rentowa</t>
  </si>
  <si>
    <t>Zakup usług pozostałych - na utrzymanie nieruchomości przejmowanych przez ZDM od WIK</t>
  </si>
  <si>
    <t>"Reaktywacja połączenia kolejowego Koszalin - Mielno"</t>
  </si>
  <si>
    <t>Dotacja celowa na pomoc finansową udzielaną między j.s.t. na dofinansowanie własnych zadań bieżących</t>
  </si>
  <si>
    <r>
      <t xml:space="preserve">Zakup usług pozostałych </t>
    </r>
    <r>
      <rPr>
        <i/>
        <sz val="9"/>
        <rFont val="Times New Roman CE"/>
        <family val="1"/>
      </rPr>
      <t>- por.  ekspertyzy lekarskie</t>
    </r>
  </si>
  <si>
    <t>Zarządzanie Kryzysowe</t>
  </si>
  <si>
    <r>
      <t xml:space="preserve">Rezerwa celowa </t>
    </r>
    <r>
      <rPr>
        <i/>
        <sz val="8"/>
        <rFont val="Times New Roman CE"/>
        <family val="1"/>
      </rPr>
      <t>- na realizacje zadań własnych z zakresu zarządzania kryzysowego</t>
    </r>
  </si>
  <si>
    <t>Rezerwa celowa (na realizację zadań dofinans. ze środków zewnętrznych)</t>
  </si>
  <si>
    <r>
      <t>Wydatki inwestycyjne jednostek budżetowych               (</t>
    </r>
    <r>
      <rPr>
        <i/>
        <sz val="9"/>
        <rFont val="Times New Roman CE"/>
        <family val="1"/>
      </rPr>
      <t>w tym: IK -4.240,0 tys.zł - boisko sportowe przy ZS 13, SP 7, SP 13</t>
    </r>
    <r>
      <rPr>
        <sz val="9"/>
        <rFont val="Times New Roman CE"/>
        <family val="0"/>
      </rPr>
      <t>)</t>
    </r>
  </si>
  <si>
    <r>
      <t xml:space="preserve">Rezerwy na inwestycje i zakupy inwestycyjne </t>
    </r>
    <r>
      <rPr>
        <i/>
        <sz val="9"/>
        <rFont val="Times New Roman CE"/>
        <family val="1"/>
      </rPr>
      <t>(inwestycje zakończone)</t>
    </r>
  </si>
  <si>
    <t>Zespół Obsługi Ekonomiczno - Administracyjnej Szkół (Przedszkoli Miejskich)</t>
  </si>
  <si>
    <t>Różne opłaty i składki Fk</t>
  </si>
  <si>
    <t>Wydatki na zakupy  inwestycyjne jednostek budżetowych</t>
  </si>
  <si>
    <t>Projekt "Dobra perspektywa"</t>
  </si>
  <si>
    <r>
      <t xml:space="preserve">Wydatki inwestycyjne jednostek budżetowych </t>
    </r>
    <r>
      <rPr>
        <i/>
        <sz val="9"/>
        <rFont val="Times New Roman CE"/>
        <family val="1"/>
      </rPr>
      <t>- skrzyżowanie ul.Jana Pawła II - Staszica</t>
    </r>
  </si>
  <si>
    <t>Dotacja podmiotowa z budżetu dla publicznej jednostki systemu oświaty prowadzonej przez osobę prawną inną niż j.s.t. lub przez osobę fizyczną</t>
  </si>
  <si>
    <t>Odsetki od nieterminowych wpłat podatku od towarów i usług VAT</t>
  </si>
  <si>
    <t>Rozdz  §</t>
  </si>
  <si>
    <t>Pozostała działalność RO</t>
  </si>
  <si>
    <t>Koszaliński Program Integracji Społecznej START</t>
  </si>
  <si>
    <r>
      <t>Pozostała działalność</t>
    </r>
  </si>
  <si>
    <r>
      <t xml:space="preserve">Składki na ubezpieczenia społeczne  </t>
    </r>
    <r>
      <rPr>
        <i/>
        <sz val="9"/>
        <rFont val="Times New Roman CE"/>
        <family val="1"/>
      </rPr>
      <t>- komisje ds. stypendiów szkolnych</t>
    </r>
  </si>
  <si>
    <r>
      <t xml:space="preserve">Składki na FP </t>
    </r>
    <r>
      <rPr>
        <i/>
        <sz val="9"/>
        <rFont val="Times New Roman CE"/>
        <family val="1"/>
      </rPr>
      <t>- komisje ds. stypendiów szkolnych</t>
    </r>
  </si>
  <si>
    <r>
      <t xml:space="preserve">Wynagrodzenia bezosobowe </t>
    </r>
    <r>
      <rPr>
        <i/>
        <sz val="9"/>
        <rFont val="Times New Roman CE"/>
        <family val="1"/>
      </rPr>
      <t>- komisje ds. stypendiów szkolnych</t>
    </r>
  </si>
  <si>
    <t>Zakup materiałów papierniczych do sprzętu drukarskiego i urządzeń kserograficznych - RO</t>
  </si>
  <si>
    <t>Różne opłaty i składki -Fk</t>
  </si>
  <si>
    <t>Fk</t>
  </si>
  <si>
    <t>OP</t>
  </si>
  <si>
    <t>"Leonardo da Vinci" - Praktyka uczniów technikum samochodowego i mechanicznego w Niemczech szansą poznania rynku UE</t>
  </si>
  <si>
    <t>Program "Równy start"</t>
  </si>
  <si>
    <t>w złotych</t>
  </si>
  <si>
    <t xml:space="preserve">Dział </t>
  </si>
  <si>
    <t>WYDATKI OGÓŁEM</t>
  </si>
  <si>
    <t>Wyszczególnienie</t>
  </si>
  <si>
    <t>Plan pierwotny</t>
  </si>
  <si>
    <t xml:space="preserve">Plan po zmianach </t>
  </si>
  <si>
    <t>Wykonanie</t>
  </si>
  <si>
    <t>%         wyk.</t>
  </si>
  <si>
    <t>Plan po zmianach</t>
  </si>
  <si>
    <t>%        wyk.</t>
  </si>
  <si>
    <t>%     wyk.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</si>
  <si>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</si>
  <si>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</si>
  <si>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</si>
  <si>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</si>
  <si>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</si>
  <si>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</si>
  <si>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</si>
  <si>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</si>
  <si>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</si>
  <si>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</si>
  <si>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</si>
  <si>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</si>
  <si>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</si>
  <si>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</si>
  <si>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</si>
  <si>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</si>
  <si>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</si>
  <si>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</si>
  <si>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</si>
  <si>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</si>
  <si>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</si>
  <si>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</si>
  <si>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</si>
  <si>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</si>
  <si>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</si>
  <si>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</si>
  <si>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</si>
  <si>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</si>
  <si>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</si>
  <si>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</si>
  <si>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</si>
  <si>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</si>
  <si>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</si>
  <si>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</si>
  <si>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</si>
  <si>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</si>
  <si>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</si>
  <si>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</si>
  <si>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</si>
  <si>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</si>
  <si>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</si>
  <si>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</si>
  <si>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</si>
  <si>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</si>
  <si>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 xml:space="preserve">Zakup usług pozostałych </t>
  </si>
  <si>
    <t xml:space="preserve">HANDEL </t>
  </si>
  <si>
    <t>Pozostała działalność</t>
  </si>
  <si>
    <t>TRANSPORT I ŁĄCZNOŚĆ</t>
  </si>
  <si>
    <t>Lokalny transport zbiorowy</t>
  </si>
  <si>
    <t>Drogi publiczne w miastach na prawach powiatu</t>
  </si>
  <si>
    <r>
      <t xml:space="preserve">Wydatki inwestycyjne jednostek budżetowych - </t>
    </r>
    <r>
      <rPr>
        <i/>
        <sz val="9"/>
        <rFont val="Times New Roman CE"/>
        <family val="1"/>
      </rPr>
      <t>budowa ul.Władysława IV</t>
    </r>
  </si>
  <si>
    <r>
      <t xml:space="preserve">Wydatki inwestycyjne jednostek budżetowych - </t>
    </r>
    <r>
      <rPr>
        <i/>
        <sz val="9"/>
        <rFont val="Times New Roman CE"/>
        <family val="1"/>
      </rPr>
      <t>budowa ulicy Śródmiejskiej</t>
    </r>
  </si>
  <si>
    <t xml:space="preserve">Drogi publiczne gminne </t>
  </si>
  <si>
    <t>Wynagrodzenia bezosobowe</t>
  </si>
  <si>
    <t xml:space="preserve">Wydatki inwestycyjne jednostek budżetowych </t>
  </si>
  <si>
    <t>Drogi wewnętrzne</t>
  </si>
  <si>
    <t>ZDM</t>
  </si>
  <si>
    <t>Nagrody i wydatki osobowe nie 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</si>
  <si>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</si>
  <si>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</si>
  <si>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</si>
  <si>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</si>
  <si>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</si>
  <si>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 xml:space="preserve">Dotacja celowa z budżetu na finansowanie lub dofinansowanie prac remontowych i konserwatorskich obiektów zabytkowych, przekazane jednostkom niezaliczanym do sektora finansów publicznych  </t>
  </si>
  <si>
    <t>Zakup pozostałych usług</t>
  </si>
  <si>
    <t>Podróże  służbowe zagraniczne</t>
  </si>
  <si>
    <t xml:space="preserve">Podatek od nieruchomości </t>
  </si>
  <si>
    <t>Pozostałe odsetki</t>
  </si>
  <si>
    <t>Kary i odszkodowania wypłacane na rzecz osób fizycznych</t>
  </si>
  <si>
    <t>Koszty postępowania sadowego i prokuratorskiego</t>
  </si>
  <si>
    <t xml:space="preserve">Wydatki na zakupy inwestycyjne jednostek budżetowych </t>
  </si>
  <si>
    <r>
      <t xml:space="preserve">Wydatki  inwestycyjne jednostek budżetowych </t>
    </r>
    <r>
      <rPr>
        <i/>
        <sz val="9"/>
        <rFont val="Times New Roman CE"/>
        <family val="1"/>
      </rPr>
      <t xml:space="preserve">- rozbudowę systemu antywłamaniowego </t>
    </r>
  </si>
  <si>
    <t>TURYSTYKA</t>
  </si>
  <si>
    <t>Zdania w zakresie upowszechniania turystyki</t>
  </si>
  <si>
    <t>Podróże służbowe zagraniczne</t>
  </si>
  <si>
    <t>GOSPODARKA MIESZKANIOWA</t>
  </si>
  <si>
    <t>Zakłady gospodarki mieszkaniowej - ZBM</t>
  </si>
  <si>
    <t>Dotacja podmiotowa z budżetu dla zakładu budżetowego</t>
  </si>
  <si>
    <t>Dotacje celowe z budżetu na finansowanie lub dofinansowanie kosztów realizacji inwestycji i zakupów inwestycyjnych zakładów budżetowych</t>
  </si>
  <si>
    <t>Gospodarka gruntami i nieruchomościami</t>
  </si>
  <si>
    <t>Wydatki osobowe niezaliczane do wynagrodzeń</t>
  </si>
  <si>
    <t>Zakup pomocy naukowych, dydaktycznych i książek</t>
  </si>
  <si>
    <r>
      <t xml:space="preserve">Zakup pozostałych usług - </t>
    </r>
    <r>
      <rPr>
        <i/>
        <sz val="9"/>
        <rFont val="Times New Roman CE"/>
        <family val="1"/>
      </rPr>
      <t xml:space="preserve">opracowania, podziały geodezyjne, ekspertyzy, wyrysy </t>
    </r>
  </si>
  <si>
    <t>Kary i odszkodowania wypłacane na rzecz osób prawnych i innych jednostek organizacyjnych</t>
  </si>
  <si>
    <r>
      <t xml:space="preserve">Wydatki na zakupy inw. jednostek budżetowych - </t>
    </r>
    <r>
      <rPr>
        <i/>
        <sz val="9"/>
        <rFont val="Times New Roman CE"/>
        <family val="1"/>
      </rPr>
      <t>pierwokupy nieruchomości, rozwiązywanie umów notarialnych, wykupy gruntów</t>
    </r>
  </si>
  <si>
    <t>Towarzystwa budownictwa społecznego</t>
  </si>
  <si>
    <r>
      <t xml:space="preserve">Wydatki na zakup i objęcie akcji oraz wniesienie wkładów do spółek prawa handlowego - </t>
    </r>
    <r>
      <rPr>
        <i/>
        <sz val="9"/>
        <rFont val="Times New Roman CE"/>
        <family val="1"/>
      </rPr>
      <t>KTBS</t>
    </r>
  </si>
  <si>
    <t>Zakup materiałów i wyposażenia  - RO</t>
  </si>
  <si>
    <t>Zakup pozostałych usług -RO</t>
  </si>
  <si>
    <t>Składki na FP</t>
  </si>
  <si>
    <t>Koszty postępowania sądowego i prokuratorskiego</t>
  </si>
  <si>
    <t>Wydatki inwestycyjne jednostek budżetowych</t>
  </si>
  <si>
    <t>Budowa budynku komunalnego</t>
  </si>
  <si>
    <t>DZIAŁALNOŚĆ USŁUGOWA</t>
  </si>
  <si>
    <t>Plany zagospodarowania przestrzennego</t>
  </si>
  <si>
    <t>Składki na Fundusz Pracy</t>
  </si>
  <si>
    <t>Prace geodezyjne i kartograficzne (nieinwestycyjne)</t>
  </si>
  <si>
    <t>Opracowania geodezyjne i kartograficzne</t>
  </si>
  <si>
    <t>Nadzór budowlany</t>
  </si>
  <si>
    <t>Krajowe podróże służbowe</t>
  </si>
  <si>
    <t>Cmentarze</t>
  </si>
  <si>
    <r>
      <t xml:space="preserve">Zakup usług pozostałych - </t>
    </r>
    <r>
      <rPr>
        <i/>
        <sz val="9"/>
        <rFont val="Times New Roman CE"/>
        <family val="1"/>
      </rPr>
      <t>z tytułu  porozumień</t>
    </r>
  </si>
  <si>
    <r>
      <t xml:space="preserve">Zakup usług pozostałych  - </t>
    </r>
    <r>
      <rPr>
        <i/>
        <sz val="9"/>
        <rFont val="Times New Roman CE"/>
        <family val="1"/>
      </rPr>
      <t>utrzymanie cmentarza</t>
    </r>
  </si>
  <si>
    <t>ADMINISTRACJA PUBLICZNA</t>
  </si>
  <si>
    <t>Urzędy Wojewódzkie</t>
  </si>
  <si>
    <t xml:space="preserve"> </t>
  </si>
  <si>
    <t>Starostwa powiatowe</t>
  </si>
  <si>
    <t>ul. Kamieniarska</t>
  </si>
  <si>
    <t>Pozostałe odsetki - Km</t>
  </si>
  <si>
    <t>Kary i odszkodowania wypłacane na rzecz osób fizycznych - Km</t>
  </si>
  <si>
    <t>Koszty postępowania sadowego i prokuratorskiego - Km</t>
  </si>
  <si>
    <t>Dotacje celowe przekazane dla powiatu na zadania bieżące realizowane na podstawie porozumień między j.s.t.</t>
  </si>
  <si>
    <t>Wynagrodzenia osobowe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</si>
  <si>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</si>
  <si>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</si>
  <si>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</si>
  <si>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</si>
  <si>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</si>
  <si>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Straż Miejska</t>
  </si>
  <si>
    <t>Rp</t>
  </si>
  <si>
    <t>BHP</t>
  </si>
  <si>
    <t>Różne wydatki na rzecz osób fizycznych - OA</t>
  </si>
  <si>
    <t xml:space="preserve">Wynagrodzenia agencyjno - prowizyjne </t>
  </si>
  <si>
    <r>
      <t>Wynagrodzenia agencyjno - prowizyjne</t>
    </r>
    <r>
      <rPr>
        <i/>
        <sz val="9"/>
        <rFont val="Times New Roman CE"/>
        <family val="1"/>
      </rPr>
      <t xml:space="preserve"> - IK</t>
    </r>
  </si>
  <si>
    <r>
      <t>Składki na ubezpieczenia społeczne</t>
    </r>
    <r>
      <rPr>
        <i/>
        <sz val="9"/>
        <rFont val="Times New Roman CE"/>
        <family val="1"/>
      </rPr>
      <t xml:space="preserve"> - E</t>
    </r>
  </si>
  <si>
    <r>
      <t>Składki na FP</t>
    </r>
    <r>
      <rPr>
        <i/>
        <sz val="9"/>
        <rFont val="Times New Roman CE"/>
        <family val="1"/>
      </rPr>
      <t xml:space="preserve"> - OA</t>
    </r>
  </si>
  <si>
    <r>
      <t xml:space="preserve">Składki na FP </t>
    </r>
    <r>
      <rPr>
        <i/>
        <sz val="9"/>
        <rFont val="Times New Roman CE"/>
        <family val="1"/>
      </rPr>
      <t>- E</t>
    </r>
  </si>
  <si>
    <r>
      <t>Wynagrodzenia bezosobowe</t>
    </r>
    <r>
      <rPr>
        <i/>
        <sz val="9"/>
        <rFont val="Times New Roman CE"/>
        <family val="1"/>
      </rPr>
      <t xml:space="preserve"> - E</t>
    </r>
  </si>
  <si>
    <r>
      <t>Zakup materiałów i wyposażenia</t>
    </r>
    <r>
      <rPr>
        <i/>
        <sz val="9"/>
        <rFont val="Times New Roman CE"/>
        <family val="1"/>
      </rPr>
      <t xml:space="preserve"> </t>
    </r>
  </si>
  <si>
    <t xml:space="preserve"> Straż Miejska</t>
  </si>
  <si>
    <t xml:space="preserve"> Komunikacja</t>
  </si>
  <si>
    <t xml:space="preserve"> Biuro Informatyki </t>
  </si>
  <si>
    <t xml:space="preserve">BHP </t>
  </si>
  <si>
    <t>Wydz. O- A</t>
  </si>
  <si>
    <t>Wydz. Komunikacja</t>
  </si>
  <si>
    <t>Wydz. Fk</t>
  </si>
  <si>
    <t>Biuro Zamówień Publicznych</t>
  </si>
  <si>
    <t>Inf.</t>
  </si>
  <si>
    <r>
      <t>Podróże służbowe zagraniczne -</t>
    </r>
    <r>
      <rPr>
        <i/>
        <sz val="9"/>
        <rFont val="Times New Roman CE"/>
        <family val="1"/>
      </rPr>
      <t xml:space="preserve"> RWZ</t>
    </r>
  </si>
  <si>
    <r>
      <t>Koszty postępowania sądowego -</t>
    </r>
    <r>
      <rPr>
        <i/>
        <sz val="9"/>
        <rFont val="Times New Roman CE"/>
        <family val="1"/>
      </rPr>
      <t xml:space="preserve"> Rp</t>
    </r>
  </si>
  <si>
    <r>
      <t>Koszty postępowania sądowego -</t>
    </r>
    <r>
      <rPr>
        <i/>
        <sz val="9"/>
        <rFont val="Times New Roman CE"/>
        <family val="1"/>
      </rPr>
      <t xml:space="preserve"> Fk</t>
    </r>
  </si>
  <si>
    <t xml:space="preserve">Wydatki na zakupy inwestycyjne jednostek budżetowych             </t>
  </si>
  <si>
    <t xml:space="preserve">Komisje poborowe </t>
  </si>
  <si>
    <t>Zakup usług  pozostałych</t>
  </si>
  <si>
    <r>
      <t xml:space="preserve">Nagrody o charakterze szczególnym niezaliczane do wynagrodzeń - </t>
    </r>
    <r>
      <rPr>
        <i/>
        <sz val="9"/>
        <rFont val="Times New Roman CE"/>
        <family val="1"/>
      </rPr>
      <t>USC</t>
    </r>
  </si>
  <si>
    <r>
      <t xml:space="preserve">Składki na ubezpieczenia społeczne - </t>
    </r>
    <r>
      <rPr>
        <i/>
        <sz val="9"/>
        <rFont val="Times New Roman CE"/>
        <family val="1"/>
      </rPr>
      <t>RWZ</t>
    </r>
  </si>
  <si>
    <r>
      <t xml:space="preserve">Składki na FP </t>
    </r>
    <r>
      <rPr>
        <i/>
        <sz val="9"/>
        <rFont val="Times New Roman CE"/>
        <family val="1"/>
      </rPr>
      <t>- RWZ</t>
    </r>
  </si>
  <si>
    <r>
      <t xml:space="preserve">Wynagrodzenia bezosobowe </t>
    </r>
    <r>
      <rPr>
        <i/>
        <sz val="9"/>
        <rFont val="Times New Roman CE"/>
        <family val="1"/>
      </rPr>
      <t>-RWZ</t>
    </r>
  </si>
  <si>
    <r>
      <t>Zakupy materiałów i wyposażenia -</t>
    </r>
    <r>
      <rPr>
        <i/>
        <sz val="9"/>
        <rFont val="Times New Roman CE"/>
        <family val="1"/>
      </rPr>
      <t xml:space="preserve"> RWZ</t>
    </r>
  </si>
  <si>
    <r>
      <t xml:space="preserve">Zakup pozostałych usług </t>
    </r>
    <r>
      <rPr>
        <i/>
        <sz val="9"/>
        <rFont val="Times New Roman CE"/>
        <family val="1"/>
      </rPr>
      <t>- RWZ</t>
    </r>
  </si>
  <si>
    <r>
      <t>Różne opłaty i składki -  R</t>
    </r>
    <r>
      <rPr>
        <i/>
        <sz val="9"/>
        <rFont val="Times New Roman CE"/>
        <family val="1"/>
      </rPr>
      <t>WZ</t>
    </r>
  </si>
  <si>
    <t xml:space="preserve"> - dofinansowanie Regionalnego Centrum Informacji Europejskiej - RCIE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</si>
  <si>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</si>
  <si>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</si>
  <si>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</si>
  <si>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 xml:space="preserve">Składki na FP </t>
  </si>
  <si>
    <t xml:space="preserve">Zakup materiałów i wyposażenia </t>
  </si>
  <si>
    <t>Wybory Prezydenta Rzeczpospolitej Polskiej</t>
  </si>
  <si>
    <t xml:space="preserve">Nagrody i wydatki osobowe nie zaliczane do wynagrodzeń </t>
  </si>
  <si>
    <r>
      <t>Zakup materiałów i wyposażenia</t>
    </r>
    <r>
      <rPr>
        <i/>
        <sz val="9"/>
        <rFont val="Times New Roman CE"/>
        <family val="1"/>
      </rPr>
      <t xml:space="preserve"> - porozumienia</t>
    </r>
  </si>
  <si>
    <t xml:space="preserve">zakup wyposażenia </t>
  </si>
  <si>
    <t>Wydz. SO</t>
  </si>
  <si>
    <t>Wybory do Rad Osiedli</t>
  </si>
  <si>
    <r>
      <t xml:space="preserve">Składki na ubezpieczenia społeczne - </t>
    </r>
    <r>
      <rPr>
        <i/>
        <sz val="9"/>
        <rFont val="Times New Roman CE"/>
        <family val="1"/>
      </rPr>
      <t>OA</t>
    </r>
  </si>
  <si>
    <r>
      <t xml:space="preserve">Składki na FP </t>
    </r>
    <r>
      <rPr>
        <i/>
        <sz val="9"/>
        <rFont val="Times New Roman CE"/>
        <family val="1"/>
      </rPr>
      <t>- OA</t>
    </r>
  </si>
  <si>
    <r>
      <t xml:space="preserve">Wynagrodzenia bezosobowe </t>
    </r>
    <r>
      <rPr>
        <i/>
        <sz val="9"/>
        <rFont val="Times New Roman CE"/>
        <family val="1"/>
      </rPr>
      <t>-OA</t>
    </r>
  </si>
  <si>
    <r>
      <t>Zakupy materiałów i wyposażenia -</t>
    </r>
    <r>
      <rPr>
        <i/>
        <sz val="9"/>
        <rFont val="Times New Roman CE"/>
        <family val="1"/>
      </rPr>
      <t xml:space="preserve"> OA</t>
    </r>
  </si>
  <si>
    <r>
      <t xml:space="preserve">Zakup pozostałych usług </t>
    </r>
    <r>
      <rPr>
        <i/>
        <sz val="9"/>
        <rFont val="Times New Roman CE"/>
        <family val="1"/>
      </rPr>
      <t>- OA</t>
    </r>
  </si>
  <si>
    <t xml:space="preserve">Opłaty z tytułu zakupu usług telekomunikacyjnych telefonii stacjonarnej - OA </t>
  </si>
  <si>
    <t>Hala widowiskowo - sportowa</t>
  </si>
  <si>
    <t>wydanie książki pt.: "Województwo środkowopomorskie"</t>
  </si>
  <si>
    <t>wydanie publikacji pn. "Rejestr Pomników Koszalina"</t>
  </si>
  <si>
    <t>"Szkoły zawodowe dodają skrzydeł"</t>
  </si>
  <si>
    <t>zakup materiałów i wyposażenia</t>
  </si>
  <si>
    <t>Zakup materiałów papierniczych do sprzętu drukarskiego i urządzeń kserograficznych - OA</t>
  </si>
  <si>
    <t>Zakup akcesoriów komputerowych, w tym programów i licencji - OA</t>
  </si>
  <si>
    <t>Dotacja celowa z budżetu na finansowanie lub dofinansowanie zadań zleconych do realizacji stowarzyszeniom - OP</t>
  </si>
  <si>
    <t>wyposażenie Filii Bibliotecznej nr 15 i nr 4</t>
  </si>
  <si>
    <t>wydanie książki "60 lat wojskowego szkolnictwa zawodowego w K-nie"</t>
  </si>
  <si>
    <t>uroczyste otwarcie wyremontowanej siedziby</t>
  </si>
  <si>
    <t>porozumienie</t>
  </si>
  <si>
    <t>OBRONA NARODOWA</t>
  </si>
  <si>
    <t>Pozostałe wydatki obronne</t>
  </si>
  <si>
    <t>Zakup pomocy nauk., dydaktycznych i książek</t>
  </si>
  <si>
    <t>BEZPIECZEŃSTWO PUBLICZNE I OCHRONA PRZECIWPOŻAROWA</t>
  </si>
  <si>
    <t>Komendy powiatowe Policji</t>
  </si>
  <si>
    <t>Wpłaty jednostek na fundusz celowy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</si>
  <si>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</si>
  <si>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</si>
  <si>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</si>
  <si>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</si>
  <si>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</si>
  <si>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</si>
  <si>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</si>
  <si>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Odpisy na ZFŚS</t>
  </si>
  <si>
    <t>Pozostałe podatki na rzecz budżetów jednostek samorządu terytorialnego</t>
  </si>
  <si>
    <t>Opłaty na rzecz budżetu państwa</t>
  </si>
  <si>
    <t>Ochotnicze straże pożarne</t>
  </si>
  <si>
    <t>Dotacja celowa z budżetu  lub dofinansowanie zadań zleconych do realizacji stowarzyszeniom</t>
  </si>
  <si>
    <t>Obrona cywilna</t>
  </si>
  <si>
    <r>
      <t xml:space="preserve">Wydatki na zakupy inwestycyjne jednostek budżetowych - </t>
    </r>
    <r>
      <rPr>
        <i/>
        <sz val="9"/>
        <rFont val="Times New Roman CE"/>
        <family val="1"/>
      </rPr>
      <t>zakup projektu multimedialnego</t>
    </r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</si>
  <si>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</si>
  <si>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</si>
  <si>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r>
      <t xml:space="preserve">Wynagrodzenia osobowe pracowników - IK </t>
    </r>
    <r>
      <rPr>
        <i/>
        <sz val="9"/>
        <rFont val="Times New Roman CE"/>
        <family val="1"/>
      </rPr>
      <t>(inkasenci)</t>
    </r>
  </si>
  <si>
    <r>
      <t>Wynagrodzenia agencyjno - prowizyjne -</t>
    </r>
    <r>
      <rPr>
        <i/>
        <sz val="9"/>
        <rFont val="Times New Roman CE"/>
        <family val="1"/>
      </rPr>
      <t xml:space="preserve"> Fk</t>
    </r>
  </si>
  <si>
    <r>
      <t>Wynagrodzenia agencyjno - prowizyjne</t>
    </r>
    <r>
      <rPr>
        <i/>
        <sz val="9"/>
        <rFont val="Times New Roman CE"/>
        <family val="1"/>
      </rPr>
      <t xml:space="preserve"> IK</t>
    </r>
  </si>
  <si>
    <r>
      <t xml:space="preserve">Składki na ubezpieczenia społeczne -  </t>
    </r>
    <r>
      <rPr>
        <i/>
        <sz val="9"/>
        <rFont val="Times New Roman CE"/>
        <family val="1"/>
      </rPr>
      <t>IK</t>
    </r>
  </si>
  <si>
    <t>GMINA  ZLECONE                                                          I  POROZUMIENIA</t>
  </si>
  <si>
    <t>Udział Orkiestry Akordeonowej "AKORD" w V-tym Międzymarodowym Festiwalu Młodżeży w Chinach</t>
  </si>
  <si>
    <t>Przebudowa ul. Niepodległości</t>
  </si>
  <si>
    <t>Przebudowa ul. Paproci i Wrzosów</t>
  </si>
  <si>
    <t>POWIAT ZLECONE                            I  POROZUMIENIA</t>
  </si>
  <si>
    <t>"Karuzela - Program profilaktyczny dla rodzin z małoletnimi dziećmi w placówce opiekuńczo - wychowawczej wsparcia dziennego" POROZUNIENIE</t>
  </si>
  <si>
    <t>"Rozwój niespokrewnionych z dzieckiem zawodowych rodzin zastępczych w Ośrodku Adopcyjno - Opiekuńczym w Koszalinie" ROROZUMIENIA</t>
  </si>
  <si>
    <r>
      <t>Składki na ubezpieczenia społeczne -</t>
    </r>
    <r>
      <rPr>
        <i/>
        <sz val="9"/>
        <rFont val="Times New Roman CE"/>
        <family val="1"/>
      </rPr>
      <t xml:space="preserve"> Fk</t>
    </r>
  </si>
  <si>
    <r>
      <t>Składki na FP -</t>
    </r>
    <r>
      <rPr>
        <i/>
        <sz val="9"/>
        <rFont val="Times New Roman CE"/>
        <family val="1"/>
      </rPr>
      <t xml:space="preserve"> IK</t>
    </r>
  </si>
  <si>
    <r>
      <t xml:space="preserve">Składki na FP - </t>
    </r>
    <r>
      <rPr>
        <i/>
        <sz val="9"/>
        <rFont val="Times New Roman CE"/>
        <family val="1"/>
      </rPr>
      <t xml:space="preserve"> Fk</t>
    </r>
  </si>
  <si>
    <t>Wynagrodzenia bezosobowe - IK</t>
  </si>
  <si>
    <r>
      <t>Zakup usług pozostałych -</t>
    </r>
    <r>
      <rPr>
        <i/>
        <sz val="9"/>
        <rFont val="Times New Roman CE"/>
        <family val="1"/>
      </rPr>
      <t xml:space="preserve"> Fk</t>
    </r>
  </si>
  <si>
    <r>
      <t xml:space="preserve">Zakup usług pozostałych - </t>
    </r>
    <r>
      <rPr>
        <i/>
        <sz val="9"/>
        <rFont val="Times New Roman CE"/>
        <family val="1"/>
      </rPr>
      <t>IK</t>
    </r>
  </si>
  <si>
    <t>OBSŁUGA DŁUGU PUBLICZNEGO</t>
  </si>
  <si>
    <t>RÓŻNE ROZLICZENIA</t>
  </si>
  <si>
    <t>Część równoważąca subwencji ogólnej dla powiatów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</si>
</sst>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5">
    <font>
      <sz val="10"/>
      <name val="Arial CE"/>
      <family val="0"/>
    </font>
    <font>
      <sz val="9"/>
      <name val="Times New Roman CE"/>
      <family val="0"/>
    </font>
    <font>
      <sz val="10"/>
      <name val="Times New Roman CE"/>
      <family val="0"/>
    </font>
    <font>
      <i/>
      <sz val="9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1"/>
      <name val="Times New Roman CE"/>
      <family val="0"/>
    </font>
    <font>
      <b/>
      <sz val="9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i/>
      <sz val="7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 CE"/>
      <family val="1"/>
    </font>
    <font>
      <b/>
      <i/>
      <sz val="7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6"/>
      <name val="Times New Roman CE"/>
      <family val="1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9">
    <xf numFmtId="0" fontId="0" fillId="0" borderId="0" xfId="0" applyAlignment="1">
      <alignment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1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>
      <alignment horizontal="centerContinuous"/>
    </xf>
    <xf numFmtId="164" fontId="7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wrapText="1"/>
      <protection locked="0"/>
    </xf>
    <xf numFmtId="3" fontId="2" fillId="0" borderId="0" xfId="0" applyNumberFormat="1" applyFont="1" applyFill="1" applyBorder="1" applyAlignment="1" applyProtection="1">
      <alignment horizontal="centerContinuous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Alignment="1">
      <alignment horizontal="centerContinuous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horizontal="centerContinuous" vertical="center"/>
      <protection locked="0"/>
    </xf>
    <xf numFmtId="3" fontId="4" fillId="0" borderId="3" xfId="0" applyNumberFormat="1" applyFont="1" applyFill="1" applyBorder="1" applyAlignment="1" applyProtection="1">
      <alignment horizontal="centerContinuous" vertical="center"/>
      <protection locked="0"/>
    </xf>
    <xf numFmtId="3" fontId="8" fillId="0" borderId="4" xfId="0" applyNumberFormat="1" applyFont="1" applyFill="1" applyBorder="1" applyAlignment="1" applyProtection="1">
      <alignment horizontal="centerContinuous" vertical="center"/>
      <protection locked="0"/>
    </xf>
    <xf numFmtId="3" fontId="8" fillId="0" borderId="3" xfId="0" applyNumberFormat="1" applyFont="1" applyFill="1" applyBorder="1" applyAlignment="1" applyProtection="1">
      <alignment horizontal="centerContinuous" vertical="center"/>
      <protection locked="0"/>
    </xf>
    <xf numFmtId="3" fontId="4" fillId="0" borderId="5" xfId="0" applyNumberFormat="1" applyFont="1" applyFill="1" applyBorder="1" applyAlignment="1" applyProtection="1">
      <alignment horizontal="centerContinuous" vertical="center"/>
      <protection locked="0"/>
    </xf>
    <xf numFmtId="3" fontId="8" fillId="0" borderId="6" xfId="0" applyNumberFormat="1" applyFont="1" applyFill="1" applyBorder="1" applyAlignment="1" applyProtection="1">
      <alignment horizontal="centerContinuous" vertical="center"/>
      <protection locked="0"/>
    </xf>
    <xf numFmtId="3" fontId="4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0" applyNumberFormat="1" applyFont="1" applyBorder="1" applyAlignment="1">
      <alignment vertical="center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8" xfId="2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>
      <alignment/>
    </xf>
    <xf numFmtId="49" fontId="8" fillId="0" borderId="17" xfId="0" applyNumberFormat="1" applyFont="1" applyFill="1" applyBorder="1" applyAlignment="1" applyProtection="1">
      <alignment horizontal="centerContinuous" vertical="center"/>
      <protection locked="0"/>
    </xf>
    <xf numFmtId="1" fontId="8" fillId="0" borderId="18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49" fontId="1" fillId="0" borderId="7" xfId="0" applyNumberFormat="1" applyFont="1" applyFill="1" applyBorder="1" applyAlignment="1" applyProtection="1">
      <alignment horizontal="centerContinuous" vertical="center"/>
      <protection locked="0"/>
    </xf>
    <xf numFmtId="1" fontId="1" fillId="0" borderId="8" xfId="0" applyNumberFormat="1" applyFont="1" applyFill="1" applyBorder="1" applyAlignment="1" applyProtection="1">
      <alignment horizontal="left" vertical="center" wrapText="1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>
      <alignment/>
    </xf>
    <xf numFmtId="49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49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>
      <alignment/>
    </xf>
    <xf numFmtId="49" fontId="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1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5" xfId="20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3" xfId="20" applyNumberFormat="1" applyFont="1" applyFill="1" applyBorder="1" applyAlignment="1" applyProtection="1">
      <alignment horizontal="left" vertical="center" wrapText="1"/>
      <protection locked="0"/>
    </xf>
    <xf numFmtId="3" fontId="4" fillId="0" borderId="22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164" fontId="1" fillId="0" borderId="8" xfId="20" applyNumberFormat="1" applyFont="1" applyFill="1" applyBorder="1" applyAlignment="1" applyProtection="1">
      <alignment vertical="center" wrapText="1"/>
      <protection locked="0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1" fontId="8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5" xfId="20" applyNumberFormat="1" applyFont="1" applyFill="1" applyBorder="1" applyAlignment="1" applyProtection="1">
      <alignment vertical="center" wrapText="1"/>
      <protection locked="0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4" fillId="0" borderId="26" xfId="0" applyNumberFormat="1" applyFont="1" applyFill="1" applyBorder="1" applyAlignment="1" applyProtection="1">
      <alignment vertical="center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" xfId="2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/>
    </xf>
    <xf numFmtId="1" fontId="1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3" xfId="20" applyNumberFormat="1" applyFont="1" applyFill="1" applyBorder="1" applyAlignment="1" applyProtection="1">
      <alignment vertical="center" wrapText="1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1" fontId="8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3" xfId="20" applyNumberFormat="1" applyFont="1" applyFill="1" applyBorder="1" applyAlignment="1" applyProtection="1">
      <alignment horizontal="left" vertical="center" wrapText="1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4" fillId="0" borderId="25" xfId="0" applyNumberFormat="1" applyFont="1" applyFill="1" applyBorder="1" applyAlignment="1" applyProtection="1">
      <alignment horizontal="right" vertical="center"/>
      <protection locked="0"/>
    </xf>
    <xf numFmtId="164" fontId="1" fillId="0" borderId="12" xfId="20" applyNumberFormat="1" applyFont="1" applyFill="1" applyBorder="1" applyAlignment="1" applyProtection="1">
      <alignment horizontal="left" vertical="center" wrapText="1"/>
      <protection locked="0"/>
    </xf>
    <xf numFmtId="1" fontId="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3" xfId="20" applyNumberFormat="1" applyFont="1" applyFill="1" applyBorder="1" applyAlignment="1" applyProtection="1">
      <alignment vertical="center" wrapText="1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1" fontId="3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>
      <alignment horizontal="left" vertical="center" wrapText="1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Font="1" applyBorder="1" applyAlignment="1">
      <alignment horizontal="left" vertical="center" wrapText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" fillId="0" borderId="34" xfId="0" applyNumberFormat="1" applyFont="1" applyFill="1" applyBorder="1" applyAlignment="1" applyProtection="1">
      <alignment vertical="center"/>
      <protection locked="0"/>
    </xf>
    <xf numFmtId="3" fontId="8" fillId="0" borderId="23" xfId="20" applyNumberFormat="1" applyFont="1" applyFill="1" applyBorder="1" applyAlignment="1" applyProtection="1">
      <alignment vertical="center" wrapText="1"/>
      <protection locked="0"/>
    </xf>
    <xf numFmtId="1" fontId="8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" xfId="2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4" fillId="0" borderId="21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Fill="1" applyBorder="1" applyAlignment="1" applyProtection="1">
      <alignment horizontal="center" vertical="center"/>
      <protection locked="0"/>
    </xf>
    <xf numFmtId="164" fontId="8" fillId="0" borderId="23" xfId="20" applyNumberFormat="1" applyFont="1" applyFill="1" applyBorder="1" applyAlignment="1" applyProtection="1">
      <alignment vertical="center" wrapText="1"/>
      <protection locked="0"/>
    </xf>
    <xf numFmtId="3" fontId="4" fillId="0" borderId="19" xfId="0" applyNumberFormat="1" applyFont="1" applyFill="1" applyBorder="1" applyAlignment="1" applyProtection="1">
      <alignment vertical="center"/>
      <protection locked="0"/>
    </xf>
    <xf numFmtId="164" fontId="8" fillId="0" borderId="23" xfId="20" applyNumberFormat="1" applyFont="1" applyFill="1" applyBorder="1" applyAlignment="1" applyProtection="1">
      <alignment vertical="center" wrapText="1"/>
      <protection locked="0"/>
    </xf>
    <xf numFmtId="1" fontId="8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3" xfId="2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3" fontId="4" fillId="0" borderId="27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" fontId="1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2" xfId="20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1" fontId="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8" xfId="20" applyNumberFormat="1" applyFont="1" applyFill="1" applyBorder="1" applyAlignment="1" applyProtection="1">
      <alignment vertical="center" wrapText="1"/>
      <protection locked="0"/>
    </xf>
    <xf numFmtId="164" fontId="1" fillId="0" borderId="12" xfId="20" applyNumberFormat="1" applyFont="1" applyFill="1" applyBorder="1" applyAlignment="1" applyProtection="1">
      <alignment vertical="center" wrapText="1"/>
      <protection locked="0"/>
    </xf>
    <xf numFmtId="3" fontId="2" fillId="0" borderId="37" xfId="0" applyNumberFormat="1" applyFont="1" applyFill="1" applyBorder="1" applyAlignment="1" applyProtection="1">
      <alignment vertical="center"/>
      <protection locked="0"/>
    </xf>
    <xf numFmtId="1" fontId="8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33" xfId="20" applyNumberFormat="1" applyFont="1" applyFill="1" applyBorder="1" applyAlignment="1" applyProtection="1">
      <alignment vertical="center" wrapText="1"/>
      <protection locked="0"/>
    </xf>
    <xf numFmtId="3" fontId="4" fillId="0" borderId="32" xfId="0" applyNumberFormat="1" applyFont="1" applyFill="1" applyBorder="1" applyAlignment="1" applyProtection="1">
      <alignment vertical="center"/>
      <protection locked="0"/>
    </xf>
    <xf numFmtId="3" fontId="4" fillId="0" borderId="34" xfId="0" applyNumberFormat="1" applyFont="1" applyFill="1" applyBorder="1" applyAlignment="1" applyProtection="1">
      <alignment vertical="center"/>
      <protection locked="0"/>
    </xf>
    <xf numFmtId="1" fontId="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8" xfId="20" applyNumberFormat="1" applyFont="1" applyFill="1" applyBorder="1" applyAlignment="1" applyProtection="1">
      <alignment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" xfId="20" applyNumberFormat="1" applyFont="1" applyFill="1" applyBorder="1" applyAlignment="1" applyProtection="1">
      <alignment vertical="center" wrapText="1"/>
      <protection locked="0"/>
    </xf>
    <xf numFmtId="3" fontId="9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8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8" xfId="2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29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164" fontId="14" fillId="0" borderId="40" xfId="0" applyNumberFormat="1" applyFont="1" applyFill="1" applyBorder="1" applyAlignment="1" applyProtection="1">
      <alignment horizontal="right" vertical="center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" xfId="20" applyNumberFormat="1" applyFont="1" applyFill="1" applyBorder="1" applyAlignment="1" applyProtection="1">
      <alignment vertical="center" wrapText="1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64" fontId="8" fillId="0" borderId="23" xfId="0" applyNumberFormat="1" applyFont="1" applyBorder="1" applyAlignment="1">
      <alignment vertical="center" wrapText="1"/>
    </xf>
    <xf numFmtId="164" fontId="3" fillId="0" borderId="8" xfId="20" applyNumberFormat="1" applyFont="1" applyFill="1" applyBorder="1" applyAlignment="1" applyProtection="1">
      <alignment vertical="center" wrapText="1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" fontId="8" fillId="0" borderId="22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vertical="center"/>
    </xf>
    <xf numFmtId="1" fontId="1" fillId="0" borderId="7" xfId="0" applyNumberFormat="1" applyFont="1" applyBorder="1" applyAlignment="1">
      <alignment horizontal="centerContinuous" vertical="center"/>
    </xf>
    <xf numFmtId="1" fontId="1" fillId="0" borderId="32" xfId="0" applyNumberFormat="1" applyFont="1" applyBorder="1" applyAlignment="1">
      <alignment horizontal="centerContinuous" vertical="center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1" fontId="8" fillId="0" borderId="22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vertical="center"/>
    </xf>
    <xf numFmtId="1" fontId="1" fillId="0" borderId="9" xfId="0" applyNumberFormat="1" applyFont="1" applyBorder="1" applyAlignment="1">
      <alignment horizontal="centerContinuous" vertical="center"/>
    </xf>
    <xf numFmtId="164" fontId="1" fillId="0" borderId="0" xfId="0" applyNumberFormat="1" applyFont="1" applyBorder="1" applyAlignment="1">
      <alignment vertical="center"/>
    </xf>
    <xf numFmtId="1" fontId="8" fillId="0" borderId="32" xfId="0" applyNumberFormat="1" applyFont="1" applyBorder="1" applyAlignment="1">
      <alignment horizontal="centerContinuous" vertical="center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1" fontId="8" fillId="0" borderId="17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8" xfId="2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164" fontId="1" fillId="0" borderId="33" xfId="2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/>
    </xf>
    <xf numFmtId="3" fontId="2" fillId="0" borderId="32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164" fontId="8" fillId="0" borderId="15" xfId="20" applyNumberFormat="1" applyFont="1" applyFill="1" applyBorder="1" applyAlignment="1" applyProtection="1">
      <alignment horizontal="left" vertical="center" wrapText="1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3" fontId="1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vertical="center"/>
      <protection locked="0"/>
    </xf>
    <xf numFmtId="0" fontId="1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2" xfId="0" applyNumberFormat="1" applyFont="1" applyFill="1" applyBorder="1" applyAlignment="1" applyProtection="1">
      <alignment horizontal="right" vertical="center"/>
      <protection locked="0"/>
    </xf>
    <xf numFmtId="0" fontId="1" fillId="0" borderId="7" xfId="0" applyNumberFormat="1" applyFont="1" applyFill="1" applyBorder="1" applyAlignment="1" applyProtection="1">
      <alignment horizontal="centerContinuous" vertical="center"/>
      <protection locked="0"/>
    </xf>
    <xf numFmtId="3" fontId="2" fillId="0" borderId="41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horizontal="right" vertical="center"/>
      <protection locked="0"/>
    </xf>
    <xf numFmtId="1" fontId="8" fillId="0" borderId="22" xfId="0" applyNumberFormat="1" applyFont="1" applyFill="1" applyBorder="1" applyAlignment="1" applyProtection="1">
      <alignment horizontal="center" vertical="center"/>
      <protection locked="0"/>
    </xf>
    <xf numFmtId="164" fontId="8" fillId="0" borderId="24" xfId="20" applyNumberFormat="1" applyFont="1" applyFill="1" applyBorder="1" applyAlignment="1" applyProtection="1">
      <alignment vertical="center" wrapText="1"/>
      <protection locked="0"/>
    </xf>
    <xf numFmtId="164" fontId="1" fillId="0" borderId="13" xfId="20" applyNumberFormat="1" applyFont="1" applyFill="1" applyBorder="1" applyAlignment="1" applyProtection="1">
      <alignment vertical="center" wrapText="1"/>
      <protection locked="0"/>
    </xf>
    <xf numFmtId="164" fontId="1" fillId="0" borderId="27" xfId="20" applyNumberFormat="1" applyFont="1" applyFill="1" applyBorder="1" applyAlignment="1" applyProtection="1">
      <alignment vertical="center" wrapText="1"/>
      <protection locked="0"/>
    </xf>
    <xf numFmtId="164" fontId="11" fillId="0" borderId="0" xfId="0" applyNumberFormat="1" applyFont="1" applyBorder="1" applyAlignment="1">
      <alignment/>
    </xf>
    <xf numFmtId="164" fontId="14" fillId="0" borderId="43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3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164" fontId="1" fillId="0" borderId="10" xfId="20" applyNumberFormat="1" applyFont="1" applyFill="1" applyBorder="1" applyAlignment="1" applyProtection="1">
      <alignment vertical="center" wrapText="1"/>
      <protection locked="0"/>
    </xf>
    <xf numFmtId="3" fontId="4" fillId="0" borderId="37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64" fontId="1" fillId="0" borderId="40" xfId="20" applyNumberFormat="1" applyFont="1" applyFill="1" applyBorder="1" applyAlignment="1" applyProtection="1">
      <alignment vertical="center" wrapText="1"/>
      <protection locked="0"/>
    </xf>
    <xf numFmtId="164" fontId="1" fillId="0" borderId="13" xfId="20" applyNumberFormat="1" applyFont="1" applyFill="1" applyBorder="1" applyAlignment="1" applyProtection="1">
      <alignment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5" xfId="20" applyNumberFormat="1" applyFont="1" applyFill="1" applyBorder="1" applyAlignment="1" applyProtection="1">
      <alignment vertical="center" wrapText="1"/>
      <protection locked="0"/>
    </xf>
    <xf numFmtId="164" fontId="8" fillId="0" borderId="19" xfId="20" applyNumberFormat="1" applyFont="1" applyFill="1" applyBorder="1" applyAlignment="1" applyProtection="1">
      <alignment vertical="center" wrapText="1"/>
      <protection locked="0"/>
    </xf>
    <xf numFmtId="164" fontId="8" fillId="0" borderId="27" xfId="20" applyNumberFormat="1" applyFont="1" applyFill="1" applyBorder="1" applyAlignment="1" applyProtection="1">
      <alignment vertical="center" wrapText="1"/>
      <protection locked="0"/>
    </xf>
    <xf numFmtId="164" fontId="15" fillId="0" borderId="38" xfId="0" applyNumberFormat="1" applyFont="1" applyFill="1" applyBorder="1" applyAlignment="1" applyProtection="1">
      <alignment horizontal="right" vertical="center"/>
      <protection locked="0"/>
    </xf>
    <xf numFmtId="164" fontId="1" fillId="0" borderId="27" xfId="20" applyNumberFormat="1" applyFont="1" applyFill="1" applyBorder="1" applyAlignment="1" applyProtection="1">
      <alignment vertical="center" wrapText="1"/>
      <protection locked="0"/>
    </xf>
    <xf numFmtId="164" fontId="8" fillId="0" borderId="24" xfId="20" applyNumberFormat="1" applyFont="1" applyFill="1" applyBorder="1" applyAlignment="1" applyProtection="1">
      <alignment vertical="center" wrapText="1"/>
      <protection locked="0"/>
    </xf>
    <xf numFmtId="164" fontId="8" fillId="0" borderId="27" xfId="20" applyNumberFormat="1" applyFont="1" applyFill="1" applyBorder="1" applyAlignment="1" applyProtection="1">
      <alignment vertical="center" wrapText="1"/>
      <protection locked="0"/>
    </xf>
    <xf numFmtId="164" fontId="1" fillId="0" borderId="10" xfId="20" applyNumberFormat="1" applyFont="1" applyFill="1" applyBorder="1" applyAlignment="1" applyProtection="1">
      <alignment vertical="center" wrapText="1"/>
      <protection locked="0"/>
    </xf>
    <xf numFmtId="164" fontId="1" fillId="0" borderId="24" xfId="20" applyNumberFormat="1" applyFont="1" applyFill="1" applyBorder="1" applyAlignment="1" applyProtection="1">
      <alignment vertical="center" wrapText="1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4" fillId="0" borderId="46" xfId="0" applyNumberFormat="1" applyFont="1" applyFill="1" applyBorder="1" applyAlignment="1" applyProtection="1">
      <alignment horizontal="right"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164" fontId="1" fillId="0" borderId="46" xfId="20" applyNumberFormat="1" applyFont="1" applyFill="1" applyBorder="1" applyAlignment="1" applyProtection="1">
      <alignment vertical="center" wrapText="1"/>
      <protection locked="0"/>
    </xf>
    <xf numFmtId="164" fontId="8" fillId="0" borderId="16" xfId="20" applyNumberFormat="1" applyFont="1" applyFill="1" applyBorder="1" applyAlignment="1" applyProtection="1">
      <alignment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20" applyNumberFormat="1" applyFont="1" applyFill="1" applyBorder="1" applyAlignment="1" applyProtection="1">
      <alignment vertical="center" wrapText="1"/>
      <protection locked="0"/>
    </xf>
    <xf numFmtId="3" fontId="4" fillId="0" borderId="41" xfId="0" applyNumberFormat="1" applyFont="1" applyFill="1" applyBorder="1" applyAlignment="1" applyProtection="1">
      <alignment vertical="center"/>
      <protection locked="0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horizontal="centerContinuous" vertical="center"/>
      <protection locked="0"/>
    </xf>
    <xf numFmtId="0" fontId="3" fillId="0" borderId="8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164" fontId="14" fillId="0" borderId="42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horizontal="right" vertical="center"/>
      <protection locked="0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Border="1" applyAlignment="1">
      <alignment horizontal="right" vertical="center"/>
    </xf>
    <xf numFmtId="1" fontId="11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23" xfId="20" applyNumberFormat="1" applyFont="1" applyFill="1" applyBorder="1" applyAlignment="1" applyProtection="1">
      <alignment vertical="center" wrapText="1"/>
      <protection locked="0"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164" fontId="14" fillId="0" borderId="47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vertical="center"/>
      <protection locked="0"/>
    </xf>
    <xf numFmtId="1" fontId="4" fillId="0" borderId="6" xfId="0" applyNumberFormat="1" applyFont="1" applyFill="1" applyBorder="1" applyAlignment="1" applyProtection="1">
      <alignment horizontal="centerContinuous" vertical="center"/>
      <protection locked="0"/>
    </xf>
    <xf numFmtId="1" fontId="4" fillId="0" borderId="4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1" fontId="12" fillId="0" borderId="31" xfId="0" applyNumberFormat="1" applyFont="1" applyFill="1" applyBorder="1" applyAlignment="1" applyProtection="1">
      <alignment horizontal="centerContinuous" vertical="center"/>
      <protection locked="0"/>
    </xf>
    <xf numFmtId="1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Border="1" applyAlignment="1">
      <alignment/>
    </xf>
    <xf numFmtId="3" fontId="12" fillId="0" borderId="29" xfId="0" applyNumberFormat="1" applyFont="1" applyFill="1" applyBorder="1" applyAlignment="1" applyProtection="1">
      <alignment vertical="center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" fontId="1" fillId="0" borderId="7" xfId="0" applyNumberFormat="1" applyFont="1" applyBorder="1" applyAlignment="1">
      <alignment horizontal="centerContinuous" vertical="center"/>
    </xf>
    <xf numFmtId="1" fontId="8" fillId="0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40" xfId="2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8" fillId="0" borderId="13" xfId="20" applyNumberFormat="1" applyFont="1" applyFill="1" applyBorder="1" applyAlignment="1" applyProtection="1">
      <alignment vertical="center" wrapText="1"/>
      <protection locked="0"/>
    </xf>
    <xf numFmtId="1" fontId="12" fillId="0" borderId="48" xfId="0" applyNumberFormat="1" applyFont="1" applyFill="1" applyBorder="1" applyAlignment="1" applyProtection="1">
      <alignment horizontal="centerContinuous"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3" fontId="11" fillId="0" borderId="29" xfId="0" applyNumberFormat="1" applyFont="1" applyFill="1" applyBorder="1" applyAlignment="1" applyProtection="1">
      <alignment vertical="center"/>
      <protection locked="0"/>
    </xf>
    <xf numFmtId="1" fontId="3" fillId="0" borderId="31" xfId="0" applyNumberFormat="1" applyFont="1" applyFill="1" applyBorder="1" applyAlignment="1" applyProtection="1">
      <alignment horizontal="centerContinuous"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164" fontId="1" fillId="0" borderId="46" xfId="20" applyNumberFormat="1" applyFont="1" applyFill="1" applyBorder="1" applyAlignment="1" applyProtection="1">
      <alignment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Continuous"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horizontal="right" vertical="center"/>
      <protection locked="0"/>
    </xf>
    <xf numFmtId="164" fontId="1" fillId="0" borderId="38" xfId="20" applyNumberFormat="1" applyFont="1" applyFill="1" applyBorder="1" applyAlignment="1" applyProtection="1">
      <alignment horizontal="left" vertical="center" wrapText="1"/>
      <protection locked="0"/>
    </xf>
    <xf numFmtId="164" fontId="1" fillId="0" borderId="38" xfId="20" applyNumberFormat="1" applyFont="1" applyFill="1" applyBorder="1" applyAlignment="1" applyProtection="1">
      <alignment vertical="center" wrapText="1"/>
      <protection locked="0"/>
    </xf>
    <xf numFmtId="1" fontId="8" fillId="0" borderId="31" xfId="0" applyNumberFormat="1" applyFont="1" applyFill="1" applyBorder="1" applyAlignment="1" applyProtection="1">
      <alignment horizontal="centerContinuous" vertical="center"/>
      <protection locked="0"/>
    </xf>
    <xf numFmtId="1" fontId="8" fillId="0" borderId="40" xfId="0" applyNumberFormat="1" applyFont="1" applyFill="1" applyBorder="1" applyAlignment="1" applyProtection="1">
      <alignment vertical="center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locked="0"/>
    </xf>
    <xf numFmtId="164" fontId="14" fillId="0" borderId="49" xfId="0" applyNumberFormat="1" applyFont="1" applyFill="1" applyBorder="1" applyAlignment="1" applyProtection="1">
      <alignment horizontal="right" vertical="center"/>
      <protection locked="0"/>
    </xf>
    <xf numFmtId="164" fontId="14" fillId="0" borderId="50" xfId="0" applyNumberFormat="1" applyFont="1" applyFill="1" applyBorder="1" applyAlignment="1" applyProtection="1">
      <alignment horizontal="right" vertical="center"/>
      <protection locked="0"/>
    </xf>
    <xf numFmtId="164" fontId="15" fillId="0" borderId="51" xfId="0" applyNumberFormat="1" applyFont="1" applyFill="1" applyBorder="1" applyAlignment="1" applyProtection="1">
      <alignment horizontal="right" vertical="center"/>
      <protection locked="0"/>
    </xf>
    <xf numFmtId="164" fontId="14" fillId="0" borderId="52" xfId="0" applyNumberFormat="1" applyFont="1" applyFill="1" applyBorder="1" applyAlignment="1" applyProtection="1">
      <alignment horizontal="right" vertical="center"/>
      <protection locked="0"/>
    </xf>
    <xf numFmtId="164" fontId="10" fillId="0" borderId="53" xfId="0" applyNumberFormat="1" applyFont="1" applyFill="1" applyBorder="1" applyAlignment="1" applyProtection="1">
      <alignment horizontal="right" vertical="center"/>
      <protection locked="0"/>
    </xf>
    <xf numFmtId="164" fontId="10" fillId="0" borderId="51" xfId="0" applyNumberFormat="1" applyFont="1" applyFill="1" applyBorder="1" applyAlignment="1" applyProtection="1">
      <alignment horizontal="right" vertical="center"/>
      <protection locked="0"/>
    </xf>
    <xf numFmtId="164" fontId="10" fillId="0" borderId="43" xfId="0" applyNumberFormat="1" applyFont="1" applyFill="1" applyBorder="1" applyAlignment="1" applyProtection="1">
      <alignment horizontal="right" vertical="center"/>
      <protection locked="0"/>
    </xf>
    <xf numFmtId="164" fontId="10" fillId="0" borderId="43" xfId="0" applyNumberFormat="1" applyFont="1" applyFill="1" applyBorder="1" applyAlignment="1" applyProtection="1">
      <alignment vertical="center"/>
      <protection locked="0"/>
    </xf>
    <xf numFmtId="164" fontId="16" fillId="0" borderId="53" xfId="0" applyNumberFormat="1" applyFont="1" applyFill="1" applyBorder="1" applyAlignment="1" applyProtection="1">
      <alignment vertical="center"/>
      <protection locked="0"/>
    </xf>
    <xf numFmtId="164" fontId="16" fillId="0" borderId="43" xfId="0" applyNumberFormat="1" applyFont="1" applyFill="1" applyBorder="1" applyAlignment="1" applyProtection="1">
      <alignment vertical="center"/>
      <protection locked="0"/>
    </xf>
    <xf numFmtId="164" fontId="10" fillId="0" borderId="52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Fill="1" applyBorder="1" applyAlignment="1" applyProtection="1">
      <alignment vertical="center"/>
      <protection locked="0"/>
    </xf>
    <xf numFmtId="164" fontId="16" fillId="0" borderId="51" xfId="0" applyNumberFormat="1" applyFont="1" applyFill="1" applyBorder="1" applyAlignment="1" applyProtection="1">
      <alignment horizontal="right" vertical="center"/>
      <protection locked="0"/>
    </xf>
    <xf numFmtId="164" fontId="10" fillId="0" borderId="40" xfId="0" applyNumberFormat="1" applyFont="1" applyFill="1" applyBorder="1" applyAlignment="1" applyProtection="1">
      <alignment vertical="center"/>
      <protection locked="0"/>
    </xf>
    <xf numFmtId="164" fontId="14" fillId="0" borderId="43" xfId="0" applyNumberFormat="1" applyFont="1" applyFill="1" applyBorder="1" applyAlignment="1" applyProtection="1">
      <alignment vertical="center"/>
      <protection locked="0"/>
    </xf>
    <xf numFmtId="164" fontId="16" fillId="0" borderId="51" xfId="0" applyNumberFormat="1" applyFont="1" applyFill="1" applyBorder="1" applyAlignment="1" applyProtection="1">
      <alignment vertical="center"/>
      <protection locked="0"/>
    </xf>
    <xf numFmtId="164" fontId="16" fillId="0" borderId="47" xfId="0" applyNumberFormat="1" applyFont="1" applyFill="1" applyBorder="1" applyAlignment="1" applyProtection="1">
      <alignment vertical="center"/>
      <protection locked="0"/>
    </xf>
    <xf numFmtId="164" fontId="10" fillId="0" borderId="51" xfId="0" applyNumberFormat="1" applyFont="1" applyFill="1" applyBorder="1" applyAlignment="1" applyProtection="1">
      <alignment vertical="center"/>
      <protection locked="0"/>
    </xf>
    <xf numFmtId="164" fontId="10" fillId="0" borderId="53" xfId="0" applyNumberFormat="1" applyFont="1" applyFill="1" applyBorder="1" applyAlignment="1" applyProtection="1">
      <alignment vertical="center"/>
      <protection locked="0"/>
    </xf>
    <xf numFmtId="164" fontId="15" fillId="0" borderId="43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Border="1" applyAlignment="1">
      <alignment/>
    </xf>
    <xf numFmtId="164" fontId="16" fillId="0" borderId="40" xfId="0" applyNumberFormat="1" applyFont="1" applyFill="1" applyBorder="1" applyAlignment="1" applyProtection="1">
      <alignment horizontal="right" vertical="center"/>
      <protection locked="0"/>
    </xf>
    <xf numFmtId="164" fontId="16" fillId="0" borderId="5" xfId="0" applyNumberFormat="1" applyFont="1" applyFill="1" applyBorder="1" applyAlignment="1" applyProtection="1">
      <alignment vertical="center"/>
      <protection locked="0"/>
    </xf>
    <xf numFmtId="164" fontId="10" fillId="0" borderId="47" xfId="0" applyNumberFormat="1" applyFont="1" applyFill="1" applyBorder="1" applyAlignment="1" applyProtection="1">
      <alignment horizontal="right" vertical="center"/>
      <protection locked="0"/>
    </xf>
    <xf numFmtId="164" fontId="16" fillId="0" borderId="53" xfId="0" applyNumberFormat="1" applyFont="1" applyFill="1" applyBorder="1" applyAlignment="1" applyProtection="1">
      <alignment horizontal="right" vertical="center"/>
      <protection locked="0"/>
    </xf>
    <xf numFmtId="164" fontId="10" fillId="0" borderId="5" xfId="0" applyNumberFormat="1" applyFont="1" applyFill="1" applyBorder="1" applyAlignment="1" applyProtection="1">
      <alignment vertical="center"/>
      <protection locked="0"/>
    </xf>
    <xf numFmtId="164" fontId="10" fillId="0" borderId="42" xfId="0" applyNumberFormat="1" applyFont="1" applyFill="1" applyBorder="1" applyAlignment="1" applyProtection="1">
      <alignment vertical="center"/>
      <protection locked="0"/>
    </xf>
    <xf numFmtId="164" fontId="14" fillId="0" borderId="5" xfId="0" applyNumberFormat="1" applyFont="1" applyFill="1" applyBorder="1" applyAlignment="1" applyProtection="1">
      <alignment horizontal="right" vertical="center"/>
      <protection locked="0"/>
    </xf>
    <xf numFmtId="164" fontId="10" fillId="0" borderId="5" xfId="0" applyNumberFormat="1" applyFont="1" applyFill="1" applyBorder="1" applyAlignment="1" applyProtection="1">
      <alignment horizontal="right" vertical="center"/>
      <protection locked="0"/>
    </xf>
    <xf numFmtId="164" fontId="16" fillId="0" borderId="43" xfId="0" applyNumberFormat="1" applyFont="1" applyFill="1" applyBorder="1" applyAlignment="1" applyProtection="1">
      <alignment horizontal="right" vertical="center"/>
      <protection locked="0"/>
    </xf>
    <xf numFmtId="164" fontId="15" fillId="0" borderId="53" xfId="0" applyNumberFormat="1" applyFont="1" applyFill="1" applyBorder="1" applyAlignment="1" applyProtection="1">
      <alignment horizontal="right" vertical="center"/>
      <protection locked="0"/>
    </xf>
    <xf numFmtId="164" fontId="15" fillId="0" borderId="43" xfId="0" applyNumberFormat="1" applyFont="1" applyFill="1" applyBorder="1" applyAlignment="1" applyProtection="1">
      <alignment horizontal="right" vertical="center"/>
      <protection locked="0"/>
    </xf>
    <xf numFmtId="164" fontId="10" fillId="0" borderId="38" xfId="0" applyNumberFormat="1" applyFont="1" applyFill="1" applyBorder="1" applyAlignment="1" applyProtection="1">
      <alignment vertical="center"/>
      <protection locked="0"/>
    </xf>
    <xf numFmtId="164" fontId="10" fillId="0" borderId="46" xfId="0" applyNumberFormat="1" applyFont="1" applyFill="1" applyBorder="1" applyAlignment="1" applyProtection="1">
      <alignment vertical="center"/>
      <protection locked="0"/>
    </xf>
    <xf numFmtId="164" fontId="16" fillId="0" borderId="38" xfId="0" applyNumberFormat="1" applyFont="1" applyFill="1" applyBorder="1" applyAlignment="1" applyProtection="1">
      <alignment vertical="center"/>
      <protection locked="0"/>
    </xf>
    <xf numFmtId="164" fontId="10" fillId="0" borderId="49" xfId="0" applyNumberFormat="1" applyFont="1" applyFill="1" applyBorder="1" applyAlignment="1" applyProtection="1">
      <alignment vertical="center"/>
      <protection locked="0"/>
    </xf>
    <xf numFmtId="164" fontId="14" fillId="0" borderId="40" xfId="0" applyNumberFormat="1" applyFont="1" applyFill="1" applyBorder="1" applyAlignment="1" applyProtection="1">
      <alignment vertical="center"/>
      <protection locked="0"/>
    </xf>
    <xf numFmtId="164" fontId="14" fillId="0" borderId="51" xfId="0" applyNumberFormat="1" applyFont="1" applyFill="1" applyBorder="1" applyAlignment="1" applyProtection="1">
      <alignment vertical="center"/>
      <protection locked="0"/>
    </xf>
    <xf numFmtId="164" fontId="10" fillId="0" borderId="49" xfId="0" applyNumberFormat="1" applyFont="1" applyFill="1" applyBorder="1" applyAlignment="1" applyProtection="1">
      <alignment horizontal="center" vertical="center"/>
      <protection locked="0"/>
    </xf>
    <xf numFmtId="164" fontId="10" fillId="0" borderId="50" xfId="0" applyNumberFormat="1" applyFont="1" applyFill="1" applyBorder="1" applyAlignment="1" applyProtection="1">
      <alignment horizontal="center" vertical="center"/>
      <protection locked="0"/>
    </xf>
    <xf numFmtId="164" fontId="10" fillId="0" borderId="40" xfId="0" applyNumberFormat="1" applyFont="1" applyFill="1" applyBorder="1" applyAlignment="1" applyProtection="1">
      <alignment horizontal="center" vertical="center"/>
      <protection locked="0"/>
    </xf>
    <xf numFmtId="164" fontId="10" fillId="0" borderId="42" xfId="0" applyNumberFormat="1" applyFont="1" applyFill="1" applyBorder="1" applyAlignment="1" applyProtection="1">
      <alignment horizontal="center" vertical="center"/>
      <protection locked="0"/>
    </xf>
    <xf numFmtId="164" fontId="16" fillId="0" borderId="42" xfId="0" applyNumberFormat="1" applyFont="1" applyFill="1" applyBorder="1" applyAlignment="1" applyProtection="1">
      <alignment horizontal="center" vertical="center"/>
      <protection locked="0"/>
    </xf>
    <xf numFmtId="164" fontId="10" fillId="0" borderId="46" xfId="0" applyNumberFormat="1" applyFont="1" applyFill="1" applyBorder="1" applyAlignment="1" applyProtection="1">
      <alignment horizontal="center" vertical="center"/>
      <protection locked="0"/>
    </xf>
    <xf numFmtId="164" fontId="15" fillId="0" borderId="49" xfId="0" applyNumberFormat="1" applyFont="1" applyFill="1" applyBorder="1" applyAlignment="1" applyProtection="1">
      <alignment horizontal="right" vertical="center"/>
      <protection locked="0"/>
    </xf>
    <xf numFmtId="164" fontId="16" fillId="0" borderId="40" xfId="0" applyNumberFormat="1" applyFont="1" applyFill="1" applyBorder="1" applyAlignment="1" applyProtection="1">
      <alignment vertical="center"/>
      <protection locked="0"/>
    </xf>
    <xf numFmtId="164" fontId="10" fillId="0" borderId="42" xfId="0" applyNumberFormat="1" applyFont="1" applyFill="1" applyBorder="1" applyAlignment="1" applyProtection="1">
      <alignment horizontal="right" vertical="center"/>
      <protection locked="0"/>
    </xf>
    <xf numFmtId="164" fontId="10" fillId="0" borderId="40" xfId="0" applyNumberFormat="1" applyFont="1" applyFill="1" applyBorder="1" applyAlignment="1" applyProtection="1">
      <alignment horizontal="right" vertical="center"/>
      <protection locked="0"/>
    </xf>
    <xf numFmtId="164" fontId="16" fillId="0" borderId="42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164" fontId="15" fillId="0" borderId="50" xfId="0" applyNumberFormat="1" applyFont="1" applyFill="1" applyBorder="1" applyAlignment="1" applyProtection="1">
      <alignment horizontal="right" vertical="center"/>
      <protection locked="0"/>
    </xf>
    <xf numFmtId="164" fontId="10" fillId="0" borderId="38" xfId="0" applyNumberFormat="1" applyFont="1" applyBorder="1" applyAlignment="1">
      <alignment/>
    </xf>
    <xf numFmtId="164" fontId="14" fillId="0" borderId="42" xfId="0" applyNumberFormat="1" applyFont="1" applyFill="1" applyBorder="1" applyAlignment="1" applyProtection="1">
      <alignment vertical="center"/>
      <protection locked="0"/>
    </xf>
    <xf numFmtId="164" fontId="16" fillId="0" borderId="49" xfId="0" applyNumberFormat="1" applyFont="1" applyFill="1" applyBorder="1" applyAlignment="1" applyProtection="1">
      <alignment vertical="center"/>
      <protection locked="0"/>
    </xf>
    <xf numFmtId="164" fontId="16" fillId="0" borderId="50" xfId="0" applyNumberFormat="1" applyFont="1" applyFill="1" applyBorder="1" applyAlignment="1" applyProtection="1">
      <alignment vertical="center"/>
      <protection locked="0"/>
    </xf>
    <xf numFmtId="164" fontId="10" fillId="0" borderId="38" xfId="0" applyNumberFormat="1" applyFont="1" applyFill="1" applyBorder="1" applyAlignment="1" applyProtection="1">
      <alignment horizontal="right" vertical="center"/>
      <protection locked="0"/>
    </xf>
    <xf numFmtId="164" fontId="16" fillId="0" borderId="42" xfId="0" applyNumberFormat="1" applyFont="1" applyFill="1" applyBorder="1" applyAlignment="1" applyProtection="1">
      <alignment horizontal="right" vertical="center"/>
      <protection locked="0"/>
    </xf>
    <xf numFmtId="164" fontId="16" fillId="0" borderId="49" xfId="0" applyNumberFormat="1" applyFont="1" applyFill="1" applyBorder="1" applyAlignment="1" applyProtection="1">
      <alignment horizontal="right" vertical="center"/>
      <protection locked="0"/>
    </xf>
    <xf numFmtId="164" fontId="10" fillId="0" borderId="50" xfId="0" applyNumberFormat="1" applyFont="1" applyFill="1" applyBorder="1" applyAlignment="1" applyProtection="1">
      <alignment vertical="center"/>
      <protection locked="0"/>
    </xf>
    <xf numFmtId="164" fontId="14" fillId="0" borderId="51" xfId="0" applyNumberFormat="1" applyFont="1" applyFill="1" applyBorder="1" applyAlignment="1" applyProtection="1">
      <alignment horizontal="right" vertical="center"/>
      <protection locked="0"/>
    </xf>
    <xf numFmtId="164" fontId="14" fillId="0" borderId="46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vertical="center"/>
      <protection locked="0"/>
    </xf>
    <xf numFmtId="164" fontId="14" fillId="0" borderId="53" xfId="0" applyNumberFormat="1" applyFont="1" applyFill="1" applyBorder="1" applyAlignment="1" applyProtection="1">
      <alignment horizontal="right" vertical="center"/>
      <protection locked="0"/>
    </xf>
    <xf numFmtId="164" fontId="15" fillId="0" borderId="42" xfId="0" applyNumberFormat="1" applyFont="1" applyFill="1" applyBorder="1" applyAlignment="1" applyProtection="1">
      <alignment vertical="center"/>
      <protection locked="0"/>
    </xf>
    <xf numFmtId="164" fontId="15" fillId="0" borderId="49" xfId="0" applyNumberFormat="1" applyFont="1" applyFill="1" applyBorder="1" applyAlignment="1" applyProtection="1">
      <alignment vertical="center"/>
      <protection locked="0"/>
    </xf>
    <xf numFmtId="164" fontId="15" fillId="0" borderId="50" xfId="0" applyNumberFormat="1" applyFont="1" applyFill="1" applyBorder="1" applyAlignment="1" applyProtection="1">
      <alignment vertical="center"/>
      <protection locked="0"/>
    </xf>
    <xf numFmtId="164" fontId="15" fillId="0" borderId="38" xfId="0" applyNumberFormat="1" applyFont="1" applyFill="1" applyBorder="1" applyAlignment="1" applyProtection="1">
      <alignment vertical="center"/>
      <protection locked="0"/>
    </xf>
    <xf numFmtId="164" fontId="15" fillId="0" borderId="46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7" xfId="0" applyNumberFormat="1" applyFont="1" applyFill="1" applyBorder="1" applyAlignment="1" applyProtection="1">
      <alignment vertical="center"/>
      <protection locked="0"/>
    </xf>
    <xf numFmtId="164" fontId="15" fillId="0" borderId="5" xfId="0" applyNumberFormat="1" applyFont="1" applyFill="1" applyBorder="1" applyAlignment="1" applyProtection="1">
      <alignment horizontal="right" vertical="center"/>
      <protection locked="0"/>
    </xf>
    <xf numFmtId="164" fontId="14" fillId="0" borderId="55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Alignment="1">
      <alignment/>
    </xf>
    <xf numFmtId="164" fontId="14" fillId="0" borderId="0" xfId="0" applyNumberFormat="1" applyFont="1" applyBorder="1" applyAlignment="1">
      <alignment/>
    </xf>
    <xf numFmtId="164" fontId="1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56" xfId="0" applyNumberFormat="1" applyFont="1" applyFill="1" applyBorder="1" applyAlignment="1" applyProtection="1">
      <alignment horizontal="right" vertical="center"/>
      <protection locked="0"/>
    </xf>
    <xf numFmtId="164" fontId="13" fillId="0" borderId="40" xfId="0" applyNumberFormat="1" applyFont="1" applyFill="1" applyBorder="1" applyAlignment="1" applyProtection="1">
      <alignment horizontal="right" vertical="center"/>
      <protection locked="0"/>
    </xf>
    <xf numFmtId="1" fontId="3" fillId="0" borderId="32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3" xfId="20" applyNumberFormat="1" applyFont="1" applyFill="1" applyBorder="1" applyAlignment="1" applyProtection="1">
      <alignment vertical="center" wrapText="1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164" fontId="13" fillId="0" borderId="42" xfId="0" applyNumberFormat="1" applyFont="1" applyFill="1" applyBorder="1" applyAlignment="1" applyProtection="1">
      <alignment horizontal="right" vertical="center"/>
      <protection locked="0"/>
    </xf>
    <xf numFmtId="164" fontId="8" fillId="0" borderId="40" xfId="20" applyNumberFormat="1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Border="1" applyAlignment="1">
      <alignment/>
    </xf>
    <xf numFmtId="164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10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57" xfId="0" applyNumberFormat="1" applyFont="1" applyFill="1" applyBorder="1" applyAlignment="1" applyProtection="1">
      <alignment horizontal="right" vertical="center"/>
      <protection locked="0"/>
    </xf>
    <xf numFmtId="164" fontId="10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6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40" xfId="0" applyNumberFormat="1" applyFont="1" applyFill="1" applyBorder="1" applyAlignment="1" applyProtection="1">
      <alignment horizontal="right" vertical="center"/>
      <protection locked="0"/>
    </xf>
    <xf numFmtId="164" fontId="1" fillId="0" borderId="40" xfId="20" applyNumberFormat="1" applyFont="1" applyFill="1" applyBorder="1" applyAlignment="1" applyProtection="1">
      <alignment horizontal="left" vertical="center" wrapText="1"/>
      <protection locked="0"/>
    </xf>
    <xf numFmtId="164" fontId="14" fillId="0" borderId="49" xfId="0" applyNumberFormat="1" applyFont="1" applyFill="1" applyBorder="1" applyAlignment="1" applyProtection="1">
      <alignment vertical="center"/>
      <protection locked="0"/>
    </xf>
    <xf numFmtId="164" fontId="13" fillId="0" borderId="38" xfId="0" applyNumberFormat="1" applyFont="1" applyFill="1" applyBorder="1" applyAlignment="1" applyProtection="1">
      <alignment horizontal="right" vertical="center"/>
      <protection locked="0"/>
    </xf>
    <xf numFmtId="164" fontId="13" fillId="0" borderId="49" xfId="0" applyNumberFormat="1" applyFont="1" applyFill="1" applyBorder="1" applyAlignment="1" applyProtection="1">
      <alignment horizontal="right" vertical="center"/>
      <protection locked="0"/>
    </xf>
    <xf numFmtId="164" fontId="13" fillId="0" borderId="46" xfId="0" applyNumberFormat="1" applyFont="1" applyFill="1" applyBorder="1" applyAlignment="1" applyProtection="1">
      <alignment horizontal="right" vertical="center"/>
      <protection locked="0"/>
    </xf>
    <xf numFmtId="164" fontId="18" fillId="0" borderId="50" xfId="0" applyNumberFormat="1" applyFont="1" applyFill="1" applyBorder="1" applyAlignment="1" applyProtection="1">
      <alignment vertical="center"/>
      <protection locked="0"/>
    </xf>
    <xf numFmtId="164" fontId="18" fillId="0" borderId="40" xfId="0" applyNumberFormat="1" applyFont="1" applyFill="1" applyBorder="1" applyAlignment="1" applyProtection="1">
      <alignment vertical="center"/>
      <protection locked="0"/>
    </xf>
    <xf numFmtId="164" fontId="13" fillId="0" borderId="51" xfId="0" applyNumberFormat="1" applyFont="1" applyFill="1" applyBorder="1" applyAlignment="1" applyProtection="1">
      <alignment horizontal="right" vertical="center"/>
      <protection locked="0"/>
    </xf>
    <xf numFmtId="164" fontId="13" fillId="0" borderId="43" xfId="0" applyNumberFormat="1" applyFont="1" applyFill="1" applyBorder="1" applyAlignment="1" applyProtection="1">
      <alignment horizontal="right" vertical="center"/>
      <protection locked="0"/>
    </xf>
    <xf numFmtId="164" fontId="13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52" xfId="0" applyNumberFormat="1" applyFont="1" applyFill="1" applyBorder="1" applyAlignment="1" applyProtection="1">
      <alignment horizontal="right" vertical="center"/>
      <protection locked="0"/>
    </xf>
    <xf numFmtId="164" fontId="18" fillId="0" borderId="51" xfId="0" applyNumberFormat="1" applyFont="1" applyFill="1" applyBorder="1" applyAlignment="1" applyProtection="1">
      <alignment vertical="center"/>
      <protection locked="0"/>
    </xf>
    <xf numFmtId="164" fontId="18" fillId="0" borderId="52" xfId="0" applyNumberFormat="1" applyFont="1" applyFill="1" applyBorder="1" applyAlignment="1" applyProtection="1">
      <alignment vertical="center"/>
      <protection locked="0"/>
    </xf>
    <xf numFmtId="164" fontId="18" fillId="0" borderId="43" xfId="0" applyNumberFormat="1" applyFont="1" applyFill="1" applyBorder="1" applyAlignment="1" applyProtection="1">
      <alignment vertical="center"/>
      <protection locked="0"/>
    </xf>
    <xf numFmtId="164" fontId="18" fillId="0" borderId="43" xfId="0" applyNumberFormat="1" applyFont="1" applyFill="1" applyBorder="1" applyAlignment="1" applyProtection="1">
      <alignment horizontal="right" vertical="center"/>
      <protection locked="0"/>
    </xf>
    <xf numFmtId="164" fontId="18" fillId="0" borderId="47" xfId="0" applyNumberFormat="1" applyFont="1" applyFill="1" applyBorder="1" applyAlignment="1" applyProtection="1">
      <alignment vertical="center"/>
      <protection locked="0"/>
    </xf>
    <xf numFmtId="164" fontId="17" fillId="0" borderId="51" xfId="0" applyNumberFormat="1" applyFont="1" applyFill="1" applyBorder="1" applyAlignment="1" applyProtection="1">
      <alignment horizontal="right" vertical="center"/>
      <protection locked="0"/>
    </xf>
    <xf numFmtId="164" fontId="17" fillId="0" borderId="43" xfId="0" applyNumberFormat="1" applyFont="1" applyFill="1" applyBorder="1" applyAlignment="1" applyProtection="1">
      <alignment horizontal="right" vertical="center"/>
      <protection locked="0"/>
    </xf>
    <xf numFmtId="164" fontId="18" fillId="0" borderId="53" xfId="0" applyNumberFormat="1" applyFont="1" applyFill="1" applyBorder="1" applyAlignment="1" applyProtection="1">
      <alignment vertical="center"/>
      <protection locked="0"/>
    </xf>
    <xf numFmtId="164" fontId="18" fillId="0" borderId="38" xfId="0" applyNumberFormat="1" applyFont="1" applyFill="1" applyBorder="1" applyAlignment="1" applyProtection="1">
      <alignment vertical="center"/>
      <protection locked="0"/>
    </xf>
    <xf numFmtId="164" fontId="13" fillId="0" borderId="42" xfId="0" applyNumberFormat="1" applyFont="1" applyFill="1" applyBorder="1" applyAlignment="1" applyProtection="1">
      <alignment vertical="center"/>
      <protection locked="0"/>
    </xf>
    <xf numFmtId="164" fontId="13" fillId="0" borderId="46" xfId="0" applyNumberFormat="1" applyFont="1" applyFill="1" applyBorder="1" applyAlignment="1" applyProtection="1">
      <alignment vertical="center"/>
      <protection locked="0"/>
    </xf>
    <xf numFmtId="164" fontId="13" fillId="0" borderId="40" xfId="0" applyNumberFormat="1" applyFont="1" applyFill="1" applyBorder="1" applyAlignment="1" applyProtection="1">
      <alignment vertical="center"/>
      <protection locked="0"/>
    </xf>
    <xf numFmtId="164" fontId="13" fillId="0" borderId="38" xfId="0" applyNumberFormat="1" applyFont="1" applyFill="1" applyBorder="1" applyAlignment="1" applyProtection="1">
      <alignment vertical="center"/>
      <protection locked="0"/>
    </xf>
    <xf numFmtId="164" fontId="17" fillId="0" borderId="42" xfId="0" applyNumberFormat="1" applyFont="1" applyFill="1" applyBorder="1" applyAlignment="1" applyProtection="1">
      <alignment horizontal="right" vertical="center"/>
      <protection locked="0"/>
    </xf>
    <xf numFmtId="164" fontId="18" fillId="0" borderId="40" xfId="0" applyNumberFormat="1" applyFont="1" applyFill="1" applyBorder="1" applyAlignment="1" applyProtection="1">
      <alignment horizontal="right" vertical="center"/>
      <protection locked="0"/>
    </xf>
    <xf numFmtId="164" fontId="18" fillId="0" borderId="42" xfId="0" applyNumberFormat="1" applyFont="1" applyFill="1" applyBorder="1" applyAlignment="1" applyProtection="1">
      <alignment horizontal="right" vertical="center"/>
      <protection locked="0"/>
    </xf>
    <xf numFmtId="164" fontId="17" fillId="0" borderId="49" xfId="0" applyNumberFormat="1" applyFont="1" applyFill="1" applyBorder="1" applyAlignment="1" applyProtection="1">
      <alignment horizontal="right" vertical="center"/>
      <protection locked="0"/>
    </xf>
    <xf numFmtId="164" fontId="17" fillId="0" borderId="38" xfId="0" applyNumberFormat="1" applyFont="1" applyFill="1" applyBorder="1" applyAlignment="1" applyProtection="1">
      <alignment horizontal="right" vertical="center"/>
      <protection locked="0"/>
    </xf>
    <xf numFmtId="164" fontId="18" fillId="0" borderId="42" xfId="0" applyNumberFormat="1" applyFont="1" applyFill="1" applyBorder="1" applyAlignment="1" applyProtection="1">
      <alignment vertical="center"/>
      <protection locked="0"/>
    </xf>
    <xf numFmtId="164" fontId="18" fillId="0" borderId="46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43" xfId="0" applyNumberFormat="1" applyFont="1" applyFill="1" applyBorder="1" applyAlignment="1" applyProtection="1">
      <alignment vertical="center"/>
      <protection locked="0"/>
    </xf>
    <xf numFmtId="164" fontId="17" fillId="0" borderId="42" xfId="0" applyNumberFormat="1" applyFont="1" applyFill="1" applyBorder="1" applyAlignment="1" applyProtection="1">
      <alignment vertical="center"/>
      <protection locked="0"/>
    </xf>
    <xf numFmtId="164" fontId="13" fillId="0" borderId="8" xfId="0" applyNumberFormat="1" applyFont="1" applyFill="1" applyBorder="1" applyAlignment="1" applyProtection="1">
      <alignment horizontal="right" vertical="center"/>
      <protection locked="0"/>
    </xf>
    <xf numFmtId="164" fontId="13" fillId="0" borderId="53" xfId="0" applyNumberFormat="1" applyFont="1" applyFill="1" applyBorder="1" applyAlignment="1" applyProtection="1">
      <alignment horizontal="right" vertical="center"/>
      <protection locked="0"/>
    </xf>
    <xf numFmtId="164" fontId="13" fillId="0" borderId="50" xfId="0" applyNumberFormat="1" applyFont="1" applyFill="1" applyBorder="1" applyAlignment="1" applyProtection="1">
      <alignment horizontal="right" vertical="center"/>
      <protection locked="0"/>
    </xf>
    <xf numFmtId="164" fontId="18" fillId="0" borderId="38" xfId="0" applyNumberFormat="1" applyFont="1" applyFill="1" applyBorder="1" applyAlignment="1" applyProtection="1">
      <alignment horizontal="right" vertical="center"/>
      <protection locked="0"/>
    </xf>
    <xf numFmtId="164" fontId="17" fillId="0" borderId="5" xfId="0" applyNumberFormat="1" applyFont="1" applyFill="1" applyBorder="1" applyAlignment="1" applyProtection="1">
      <alignment horizontal="right" vertical="center"/>
      <protection locked="0"/>
    </xf>
    <xf numFmtId="164" fontId="13" fillId="0" borderId="5" xfId="0" applyNumberFormat="1" applyFont="1" applyFill="1" applyBorder="1" applyAlignment="1" applyProtection="1">
      <alignment vertical="center"/>
      <protection locked="0"/>
    </xf>
    <xf numFmtId="164" fontId="1" fillId="0" borderId="8" xfId="20" applyNumberFormat="1" applyFont="1" applyFill="1" applyBorder="1" applyAlignment="1" applyProtection="1">
      <alignment horizontal="left" vertical="center" wrapText="1"/>
      <protection locked="0"/>
    </xf>
    <xf numFmtId="164" fontId="19" fillId="0" borderId="42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32" xfId="0" applyNumberFormat="1" applyFont="1" applyBorder="1" applyAlignment="1">
      <alignment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4" fontId="13" fillId="0" borderId="0" xfId="0" applyNumberFormat="1" applyFont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4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5" xfId="0" applyNumberFormat="1" applyFont="1" applyFill="1" applyBorder="1" applyAlignment="1" applyProtection="1">
      <alignment horizontal="right" vertical="center"/>
      <protection locked="0"/>
    </xf>
    <xf numFmtId="164" fontId="17" fillId="0" borderId="52" xfId="0" applyNumberFormat="1" applyFont="1" applyFill="1" applyBorder="1" applyAlignment="1" applyProtection="1">
      <alignment horizontal="right" vertical="center"/>
      <protection locked="0"/>
    </xf>
    <xf numFmtId="164" fontId="17" fillId="0" borderId="53" xfId="0" applyNumberFormat="1" applyFont="1" applyFill="1" applyBorder="1" applyAlignment="1" applyProtection="1">
      <alignment horizontal="right" vertical="center"/>
      <protection locked="0"/>
    </xf>
    <xf numFmtId="164" fontId="17" fillId="0" borderId="47" xfId="0" applyNumberFormat="1" applyFont="1" applyFill="1" applyBorder="1" applyAlignment="1" applyProtection="1">
      <alignment horizontal="right" vertical="center"/>
      <protection locked="0"/>
    </xf>
    <xf numFmtId="164" fontId="13" fillId="0" borderId="57" xfId="0" applyNumberFormat="1" applyFont="1" applyFill="1" applyBorder="1" applyAlignment="1" applyProtection="1">
      <alignment horizontal="right" vertical="center"/>
      <protection locked="0"/>
    </xf>
    <xf numFmtId="164" fontId="13" fillId="0" borderId="35" xfId="0" applyNumberFormat="1" applyFont="1" applyFill="1" applyBorder="1" applyAlignment="1" applyProtection="1">
      <alignment horizontal="right" vertical="center"/>
      <protection locked="0"/>
    </xf>
    <xf numFmtId="164" fontId="13" fillId="0" borderId="58" xfId="0" applyNumberFormat="1" applyFont="1" applyFill="1" applyBorder="1" applyAlignment="1" applyProtection="1">
      <alignment horizontal="right" vertical="center"/>
      <protection locked="0"/>
    </xf>
    <xf numFmtId="164" fontId="13" fillId="0" borderId="4" xfId="0" applyNumberFormat="1" applyFont="1" applyFill="1" applyBorder="1" applyAlignment="1" applyProtection="1">
      <alignment horizontal="right" vertical="center"/>
      <protection locked="0"/>
    </xf>
    <xf numFmtId="164" fontId="13" fillId="0" borderId="45" xfId="0" applyNumberFormat="1" applyFont="1" applyFill="1" applyBorder="1" applyAlignment="1" applyProtection="1">
      <alignment horizontal="right" vertical="center"/>
      <protection locked="0"/>
    </xf>
    <xf numFmtId="164" fontId="13" fillId="0" borderId="41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13" fillId="0" borderId="33" xfId="0" applyNumberFormat="1" applyFont="1" applyFill="1" applyBorder="1" applyAlignment="1" applyProtection="1">
      <alignment horizontal="right" vertical="center"/>
      <protection locked="0"/>
    </xf>
    <xf numFmtId="164" fontId="13" fillId="0" borderId="23" xfId="0" applyNumberFormat="1" applyFont="1" applyFill="1" applyBorder="1" applyAlignment="1" applyProtection="1">
      <alignment horizontal="right" vertical="center"/>
      <protection locked="0"/>
    </xf>
    <xf numFmtId="164" fontId="13" fillId="0" borderId="12" xfId="0" applyNumberFormat="1" applyFont="1" applyFill="1" applyBorder="1" applyAlignment="1" applyProtection="1">
      <alignment horizontal="right" vertical="center"/>
      <protection locked="0"/>
    </xf>
    <xf numFmtId="164" fontId="17" fillId="0" borderId="23" xfId="0" applyNumberFormat="1" applyFont="1" applyFill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7" fillId="0" borderId="58" xfId="0" applyNumberFormat="1" applyFont="1" applyFill="1" applyBorder="1" applyAlignment="1" applyProtection="1">
      <alignment horizontal="right" vertical="center"/>
      <protection locked="0"/>
    </xf>
    <xf numFmtId="164" fontId="17" fillId="0" borderId="50" xfId="0" applyNumberFormat="1" applyFont="1" applyFill="1" applyBorder="1" applyAlignment="1" applyProtection="1">
      <alignment horizontal="right" vertical="center"/>
      <protection locked="0"/>
    </xf>
    <xf numFmtId="164" fontId="3" fillId="0" borderId="0" xfId="20" applyNumberFormat="1" applyFont="1" applyFill="1" applyBorder="1" applyAlignment="1" applyProtection="1">
      <alignment vertical="center" wrapText="1"/>
      <protection locked="0"/>
    </xf>
    <xf numFmtId="164" fontId="8" fillId="0" borderId="2" xfId="20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164" fontId="17" fillId="0" borderId="49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164" fontId="1" fillId="0" borderId="33" xfId="20" applyNumberFormat="1" applyFont="1" applyFill="1" applyBorder="1" applyAlignment="1" applyProtection="1">
      <alignment horizontal="left"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/>
      <protection locked="0"/>
    </xf>
    <xf numFmtId="1" fontId="12" fillId="0" borderId="0" xfId="0" applyNumberFormat="1" applyFont="1" applyFill="1" applyBorder="1" applyAlignment="1" applyProtection="1">
      <alignment horizontal="centerContinuous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1" fontId="12" fillId="0" borderId="4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43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0" fontId="20" fillId="0" borderId="57" xfId="0" applyFont="1" applyBorder="1" applyAlignment="1">
      <alignment vertical="center" wrapText="1"/>
    </xf>
    <xf numFmtId="3" fontId="12" fillId="0" borderId="48" xfId="0" applyNumberFormat="1" applyFont="1" applyFill="1" applyBorder="1" applyAlignment="1" applyProtection="1">
      <alignment vertical="center"/>
      <protection locked="0"/>
    </xf>
    <xf numFmtId="0" fontId="21" fillId="0" borderId="4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Continuous" vertical="center" wrapText="1"/>
    </xf>
    <xf numFmtId="3" fontId="4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1" fontId="12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3" xfId="20" applyNumberFormat="1" applyFont="1" applyFill="1" applyBorder="1" applyAlignment="1" applyProtection="1">
      <alignment vertical="center" wrapText="1"/>
      <protection locked="0"/>
    </xf>
    <xf numFmtId="164" fontId="12" fillId="0" borderId="8" xfId="0" applyNumberFormat="1" applyFont="1" applyFill="1" applyBorder="1" applyAlignment="1" applyProtection="1">
      <alignment horizontal="right" vertical="center"/>
      <protection locked="0"/>
    </xf>
    <xf numFmtId="164" fontId="12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43" xfId="0" applyNumberFormat="1" applyFont="1" applyFill="1" applyBorder="1" applyAlignment="1" applyProtection="1">
      <alignment vertical="center"/>
      <protection locked="0"/>
    </xf>
    <xf numFmtId="164" fontId="3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8" xfId="20" applyNumberFormat="1" applyFont="1" applyFill="1" applyBorder="1" applyAlignment="1" applyProtection="1">
      <alignment vertical="center" wrapText="1"/>
      <protection locked="0"/>
    </xf>
    <xf numFmtId="164" fontId="12" fillId="0" borderId="40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64" fontId="1" fillId="0" borderId="56" xfId="20" applyNumberFormat="1" applyFont="1" applyFill="1" applyBorder="1" applyAlignment="1" applyProtection="1">
      <alignment vertical="center" wrapText="1"/>
      <protection locked="0"/>
    </xf>
    <xf numFmtId="1" fontId="11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8" xfId="20" applyNumberFormat="1" applyFont="1" applyFill="1" applyBorder="1" applyAlignment="1" applyProtection="1">
      <alignment vertical="center" wrapText="1"/>
      <protection locked="0"/>
    </xf>
    <xf numFmtId="3" fontId="11" fillId="0" borderId="7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 locked="0"/>
    </xf>
    <xf numFmtId="3" fontId="11" fillId="0" borderId="21" xfId="0" applyNumberFormat="1" applyFont="1" applyFill="1" applyBorder="1" applyAlignment="1" applyProtection="1">
      <alignment vertical="center"/>
      <protection locked="0"/>
    </xf>
    <xf numFmtId="164" fontId="15" fillId="0" borderId="40" xfId="0" applyNumberFormat="1" applyFont="1" applyFill="1" applyBorder="1" applyAlignment="1" applyProtection="1">
      <alignment vertical="center"/>
      <protection locked="0"/>
    </xf>
    <xf numFmtId="164" fontId="15" fillId="0" borderId="43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4" fontId="10" fillId="0" borderId="40" xfId="0" applyNumberFormat="1" applyFont="1" applyFill="1" applyBorder="1" applyAlignment="1" applyProtection="1">
      <alignment vertical="center"/>
      <protection locked="0"/>
    </xf>
    <xf numFmtId="164" fontId="10" fillId="0" borderId="43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" fontId="3" fillId="0" borderId="32" xfId="0" applyNumberFormat="1" applyFont="1" applyFill="1" applyBorder="1" applyAlignment="1" applyProtection="1">
      <alignment horizontal="centerContinuous"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vertical="center"/>
      <protection locked="0"/>
    </xf>
    <xf numFmtId="164" fontId="14" fillId="0" borderId="47" xfId="0" applyNumberFormat="1" applyFont="1" applyFill="1" applyBorder="1" applyAlignment="1" applyProtection="1">
      <alignment vertical="center"/>
      <protection locked="0"/>
    </xf>
    <xf numFmtId="164" fontId="17" fillId="0" borderId="43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1" fontId="18" fillId="0" borderId="14" xfId="0" applyNumberFormat="1" applyFont="1" applyFill="1" applyBorder="1" applyAlignment="1" applyProtection="1">
      <alignment horizontal="centerContinuous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14" xfId="0" applyNumberFormat="1" applyFont="1" applyFill="1" applyBorder="1" applyAlignment="1" applyProtection="1">
      <alignment horizontal="center" vertical="center"/>
      <protection locked="0"/>
    </xf>
    <xf numFmtId="3" fontId="18" fillId="0" borderId="16" xfId="0" applyNumberFormat="1" applyFont="1" applyFill="1" applyBorder="1" applyAlignment="1" applyProtection="1">
      <alignment horizontal="center" vertical="center"/>
      <protection locked="0"/>
    </xf>
    <xf numFmtId="3" fontId="18" fillId="0" borderId="53" xfId="0" applyNumberFormat="1" applyFont="1" applyFill="1" applyBorder="1" applyAlignment="1" applyProtection="1">
      <alignment horizontal="center" vertical="center"/>
      <protection locked="0"/>
    </xf>
    <xf numFmtId="3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8" fillId="0" borderId="49" xfId="0" applyNumberFormat="1" applyFont="1" applyFill="1" applyBorder="1" applyAlignment="1" applyProtection="1">
      <alignment horizontal="center" vertical="center"/>
      <protection locked="0"/>
    </xf>
    <xf numFmtId="3" fontId="13" fillId="0" borderId="49" xfId="0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0" fontId="1" fillId="0" borderId="45" xfId="0" applyFont="1" applyBorder="1" applyAlignment="1">
      <alignment horizontal="left" vertical="center" wrapText="1"/>
    </xf>
    <xf numFmtId="3" fontId="2" fillId="0" borderId="8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4" fillId="0" borderId="36" xfId="0" applyNumberFormat="1" applyFont="1" applyFill="1" applyBorder="1" applyAlignment="1" applyProtection="1">
      <alignment vertical="center"/>
      <protection locked="0"/>
    </xf>
    <xf numFmtId="164" fontId="13" fillId="0" borderId="47" xfId="0" applyNumberFormat="1" applyFont="1" applyFill="1" applyBorder="1" applyAlignment="1" applyProtection="1">
      <alignment vertical="center"/>
      <protection locked="0"/>
    </xf>
    <xf numFmtId="164" fontId="2" fillId="0" borderId="8" xfId="20" applyNumberFormat="1" applyFont="1" applyFill="1" applyBorder="1" applyAlignment="1" applyProtection="1">
      <alignment vertical="center" wrapText="1"/>
      <protection locked="0"/>
    </xf>
    <xf numFmtId="164" fontId="3" fillId="0" borderId="33" xfId="2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horizontal="right" vertical="center"/>
      <protection locked="0"/>
    </xf>
    <xf numFmtId="164" fontId="17" fillId="0" borderId="40" xfId="0" applyNumberFormat="1" applyFont="1" applyFill="1" applyBorder="1" applyAlignment="1" applyProtection="1">
      <alignment vertical="center"/>
      <protection locked="0"/>
    </xf>
    <xf numFmtId="164" fontId="12" fillId="0" borderId="40" xfId="20" applyNumberFormat="1" applyFont="1" applyFill="1" applyBorder="1" applyAlignment="1" applyProtection="1">
      <alignment vertical="center" wrapText="1"/>
      <protection locked="0"/>
    </xf>
    <xf numFmtId="164" fontId="8" fillId="0" borderId="42" xfId="20" applyNumberFormat="1" applyFont="1" applyFill="1" applyBorder="1" applyAlignment="1" applyProtection="1">
      <alignment vertical="center" wrapText="1"/>
      <protection locked="0"/>
    </xf>
    <xf numFmtId="164" fontId="17" fillId="0" borderId="51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164" fontId="24" fillId="0" borderId="43" xfId="0" applyNumberFormat="1" applyFont="1" applyFill="1" applyBorder="1" applyAlignment="1" applyProtection="1">
      <alignment horizontal="right" vertical="center"/>
      <protection locked="0"/>
    </xf>
    <xf numFmtId="1" fontId="1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23" xfId="20" applyNumberFormat="1" applyFont="1" applyFill="1" applyBorder="1" applyAlignment="1" applyProtection="1">
      <alignment vertical="center" wrapText="1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>
      <alignment horizontal="left" vertical="center" wrapText="1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0" fontId="1" fillId="0" borderId="35" xfId="0" applyFont="1" applyBorder="1" applyAlignment="1">
      <alignment horizontal="left" vertical="center" wrapText="1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1" fontId="1" fillId="0" borderId="32" xfId="0" applyNumberFormat="1" applyFont="1" applyFill="1" applyBorder="1" applyAlignment="1" applyProtection="1">
      <alignment horizontal="center"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horizontal="right" vertical="center"/>
      <protection locked="0"/>
    </xf>
    <xf numFmtId="164" fontId="13" fillId="0" borderId="51" xfId="0" applyNumberFormat="1" applyFont="1" applyFill="1" applyBorder="1" applyAlignment="1" applyProtection="1">
      <alignment vertical="center"/>
      <protection locked="0"/>
    </xf>
    <xf numFmtId="164" fontId="1" fillId="0" borderId="42" xfId="20" applyNumberFormat="1" applyFont="1" applyFill="1" applyBorder="1" applyAlignment="1" applyProtection="1">
      <alignment vertical="center" wrapText="1"/>
      <protection locked="0"/>
    </xf>
    <xf numFmtId="164" fontId="2" fillId="0" borderId="33" xfId="20" applyNumberFormat="1" applyFont="1" applyFill="1" applyBorder="1" applyAlignment="1" applyProtection="1">
      <alignment vertical="center" wrapText="1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164" fontId="18" fillId="0" borderId="47" xfId="0" applyNumberFormat="1" applyFont="1" applyFill="1" applyBorder="1" applyAlignment="1" applyProtection="1">
      <alignment horizontal="right"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164" fontId="14" fillId="0" borderId="38" xfId="0" applyNumberFormat="1" applyFont="1" applyFill="1" applyBorder="1" applyAlignment="1" applyProtection="1">
      <alignment horizontal="right" vertical="center"/>
      <protection locked="0"/>
    </xf>
    <xf numFmtId="164" fontId="17" fillId="0" borderId="50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3"/>
  <sheetViews>
    <sheetView tabSelected="1" workbookViewId="0" topLeftCell="A2">
      <pane xSplit="5" ySplit="5" topLeftCell="F2011" activePane="bottomRight" state="frozen"/>
      <selection pane="topLeft" activeCell="A2" sqref="A2"/>
      <selection pane="topRight" activeCell="F2" sqref="F2"/>
      <selection pane="bottomLeft" activeCell="A7" sqref="A7"/>
      <selection pane="bottomRight" activeCell="A2022" sqref="A2022"/>
    </sheetView>
  </sheetViews>
  <sheetFormatPr defaultColWidth="9.00390625" defaultRowHeight="12.75"/>
  <cols>
    <col min="1" max="1" width="5.75390625" style="1" customWidth="1"/>
    <col min="2" max="2" width="18.75390625" style="2" customWidth="1"/>
    <col min="3" max="3" width="11.375" style="3" customWidth="1"/>
    <col min="4" max="4" width="13.625" style="4" customWidth="1"/>
    <col min="5" max="5" width="12.75390625" style="3" customWidth="1"/>
    <col min="6" max="6" width="4.25390625" style="497" customWidth="1"/>
    <col min="7" max="7" width="12.00390625" style="3" customWidth="1"/>
    <col min="8" max="8" width="11.125" style="3" customWidth="1"/>
    <col min="9" max="9" width="4.00390625" style="411" customWidth="1"/>
    <col min="10" max="11" width="12.375" style="3" customWidth="1"/>
    <col min="12" max="12" width="4.00390625" style="419" customWidth="1"/>
    <col min="13" max="13" width="11.00390625" style="3" customWidth="1"/>
    <col min="14" max="14" width="10.125" style="3" customWidth="1"/>
    <col min="15" max="15" width="4.00390625" style="411" customWidth="1"/>
    <col min="16" max="16" width="11.375" style="3" customWidth="1"/>
    <col min="17" max="17" width="9.375" style="3" customWidth="1"/>
    <col min="18" max="18" width="4.00390625" style="411" customWidth="1"/>
    <col min="19" max="16384" width="9.125" style="6" customWidth="1"/>
  </cols>
  <sheetData>
    <row r="1" spans="13:14" ht="12.75" hidden="1">
      <c r="M1" s="5"/>
      <c r="N1" s="5"/>
    </row>
    <row r="2" spans="1:18" ht="15.75">
      <c r="A2" s="7"/>
      <c r="B2" s="8"/>
      <c r="C2" s="9"/>
      <c r="D2" s="10"/>
      <c r="E2" s="9"/>
      <c r="F2" s="498"/>
      <c r="G2" s="9"/>
      <c r="H2" s="9"/>
      <c r="I2" s="412"/>
      <c r="J2" s="9"/>
      <c r="K2" s="9"/>
      <c r="L2" s="420"/>
      <c r="M2" s="9"/>
      <c r="N2" s="9"/>
      <c r="O2" s="434"/>
      <c r="P2" s="14"/>
      <c r="Q2" s="15" t="s">
        <v>80</v>
      </c>
      <c r="R2" s="412"/>
    </row>
    <row r="3" spans="1:18" s="21" customFormat="1" ht="29.25" customHeight="1">
      <c r="A3" s="16" t="s">
        <v>245</v>
      </c>
      <c r="B3" s="17"/>
      <c r="C3" s="18"/>
      <c r="D3" s="19"/>
      <c r="E3" s="18"/>
      <c r="F3" s="499"/>
      <c r="G3" s="18"/>
      <c r="H3" s="18"/>
      <c r="I3" s="413"/>
      <c r="J3" s="18"/>
      <c r="K3" s="18"/>
      <c r="L3" s="441"/>
      <c r="M3" s="19"/>
      <c r="N3" s="19"/>
      <c r="O3" s="413"/>
      <c r="P3" s="20"/>
      <c r="Q3" s="20"/>
      <c r="R3" s="413"/>
    </row>
    <row r="4" spans="1:18" ht="12" customHeight="1" thickBot="1">
      <c r="A4" s="22"/>
      <c r="B4" s="23"/>
      <c r="C4" s="24"/>
      <c r="D4" s="19"/>
      <c r="E4" s="24"/>
      <c r="F4" s="499"/>
      <c r="G4" s="24"/>
      <c r="H4" s="24"/>
      <c r="I4" s="413"/>
      <c r="J4" s="24"/>
      <c r="K4" s="24"/>
      <c r="L4" s="421"/>
      <c r="M4" s="25"/>
      <c r="N4" s="25"/>
      <c r="O4" s="435"/>
      <c r="P4" s="26" t="s">
        <v>447</v>
      </c>
      <c r="Q4" s="20"/>
      <c r="R4" s="413"/>
    </row>
    <row r="5" spans="1:18" s="37" customFormat="1" ht="26.25" thickTop="1">
      <c r="A5" s="27" t="s">
        <v>448</v>
      </c>
      <c r="B5" s="28"/>
      <c r="C5" s="29" t="s">
        <v>449</v>
      </c>
      <c r="D5" s="30"/>
      <c r="E5" s="31"/>
      <c r="F5" s="500"/>
      <c r="G5" s="32" t="s">
        <v>213</v>
      </c>
      <c r="H5" s="33"/>
      <c r="I5" s="414"/>
      <c r="J5" s="538" t="s">
        <v>665</v>
      </c>
      <c r="K5" s="34"/>
      <c r="L5" s="442"/>
      <c r="M5" s="35" t="s">
        <v>219</v>
      </c>
      <c r="N5" s="36"/>
      <c r="O5" s="436"/>
      <c r="P5" s="539" t="s">
        <v>669</v>
      </c>
      <c r="Q5" s="36"/>
      <c r="R5" s="439"/>
    </row>
    <row r="6" spans="1:18" s="47" customFormat="1" ht="36" customHeight="1" thickBot="1">
      <c r="A6" s="38" t="s">
        <v>434</v>
      </c>
      <c r="B6" s="39" t="s">
        <v>450</v>
      </c>
      <c r="C6" s="40" t="s">
        <v>451</v>
      </c>
      <c r="D6" s="41" t="s">
        <v>452</v>
      </c>
      <c r="E6" s="41" t="s">
        <v>453</v>
      </c>
      <c r="F6" s="422" t="s">
        <v>454</v>
      </c>
      <c r="G6" s="42" t="s">
        <v>455</v>
      </c>
      <c r="H6" s="43" t="s">
        <v>453</v>
      </c>
      <c r="I6" s="415" t="s">
        <v>456</v>
      </c>
      <c r="J6" s="42" t="s">
        <v>455</v>
      </c>
      <c r="K6" s="44" t="s">
        <v>453</v>
      </c>
      <c r="L6" s="437" t="s">
        <v>457</v>
      </c>
      <c r="M6" s="42" t="s">
        <v>455</v>
      </c>
      <c r="N6" s="45" t="s">
        <v>453</v>
      </c>
      <c r="O6" s="437" t="s">
        <v>457</v>
      </c>
      <c r="P6" s="42" t="s">
        <v>455</v>
      </c>
      <c r="Q6" s="46" t="s">
        <v>453</v>
      </c>
      <c r="R6" s="437" t="s">
        <v>456</v>
      </c>
    </row>
    <row r="7" spans="1:18" s="579" customFormat="1" ht="10.5" customHeight="1" thickBot="1" thickTop="1">
      <c r="A7" s="571">
        <v>1</v>
      </c>
      <c r="B7" s="572">
        <v>2</v>
      </c>
      <c r="C7" s="573">
        <v>3</v>
      </c>
      <c r="D7" s="574">
        <v>4</v>
      </c>
      <c r="E7" s="574">
        <v>5</v>
      </c>
      <c r="F7" s="575">
        <v>6</v>
      </c>
      <c r="G7" s="574">
        <v>7</v>
      </c>
      <c r="H7" s="576">
        <v>8</v>
      </c>
      <c r="I7" s="577">
        <v>9</v>
      </c>
      <c r="J7" s="576">
        <v>10</v>
      </c>
      <c r="K7" s="574">
        <v>11</v>
      </c>
      <c r="L7" s="578">
        <v>12</v>
      </c>
      <c r="M7" s="576">
        <v>13</v>
      </c>
      <c r="N7" s="574">
        <v>14</v>
      </c>
      <c r="O7" s="577">
        <v>15</v>
      </c>
      <c r="P7" s="576">
        <v>16</v>
      </c>
      <c r="Q7" s="576">
        <v>17</v>
      </c>
      <c r="R7" s="577">
        <v>18</v>
      </c>
    </row>
    <row r="8" spans="1:18" s="54" customFormat="1" ht="26.25" customHeight="1" thickBot="1" thickTop="1">
      <c r="A8" s="48" t="s">
        <v>458</v>
      </c>
      <c r="B8" s="49" t="s">
        <v>459</v>
      </c>
      <c r="C8" s="50">
        <f>C11+C29</f>
        <v>3000</v>
      </c>
      <c r="D8" s="51">
        <f aca="true" t="shared" si="0" ref="D8:E10">G8+J8+P8+M8</f>
        <v>5135.54</v>
      </c>
      <c r="E8" s="51">
        <f t="shared" si="0"/>
        <v>3534.54</v>
      </c>
      <c r="F8" s="480">
        <f>E8/D8*100</f>
        <v>68.82508947452459</v>
      </c>
      <c r="G8" s="52">
        <f>G29</f>
        <v>3000</v>
      </c>
      <c r="H8" s="52">
        <f>H29</f>
        <v>1399</v>
      </c>
      <c r="I8" s="343">
        <f>H8/G8*100</f>
        <v>46.63333333333333</v>
      </c>
      <c r="J8" s="104">
        <f>J31</f>
        <v>2135.54</v>
      </c>
      <c r="K8" s="98">
        <f>K31</f>
        <v>2135.54</v>
      </c>
      <c r="L8" s="522">
        <f>K8/J8*100</f>
        <v>100</v>
      </c>
      <c r="M8" s="53"/>
      <c r="N8" s="53"/>
      <c r="O8" s="381"/>
      <c r="P8" s="52"/>
      <c r="Q8" s="52"/>
      <c r="R8" s="343"/>
    </row>
    <row r="9" spans="1:18" s="54" customFormat="1" ht="26.25" customHeight="1" hidden="1">
      <c r="A9" s="55" t="s">
        <v>460</v>
      </c>
      <c r="B9" s="56" t="s">
        <v>461</v>
      </c>
      <c r="C9" s="57"/>
      <c r="D9" s="58">
        <f t="shared" si="0"/>
        <v>0</v>
      </c>
      <c r="E9" s="58">
        <f t="shared" si="0"/>
        <v>0</v>
      </c>
      <c r="F9" s="501" t="e">
        <f>E9/D9*100</f>
        <v>#DIV/0!</v>
      </c>
      <c r="G9" s="59"/>
      <c r="H9" s="60"/>
      <c r="I9" s="344"/>
      <c r="J9" s="254"/>
      <c r="K9" s="173"/>
      <c r="L9" s="408"/>
      <c r="M9" s="61"/>
      <c r="N9" s="61"/>
      <c r="O9" s="382"/>
      <c r="P9" s="59">
        <f>SUM(P10)</f>
        <v>0</v>
      </c>
      <c r="Q9" s="59">
        <f>SUM(Q10)</f>
        <v>0</v>
      </c>
      <c r="R9" s="344" t="e">
        <f>Q9/P9*100</f>
        <v>#DIV/0!</v>
      </c>
    </row>
    <row r="10" spans="1:18" s="70" customFormat="1" ht="15.75" customHeight="1" hidden="1">
      <c r="A10" s="62" t="s">
        <v>462</v>
      </c>
      <c r="B10" s="63" t="s">
        <v>463</v>
      </c>
      <c r="C10" s="64"/>
      <c r="D10" s="65">
        <f t="shared" si="0"/>
        <v>0</v>
      </c>
      <c r="E10" s="65">
        <f t="shared" si="0"/>
        <v>0</v>
      </c>
      <c r="F10" s="452" t="e">
        <f>E10/D10*100</f>
        <v>#DIV/0!</v>
      </c>
      <c r="G10" s="66"/>
      <c r="H10" s="67"/>
      <c r="I10" s="211"/>
      <c r="J10" s="162"/>
      <c r="K10" s="65"/>
      <c r="L10" s="379"/>
      <c r="M10" s="69"/>
      <c r="N10" s="69"/>
      <c r="O10" s="383"/>
      <c r="P10" s="66"/>
      <c r="Q10" s="66"/>
      <c r="R10" s="289" t="e">
        <f>Q10/P10*100</f>
        <v>#DIV/0!</v>
      </c>
    </row>
    <row r="11" spans="1:18" s="54" customFormat="1" ht="15" customHeight="1" hidden="1">
      <c r="A11" s="71" t="s">
        <v>464</v>
      </c>
      <c r="B11" s="72" t="s">
        <v>465</v>
      </c>
      <c r="C11" s="73">
        <f>SUM(C12:C28)</f>
        <v>0</v>
      </c>
      <c r="D11" s="74">
        <f>SUM(D12:D28)</f>
        <v>0</v>
      </c>
      <c r="E11" s="75">
        <f aca="true" t="shared" si="1" ref="E11:E28">SUM(H11+K11+N11+Q11)</f>
        <v>0</v>
      </c>
      <c r="F11" s="451" t="e">
        <f>E11/D11*100</f>
        <v>#DIV/0!</v>
      </c>
      <c r="G11" s="76"/>
      <c r="H11" s="77"/>
      <c r="I11" s="384"/>
      <c r="J11" s="110"/>
      <c r="K11" s="75"/>
      <c r="L11" s="406"/>
      <c r="M11" s="76"/>
      <c r="N11" s="76"/>
      <c r="O11" s="384"/>
      <c r="P11" s="78">
        <f>SUM(P12:P28)</f>
        <v>0</v>
      </c>
      <c r="Q11" s="78">
        <f>SUM(Q12:Q28)</f>
        <v>0</v>
      </c>
      <c r="R11" s="301" t="e">
        <f>Q11/P11*100</f>
        <v>#DIV/0!</v>
      </c>
    </row>
    <row r="12" spans="1:18" s="70" customFormat="1" ht="36.75" hidden="1" thickTop="1">
      <c r="A12" s="62" t="s">
        <v>466</v>
      </c>
      <c r="B12" s="63" t="s">
        <v>467</v>
      </c>
      <c r="C12" s="79"/>
      <c r="D12" s="65">
        <f aca="true" t="shared" si="2" ref="D12:D38">G12+J12+P12+M12</f>
        <v>0</v>
      </c>
      <c r="E12" s="80">
        <f t="shared" si="1"/>
        <v>0</v>
      </c>
      <c r="F12" s="454" t="e">
        <f>E12/D12*100</f>
        <v>#DIV/0!</v>
      </c>
      <c r="G12" s="69"/>
      <c r="H12" s="68"/>
      <c r="I12" s="383"/>
      <c r="J12" s="162"/>
      <c r="K12" s="65"/>
      <c r="L12" s="379"/>
      <c r="M12" s="69"/>
      <c r="N12" s="69"/>
      <c r="O12" s="383"/>
      <c r="P12" s="81"/>
      <c r="Q12" s="82"/>
      <c r="R12" s="211" t="e">
        <f>Q12/P12*100</f>
        <v>#DIV/0!</v>
      </c>
    </row>
    <row r="13" spans="1:18" s="70" customFormat="1" ht="24.75" hidden="1" thickTop="1">
      <c r="A13" s="62" t="s">
        <v>468</v>
      </c>
      <c r="B13" s="63" t="s">
        <v>469</v>
      </c>
      <c r="C13" s="79"/>
      <c r="D13" s="65">
        <f t="shared" si="2"/>
        <v>0</v>
      </c>
      <c r="E13" s="80">
        <f t="shared" si="1"/>
        <v>0</v>
      </c>
      <c r="F13" s="452" t="e">
        <f aca="true" t="shared" si="3" ref="F13:F61">E13/D13*100</f>
        <v>#DIV/0!</v>
      </c>
      <c r="G13" s="69"/>
      <c r="H13" s="68"/>
      <c r="I13" s="383"/>
      <c r="J13" s="162"/>
      <c r="K13" s="65"/>
      <c r="L13" s="379"/>
      <c r="M13" s="69"/>
      <c r="N13" s="69"/>
      <c r="O13" s="383"/>
      <c r="P13" s="79"/>
      <c r="Q13" s="66"/>
      <c r="R13" s="211" t="e">
        <f aca="true" t="shared" si="4" ref="R13:R28">Q13/P13*100</f>
        <v>#DIV/0!</v>
      </c>
    </row>
    <row r="14" spans="1:18" s="70" customFormat="1" ht="24.75" customHeight="1" hidden="1">
      <c r="A14" s="62" t="s">
        <v>470</v>
      </c>
      <c r="B14" s="63" t="s">
        <v>471</v>
      </c>
      <c r="C14" s="79"/>
      <c r="D14" s="65">
        <f t="shared" si="2"/>
        <v>0</v>
      </c>
      <c r="E14" s="80">
        <f t="shared" si="1"/>
        <v>0</v>
      </c>
      <c r="F14" s="452" t="e">
        <f t="shared" si="3"/>
        <v>#DIV/0!</v>
      </c>
      <c r="G14" s="69"/>
      <c r="H14" s="68"/>
      <c r="I14" s="383"/>
      <c r="J14" s="162"/>
      <c r="K14" s="65"/>
      <c r="L14" s="379"/>
      <c r="M14" s="69"/>
      <c r="N14" s="69"/>
      <c r="O14" s="383"/>
      <c r="P14" s="79"/>
      <c r="Q14" s="66"/>
      <c r="R14" s="211" t="e">
        <f t="shared" si="4"/>
        <v>#DIV/0!</v>
      </c>
    </row>
    <row r="15" spans="1:18" s="70" customFormat="1" ht="36.75" hidden="1" thickTop="1">
      <c r="A15" s="62" t="s">
        <v>472</v>
      </c>
      <c r="B15" s="63" t="s">
        <v>473</v>
      </c>
      <c r="C15" s="79"/>
      <c r="D15" s="65">
        <f t="shared" si="2"/>
        <v>0</v>
      </c>
      <c r="E15" s="80">
        <f t="shared" si="1"/>
        <v>0</v>
      </c>
      <c r="F15" s="452" t="e">
        <f t="shared" si="3"/>
        <v>#DIV/0!</v>
      </c>
      <c r="G15" s="69"/>
      <c r="H15" s="68"/>
      <c r="I15" s="383"/>
      <c r="J15" s="162"/>
      <c r="K15" s="65"/>
      <c r="L15" s="379"/>
      <c r="M15" s="69"/>
      <c r="N15" s="69"/>
      <c r="O15" s="383"/>
      <c r="P15" s="79"/>
      <c r="Q15" s="66"/>
      <c r="R15" s="211" t="e">
        <f t="shared" si="4"/>
        <v>#DIV/0!</v>
      </c>
    </row>
    <row r="16" spans="1:18" s="70" customFormat="1" ht="24.75" hidden="1" thickTop="1">
      <c r="A16" s="62" t="s">
        <v>474</v>
      </c>
      <c r="B16" s="63" t="s">
        <v>475</v>
      </c>
      <c r="C16" s="79"/>
      <c r="D16" s="65">
        <f t="shared" si="2"/>
        <v>0</v>
      </c>
      <c r="E16" s="80">
        <f t="shared" si="1"/>
        <v>0</v>
      </c>
      <c r="F16" s="452" t="e">
        <f t="shared" si="3"/>
        <v>#DIV/0!</v>
      </c>
      <c r="G16" s="69"/>
      <c r="H16" s="68"/>
      <c r="I16" s="383"/>
      <c r="J16" s="162"/>
      <c r="K16" s="65"/>
      <c r="L16" s="379"/>
      <c r="M16" s="69"/>
      <c r="N16" s="69"/>
      <c r="O16" s="383"/>
      <c r="P16" s="79"/>
      <c r="Q16" s="66"/>
      <c r="R16" s="211" t="e">
        <f t="shared" si="4"/>
        <v>#DIV/0!</v>
      </c>
    </row>
    <row r="17" spans="1:18" s="70" customFormat="1" ht="24.75" hidden="1" thickTop="1">
      <c r="A17" s="62" t="s">
        <v>476</v>
      </c>
      <c r="B17" s="63" t="s">
        <v>477</v>
      </c>
      <c r="C17" s="79"/>
      <c r="D17" s="65">
        <f t="shared" si="2"/>
        <v>0</v>
      </c>
      <c r="E17" s="80">
        <f t="shared" si="1"/>
        <v>0</v>
      </c>
      <c r="F17" s="452" t="e">
        <f t="shared" si="3"/>
        <v>#DIV/0!</v>
      </c>
      <c r="G17" s="69"/>
      <c r="H17" s="68"/>
      <c r="I17" s="383"/>
      <c r="J17" s="162"/>
      <c r="K17" s="65"/>
      <c r="L17" s="379"/>
      <c r="M17" s="69"/>
      <c r="N17" s="69"/>
      <c r="O17" s="383"/>
      <c r="P17" s="79"/>
      <c r="Q17" s="66"/>
      <c r="R17" s="211" t="e">
        <f t="shared" si="4"/>
        <v>#DIV/0!</v>
      </c>
    </row>
    <row r="18" spans="1:18" s="70" customFormat="1" ht="13.5" hidden="1" thickTop="1">
      <c r="A18" s="62" t="s">
        <v>478</v>
      </c>
      <c r="B18" s="63" t="s">
        <v>479</v>
      </c>
      <c r="C18" s="79"/>
      <c r="D18" s="65">
        <f t="shared" si="2"/>
        <v>0</v>
      </c>
      <c r="E18" s="80">
        <f t="shared" si="1"/>
        <v>0</v>
      </c>
      <c r="F18" s="452" t="e">
        <f t="shared" si="3"/>
        <v>#DIV/0!</v>
      </c>
      <c r="G18" s="69"/>
      <c r="H18" s="68"/>
      <c r="I18" s="383"/>
      <c r="J18" s="162"/>
      <c r="K18" s="65"/>
      <c r="L18" s="379"/>
      <c r="M18" s="69"/>
      <c r="N18" s="69"/>
      <c r="O18" s="383"/>
      <c r="P18" s="79"/>
      <c r="Q18" s="66"/>
      <c r="R18" s="211" t="e">
        <f t="shared" si="4"/>
        <v>#DIV/0!</v>
      </c>
    </row>
    <row r="19" spans="1:18" s="70" customFormat="1" ht="24.75" hidden="1" thickTop="1">
      <c r="A19" s="62" t="s">
        <v>480</v>
      </c>
      <c r="B19" s="63" t="s">
        <v>481</v>
      </c>
      <c r="C19" s="79"/>
      <c r="D19" s="65">
        <f t="shared" si="2"/>
        <v>0</v>
      </c>
      <c r="E19" s="80">
        <f t="shared" si="1"/>
        <v>0</v>
      </c>
      <c r="F19" s="452" t="e">
        <f t="shared" si="3"/>
        <v>#DIV/0!</v>
      </c>
      <c r="G19" s="69"/>
      <c r="H19" s="68"/>
      <c r="I19" s="383"/>
      <c r="J19" s="162"/>
      <c r="K19" s="65"/>
      <c r="L19" s="379"/>
      <c r="M19" s="69"/>
      <c r="N19" s="69"/>
      <c r="O19" s="383"/>
      <c r="P19" s="79"/>
      <c r="Q19" s="66"/>
      <c r="R19" s="211" t="e">
        <f t="shared" si="4"/>
        <v>#DIV/0!</v>
      </c>
    </row>
    <row r="20" spans="1:18" s="70" customFormat="1" ht="24.75" hidden="1" thickTop="1">
      <c r="A20" s="62" t="s">
        <v>482</v>
      </c>
      <c r="B20" s="63" t="s">
        <v>483</v>
      </c>
      <c r="C20" s="79"/>
      <c r="D20" s="65">
        <f t="shared" si="2"/>
        <v>0</v>
      </c>
      <c r="E20" s="80">
        <f t="shared" si="1"/>
        <v>0</v>
      </c>
      <c r="F20" s="452" t="e">
        <f t="shared" si="3"/>
        <v>#DIV/0!</v>
      </c>
      <c r="G20" s="69"/>
      <c r="H20" s="68"/>
      <c r="I20" s="383"/>
      <c r="J20" s="162"/>
      <c r="K20" s="65"/>
      <c r="L20" s="379"/>
      <c r="M20" s="69"/>
      <c r="N20" s="69"/>
      <c r="O20" s="383"/>
      <c r="P20" s="79"/>
      <c r="Q20" s="66"/>
      <c r="R20" s="211" t="e">
        <f t="shared" si="4"/>
        <v>#DIV/0!</v>
      </c>
    </row>
    <row r="21" spans="1:18" s="70" customFormat="1" ht="13.5" hidden="1" thickTop="1">
      <c r="A21" s="62" t="s">
        <v>484</v>
      </c>
      <c r="B21" s="63" t="s">
        <v>485</v>
      </c>
      <c r="C21" s="79"/>
      <c r="D21" s="65">
        <f t="shared" si="2"/>
        <v>0</v>
      </c>
      <c r="E21" s="80">
        <f t="shared" si="1"/>
        <v>0</v>
      </c>
      <c r="F21" s="452" t="e">
        <f t="shared" si="3"/>
        <v>#DIV/0!</v>
      </c>
      <c r="G21" s="69"/>
      <c r="H21" s="68"/>
      <c r="I21" s="383"/>
      <c r="J21" s="162"/>
      <c r="K21" s="65"/>
      <c r="L21" s="379"/>
      <c r="M21" s="69"/>
      <c r="N21" s="69"/>
      <c r="O21" s="383"/>
      <c r="P21" s="79"/>
      <c r="Q21" s="66"/>
      <c r="R21" s="211" t="e">
        <f t="shared" si="4"/>
        <v>#DIV/0!</v>
      </c>
    </row>
    <row r="22" spans="1:18" s="70" customFormat="1" ht="24.75" hidden="1" thickTop="1">
      <c r="A22" s="62" t="s">
        <v>486</v>
      </c>
      <c r="B22" s="63" t="s">
        <v>487</v>
      </c>
      <c r="C22" s="79"/>
      <c r="D22" s="65">
        <f t="shared" si="2"/>
        <v>0</v>
      </c>
      <c r="E22" s="80">
        <f t="shared" si="1"/>
        <v>0</v>
      </c>
      <c r="F22" s="452" t="e">
        <f t="shared" si="3"/>
        <v>#DIV/0!</v>
      </c>
      <c r="G22" s="69"/>
      <c r="H22" s="68"/>
      <c r="I22" s="383"/>
      <c r="J22" s="162"/>
      <c r="K22" s="65"/>
      <c r="L22" s="379"/>
      <c r="M22" s="69"/>
      <c r="N22" s="69"/>
      <c r="O22" s="383"/>
      <c r="P22" s="79"/>
      <c r="Q22" s="66"/>
      <c r="R22" s="211" t="e">
        <f t="shared" si="4"/>
        <v>#DIV/0!</v>
      </c>
    </row>
    <row r="23" spans="1:18" s="70" customFormat="1" ht="24.75" hidden="1" thickTop="1">
      <c r="A23" s="62" t="s">
        <v>488</v>
      </c>
      <c r="B23" s="63" t="s">
        <v>489</v>
      </c>
      <c r="C23" s="79"/>
      <c r="D23" s="65">
        <f t="shared" si="2"/>
        <v>0</v>
      </c>
      <c r="E23" s="80">
        <f t="shared" si="1"/>
        <v>0</v>
      </c>
      <c r="F23" s="452" t="e">
        <f t="shared" si="3"/>
        <v>#DIV/0!</v>
      </c>
      <c r="G23" s="69"/>
      <c r="H23" s="68"/>
      <c r="I23" s="383"/>
      <c r="J23" s="162"/>
      <c r="K23" s="65"/>
      <c r="L23" s="379"/>
      <c r="M23" s="69"/>
      <c r="N23" s="69"/>
      <c r="O23" s="383"/>
      <c r="P23" s="79"/>
      <c r="Q23" s="66"/>
      <c r="R23" s="211" t="e">
        <f t="shared" si="4"/>
        <v>#DIV/0!</v>
      </c>
    </row>
    <row r="24" spans="1:18" s="70" customFormat="1" ht="24.75" hidden="1" thickTop="1">
      <c r="A24" s="62" t="s">
        <v>462</v>
      </c>
      <c r="B24" s="63" t="s">
        <v>463</v>
      </c>
      <c r="C24" s="79"/>
      <c r="D24" s="65">
        <f t="shared" si="2"/>
        <v>0</v>
      </c>
      <c r="E24" s="80">
        <f t="shared" si="1"/>
        <v>0</v>
      </c>
      <c r="F24" s="452" t="e">
        <f t="shared" si="3"/>
        <v>#DIV/0!</v>
      </c>
      <c r="G24" s="69"/>
      <c r="H24" s="68"/>
      <c r="I24" s="383"/>
      <c r="J24" s="162"/>
      <c r="K24" s="65"/>
      <c r="L24" s="379"/>
      <c r="M24" s="69"/>
      <c r="N24" s="69"/>
      <c r="O24" s="383"/>
      <c r="P24" s="79"/>
      <c r="Q24" s="66"/>
      <c r="R24" s="211" t="e">
        <f t="shared" si="4"/>
        <v>#DIV/0!</v>
      </c>
    </row>
    <row r="25" spans="1:18" s="70" customFormat="1" ht="13.5" hidden="1" thickTop="1">
      <c r="A25" s="62" t="s">
        <v>490</v>
      </c>
      <c r="B25" s="63" t="s">
        <v>491</v>
      </c>
      <c r="C25" s="79"/>
      <c r="D25" s="65">
        <f t="shared" si="2"/>
        <v>0</v>
      </c>
      <c r="E25" s="80">
        <f t="shared" si="1"/>
        <v>0</v>
      </c>
      <c r="F25" s="452" t="e">
        <f t="shared" si="3"/>
        <v>#DIV/0!</v>
      </c>
      <c r="G25" s="69"/>
      <c r="H25" s="68"/>
      <c r="I25" s="383"/>
      <c r="J25" s="162"/>
      <c r="K25" s="65"/>
      <c r="L25" s="379"/>
      <c r="M25" s="69"/>
      <c r="N25" s="69"/>
      <c r="O25" s="383"/>
      <c r="P25" s="79"/>
      <c r="Q25" s="66"/>
      <c r="R25" s="211" t="e">
        <f t="shared" si="4"/>
        <v>#DIV/0!</v>
      </c>
    </row>
    <row r="26" spans="1:18" s="70" customFormat="1" ht="13.5" hidden="1" thickTop="1">
      <c r="A26" s="62" t="s">
        <v>492</v>
      </c>
      <c r="B26" s="63" t="s">
        <v>493</v>
      </c>
      <c r="C26" s="79"/>
      <c r="D26" s="65">
        <f t="shared" si="2"/>
        <v>0</v>
      </c>
      <c r="E26" s="80">
        <f t="shared" si="1"/>
        <v>0</v>
      </c>
      <c r="F26" s="452" t="e">
        <f t="shared" si="3"/>
        <v>#DIV/0!</v>
      </c>
      <c r="G26" s="69"/>
      <c r="H26" s="68"/>
      <c r="I26" s="383"/>
      <c r="J26" s="162"/>
      <c r="K26" s="65"/>
      <c r="L26" s="379"/>
      <c r="M26" s="69"/>
      <c r="N26" s="69"/>
      <c r="O26" s="383"/>
      <c r="P26" s="79"/>
      <c r="Q26" s="66"/>
      <c r="R26" s="211" t="e">
        <f t="shared" si="4"/>
        <v>#DIV/0!</v>
      </c>
    </row>
    <row r="27" spans="1:18" s="70" customFormat="1" ht="24.75" hidden="1" thickTop="1">
      <c r="A27" s="62" t="s">
        <v>494</v>
      </c>
      <c r="B27" s="63" t="s">
        <v>495</v>
      </c>
      <c r="C27" s="79"/>
      <c r="D27" s="65">
        <f t="shared" si="2"/>
        <v>0</v>
      </c>
      <c r="E27" s="80">
        <f t="shared" si="1"/>
        <v>0</v>
      </c>
      <c r="F27" s="452" t="e">
        <f t="shared" si="3"/>
        <v>#DIV/0!</v>
      </c>
      <c r="G27" s="69"/>
      <c r="H27" s="68"/>
      <c r="I27" s="383"/>
      <c r="J27" s="162"/>
      <c r="K27" s="65"/>
      <c r="L27" s="379"/>
      <c r="M27" s="69"/>
      <c r="N27" s="69"/>
      <c r="O27" s="383"/>
      <c r="P27" s="79"/>
      <c r="Q27" s="66"/>
      <c r="R27" s="211" t="e">
        <f t="shared" si="4"/>
        <v>#DIV/0!</v>
      </c>
    </row>
    <row r="28" spans="1:18" s="70" customFormat="1" ht="24.75" hidden="1" thickTop="1">
      <c r="A28" s="62" t="s">
        <v>496</v>
      </c>
      <c r="B28" s="63" t="s">
        <v>497</v>
      </c>
      <c r="C28" s="79"/>
      <c r="D28" s="65">
        <f t="shared" si="2"/>
        <v>0</v>
      </c>
      <c r="E28" s="80">
        <f t="shared" si="1"/>
        <v>0</v>
      </c>
      <c r="F28" s="452" t="e">
        <f t="shared" si="3"/>
        <v>#DIV/0!</v>
      </c>
      <c r="G28" s="69"/>
      <c r="H28" s="68"/>
      <c r="I28" s="383"/>
      <c r="J28" s="162"/>
      <c r="K28" s="65"/>
      <c r="L28" s="379"/>
      <c r="M28" s="69"/>
      <c r="N28" s="69"/>
      <c r="O28" s="383"/>
      <c r="P28" s="79"/>
      <c r="Q28" s="66"/>
      <c r="R28" s="211" t="e">
        <f t="shared" si="4"/>
        <v>#DIV/0!</v>
      </c>
    </row>
    <row r="29" spans="1:18" s="90" customFormat="1" ht="14.25" customHeight="1" thickTop="1">
      <c r="A29" s="83" t="s">
        <v>498</v>
      </c>
      <c r="B29" s="84" t="s">
        <v>499</v>
      </c>
      <c r="C29" s="85">
        <f>SUM(C30:C30)</f>
        <v>3000</v>
      </c>
      <c r="D29" s="86">
        <f t="shared" si="2"/>
        <v>3000</v>
      </c>
      <c r="E29" s="86">
        <f>H29+K29+Q29+N29</f>
        <v>1399</v>
      </c>
      <c r="F29" s="460">
        <f t="shared" si="3"/>
        <v>46.63333333333333</v>
      </c>
      <c r="G29" s="87">
        <f>SUM(G30:G30)</f>
        <v>3000</v>
      </c>
      <c r="H29" s="86">
        <f>SUM(H30:H30)</f>
        <v>1399</v>
      </c>
      <c r="I29" s="301">
        <f>H29/G29*100</f>
        <v>46.63333333333333</v>
      </c>
      <c r="J29" s="158"/>
      <c r="K29" s="86"/>
      <c r="L29" s="406"/>
      <c r="M29" s="88"/>
      <c r="N29" s="88"/>
      <c r="O29" s="385"/>
      <c r="P29" s="89"/>
      <c r="Q29" s="74"/>
      <c r="R29" s="345"/>
    </row>
    <row r="30" spans="1:18" s="70" customFormat="1" ht="54.75" customHeight="1">
      <c r="A30" s="91" t="s">
        <v>500</v>
      </c>
      <c r="B30" s="92" t="s">
        <v>501</v>
      </c>
      <c r="C30" s="93">
        <v>3000</v>
      </c>
      <c r="D30" s="94">
        <f t="shared" si="2"/>
        <v>3000</v>
      </c>
      <c r="E30" s="95">
        <f>SUM(H30+K30+N30+Q30)</f>
        <v>1399</v>
      </c>
      <c r="F30" s="502">
        <f t="shared" si="3"/>
        <v>46.63333333333333</v>
      </c>
      <c r="G30" s="96">
        <v>3000</v>
      </c>
      <c r="H30" s="94">
        <v>1399</v>
      </c>
      <c r="I30" s="289">
        <f>H30/G30*100</f>
        <v>46.63333333333333</v>
      </c>
      <c r="J30" s="183"/>
      <c r="K30" s="94"/>
      <c r="L30" s="403"/>
      <c r="M30" s="97"/>
      <c r="N30" s="97"/>
      <c r="O30" s="386"/>
      <c r="P30" s="487"/>
      <c r="Q30" s="82"/>
      <c r="R30" s="346"/>
    </row>
    <row r="31" spans="1:18" s="70" customFormat="1" ht="12.75" customHeight="1">
      <c r="A31" s="83" t="s">
        <v>335</v>
      </c>
      <c r="B31" s="84" t="s">
        <v>504</v>
      </c>
      <c r="C31" s="85"/>
      <c r="D31" s="86">
        <f t="shared" si="2"/>
        <v>2135.54</v>
      </c>
      <c r="E31" s="86">
        <f>SUM(H31+K31+N31+Q31)</f>
        <v>2135.54</v>
      </c>
      <c r="F31" s="460">
        <f>E31/D31*100</f>
        <v>100</v>
      </c>
      <c r="G31" s="87"/>
      <c r="H31" s="86"/>
      <c r="I31" s="301"/>
      <c r="J31" s="158">
        <f>SUM(J32:J34)</f>
        <v>2135.54</v>
      </c>
      <c r="K31" s="86">
        <f>SUM(K32:K34)</f>
        <v>2135.54</v>
      </c>
      <c r="L31" s="478">
        <f>K31/J31*100</f>
        <v>100</v>
      </c>
      <c r="M31" s="88"/>
      <c r="N31" s="88"/>
      <c r="O31" s="385"/>
      <c r="P31" s="89"/>
      <c r="Q31" s="74"/>
      <c r="R31" s="345"/>
    </row>
    <row r="32" spans="1:18" s="70" customFormat="1" ht="24" hidden="1">
      <c r="A32" s="62" t="s">
        <v>480</v>
      </c>
      <c r="B32" s="63" t="s">
        <v>481</v>
      </c>
      <c r="C32" s="161"/>
      <c r="D32" s="94">
        <f t="shared" si="2"/>
        <v>0</v>
      </c>
      <c r="E32" s="95">
        <f>SUM(H32+K32+N32+Q32)</f>
        <v>0</v>
      </c>
      <c r="F32" s="502" t="e">
        <f>E32/D32*100</f>
        <v>#DIV/0!</v>
      </c>
      <c r="G32" s="342"/>
      <c r="H32" s="65"/>
      <c r="I32" s="211"/>
      <c r="J32" s="162"/>
      <c r="K32" s="65"/>
      <c r="L32" s="466" t="e">
        <f>K32/J32*100</f>
        <v>#DIV/0!</v>
      </c>
      <c r="M32" s="69"/>
      <c r="N32" s="69"/>
      <c r="O32" s="383"/>
      <c r="P32" s="64"/>
      <c r="Q32" s="66"/>
      <c r="R32" s="265"/>
    </row>
    <row r="33" spans="1:18" s="70" customFormat="1" ht="12.75">
      <c r="A33" s="62" t="s">
        <v>490</v>
      </c>
      <c r="B33" s="63" t="s">
        <v>491</v>
      </c>
      <c r="C33" s="161"/>
      <c r="D33" s="65">
        <f t="shared" si="2"/>
        <v>2093.67</v>
      </c>
      <c r="E33" s="80">
        <f>SUM(H33+K33+N33+Q33)</f>
        <v>2093.67</v>
      </c>
      <c r="F33" s="461">
        <f>E33/D33*100</f>
        <v>100</v>
      </c>
      <c r="G33" s="66"/>
      <c r="H33" s="65"/>
      <c r="I33" s="211"/>
      <c r="J33" s="162">
        <v>2093.67</v>
      </c>
      <c r="K33" s="65">
        <v>2093.67</v>
      </c>
      <c r="L33" s="466">
        <f>K33/J33*100</f>
        <v>100</v>
      </c>
      <c r="M33" s="69"/>
      <c r="N33" s="69"/>
      <c r="O33" s="383"/>
      <c r="P33" s="64"/>
      <c r="Q33" s="66"/>
      <c r="R33" s="265"/>
    </row>
    <row r="34" spans="1:18" s="70" customFormat="1" ht="51" customHeight="1" thickBot="1">
      <c r="A34" s="62" t="s">
        <v>336</v>
      </c>
      <c r="B34" s="63" t="s">
        <v>288</v>
      </c>
      <c r="C34" s="161"/>
      <c r="D34" s="65">
        <f t="shared" si="2"/>
        <v>41.87</v>
      </c>
      <c r="E34" s="80">
        <f>SUM(H34+K34+N34+Q34)</f>
        <v>41.87</v>
      </c>
      <c r="F34" s="461">
        <f>E34/D34*100</f>
        <v>100</v>
      </c>
      <c r="G34" s="342"/>
      <c r="H34" s="117"/>
      <c r="I34" s="211"/>
      <c r="J34" s="162">
        <v>41.87</v>
      </c>
      <c r="K34" s="65">
        <v>41.87</v>
      </c>
      <c r="L34" s="466">
        <f>K34/J34*100</f>
        <v>100</v>
      </c>
      <c r="M34" s="69"/>
      <c r="N34" s="69"/>
      <c r="O34" s="383"/>
      <c r="P34" s="64"/>
      <c r="Q34" s="66"/>
      <c r="R34" s="265"/>
    </row>
    <row r="35" spans="1:18" s="105" customFormat="1" ht="15.75" customHeight="1" thickBot="1" thickTop="1">
      <c r="A35" s="101">
        <v>500</v>
      </c>
      <c r="B35" s="102" t="s">
        <v>503</v>
      </c>
      <c r="C35" s="103">
        <f>C36</f>
        <v>194000</v>
      </c>
      <c r="D35" s="51">
        <f t="shared" si="2"/>
        <v>194000</v>
      </c>
      <c r="E35" s="98">
        <f>H35+K35+Q35+N35</f>
        <v>71155</v>
      </c>
      <c r="F35" s="480">
        <f t="shared" si="3"/>
        <v>36.677835051546396</v>
      </c>
      <c r="G35" s="51">
        <f>G36</f>
        <v>194000</v>
      </c>
      <c r="H35" s="51">
        <f>H36</f>
        <v>71155</v>
      </c>
      <c r="I35" s="447">
        <f aca="true" t="shared" si="5" ref="I35:I48">H35/G35*100</f>
        <v>36.677835051546396</v>
      </c>
      <c r="J35" s="104"/>
      <c r="K35" s="98"/>
      <c r="L35" s="407"/>
      <c r="M35" s="98"/>
      <c r="N35" s="98"/>
      <c r="O35" s="378"/>
      <c r="P35" s="50"/>
      <c r="Q35" s="52"/>
      <c r="R35" s="347"/>
    </row>
    <row r="36" spans="1:18" s="105" customFormat="1" ht="18" customHeight="1" thickTop="1">
      <c r="A36" s="106">
        <v>50095</v>
      </c>
      <c r="B36" s="107" t="s">
        <v>504</v>
      </c>
      <c r="C36" s="108">
        <f>SUM(C37:C41)</f>
        <v>194000</v>
      </c>
      <c r="D36" s="109">
        <f t="shared" si="2"/>
        <v>194000</v>
      </c>
      <c r="E36" s="75">
        <f>SUM(E37:E41)</f>
        <v>71155</v>
      </c>
      <c r="F36" s="453">
        <f t="shared" si="3"/>
        <v>36.677835051546396</v>
      </c>
      <c r="G36" s="86">
        <f>SUM(G37:G41)</f>
        <v>194000</v>
      </c>
      <c r="H36" s="86">
        <f>SUM(H37:H41)</f>
        <v>71155</v>
      </c>
      <c r="I36" s="446">
        <f t="shared" si="5"/>
        <v>36.677835051546396</v>
      </c>
      <c r="J36" s="110"/>
      <c r="K36" s="75"/>
      <c r="L36" s="406"/>
      <c r="M36" s="75"/>
      <c r="N36" s="75"/>
      <c r="O36" s="369"/>
      <c r="P36" s="73"/>
      <c r="Q36" s="78"/>
      <c r="R36" s="348"/>
    </row>
    <row r="37" spans="1:18" s="37" customFormat="1" ht="24">
      <c r="A37" s="111">
        <v>4210</v>
      </c>
      <c r="B37" s="112" t="s">
        <v>481</v>
      </c>
      <c r="C37" s="79">
        <v>3000</v>
      </c>
      <c r="D37" s="65">
        <f t="shared" si="2"/>
        <v>3000</v>
      </c>
      <c r="E37" s="80">
        <f>SUM(H37+K37+N37+Q37)</f>
        <v>881</v>
      </c>
      <c r="F37" s="452">
        <f t="shared" si="3"/>
        <v>29.366666666666667</v>
      </c>
      <c r="G37" s="81">
        <v>3000</v>
      </c>
      <c r="H37" s="94">
        <v>881</v>
      </c>
      <c r="I37" s="426">
        <f t="shared" si="5"/>
        <v>29.366666666666667</v>
      </c>
      <c r="J37" s="113"/>
      <c r="K37" s="80"/>
      <c r="L37" s="379"/>
      <c r="M37" s="80"/>
      <c r="N37" s="80"/>
      <c r="O37" s="356"/>
      <c r="P37" s="488"/>
      <c r="Q37" s="114"/>
      <c r="R37" s="349"/>
    </row>
    <row r="38" spans="1:18" s="37" customFormat="1" ht="14.25" customHeight="1">
      <c r="A38" s="111">
        <v>4260</v>
      </c>
      <c r="B38" s="112" t="s">
        <v>485</v>
      </c>
      <c r="C38" s="79">
        <v>4000</v>
      </c>
      <c r="D38" s="65">
        <f t="shared" si="2"/>
        <v>4000</v>
      </c>
      <c r="E38" s="80">
        <f>SUM(H38+K38+N38+Q38)</f>
        <v>441</v>
      </c>
      <c r="F38" s="452">
        <f t="shared" si="3"/>
        <v>11.025</v>
      </c>
      <c r="G38" s="79">
        <v>4000</v>
      </c>
      <c r="H38" s="65">
        <v>441</v>
      </c>
      <c r="I38" s="426">
        <f t="shared" si="5"/>
        <v>11.025</v>
      </c>
      <c r="J38" s="113"/>
      <c r="K38" s="80"/>
      <c r="L38" s="379"/>
      <c r="M38" s="80"/>
      <c r="N38" s="80"/>
      <c r="O38" s="356"/>
      <c r="P38" s="488"/>
      <c r="Q38" s="114"/>
      <c r="R38" s="349"/>
    </row>
    <row r="39" spans="1:18" s="37" customFormat="1" ht="14.25" customHeight="1">
      <c r="A39" s="111">
        <v>4270</v>
      </c>
      <c r="B39" s="112" t="s">
        <v>487</v>
      </c>
      <c r="C39" s="79">
        <v>25000</v>
      </c>
      <c r="D39" s="65">
        <f>G39+J39+P39+M39</f>
        <v>25000</v>
      </c>
      <c r="E39" s="80">
        <f>SUM(H39+K39+N39+Q39)</f>
        <v>799</v>
      </c>
      <c r="F39" s="452">
        <f>E39/D39*100</f>
        <v>3.196</v>
      </c>
      <c r="G39" s="79">
        <v>25000</v>
      </c>
      <c r="H39" s="65">
        <v>799</v>
      </c>
      <c r="I39" s="426">
        <f t="shared" si="5"/>
        <v>3.196</v>
      </c>
      <c r="J39" s="113"/>
      <c r="K39" s="80"/>
      <c r="L39" s="379"/>
      <c r="M39" s="80"/>
      <c r="N39" s="80"/>
      <c r="O39" s="356"/>
      <c r="P39" s="488"/>
      <c r="Q39" s="114"/>
      <c r="R39" s="349"/>
    </row>
    <row r="40" spans="1:18" s="37" customFormat="1" ht="14.25" customHeight="1">
      <c r="A40" s="111">
        <v>4300</v>
      </c>
      <c r="B40" s="115" t="s">
        <v>489</v>
      </c>
      <c r="C40" s="79">
        <v>142000</v>
      </c>
      <c r="D40" s="65">
        <f aca="true" t="shared" si="6" ref="D40:E110">G40+J40+P40+M40</f>
        <v>142000</v>
      </c>
      <c r="E40" s="80">
        <f>SUM(H40+K40+N40+Q40)</f>
        <v>69034</v>
      </c>
      <c r="F40" s="452">
        <f>E40/D40*100</f>
        <v>48.61549295774648</v>
      </c>
      <c r="G40" s="79">
        <v>142000</v>
      </c>
      <c r="H40" s="65">
        <v>69034</v>
      </c>
      <c r="I40" s="426">
        <f t="shared" si="5"/>
        <v>48.61549295774648</v>
      </c>
      <c r="J40" s="113"/>
      <c r="K40" s="80"/>
      <c r="L40" s="379"/>
      <c r="M40" s="80"/>
      <c r="N40" s="80"/>
      <c r="O40" s="356"/>
      <c r="P40" s="488"/>
      <c r="Q40" s="114"/>
      <c r="R40" s="349"/>
    </row>
    <row r="41" spans="1:18" s="37" customFormat="1" ht="24.75" customHeight="1" thickBot="1">
      <c r="A41" s="111">
        <v>6050</v>
      </c>
      <c r="B41" s="115" t="s">
        <v>512</v>
      </c>
      <c r="C41" s="79">
        <v>20000</v>
      </c>
      <c r="D41" s="65">
        <f t="shared" si="6"/>
        <v>20000</v>
      </c>
      <c r="E41" s="80">
        <f>SUM(H41+K41+N41+Q41)</f>
        <v>0</v>
      </c>
      <c r="F41" s="452">
        <f t="shared" si="3"/>
        <v>0</v>
      </c>
      <c r="G41" s="116">
        <v>20000</v>
      </c>
      <c r="H41" s="117"/>
      <c r="I41" s="426">
        <f t="shared" si="5"/>
        <v>0</v>
      </c>
      <c r="J41" s="113"/>
      <c r="K41" s="80"/>
      <c r="L41" s="379"/>
      <c r="M41" s="80"/>
      <c r="N41" s="80"/>
      <c r="O41" s="356"/>
      <c r="P41" s="79"/>
      <c r="Q41" s="80"/>
      <c r="R41" s="350"/>
    </row>
    <row r="42" spans="1:18" s="105" customFormat="1" ht="28.5" customHeight="1" thickBot="1" thickTop="1">
      <c r="A42" s="118">
        <v>600</v>
      </c>
      <c r="B42" s="119" t="s">
        <v>505</v>
      </c>
      <c r="C42" s="120">
        <f>SUM(C46+C49+C90+C120+C126+C128)+C43</f>
        <v>59388900</v>
      </c>
      <c r="D42" s="51">
        <f t="shared" si="6"/>
        <v>56278504</v>
      </c>
      <c r="E42" s="51">
        <f t="shared" si="6"/>
        <v>15591695</v>
      </c>
      <c r="F42" s="503">
        <f t="shared" si="3"/>
        <v>27.70452995694413</v>
      </c>
      <c r="G42" s="51">
        <f>SUM(G90+G128+G49)+G46+G120+G126+G43</f>
        <v>28646504</v>
      </c>
      <c r="H42" s="51">
        <f>SUM(H90+H128+H49)+H46+H120+H126+H43</f>
        <v>9927169</v>
      </c>
      <c r="I42" s="447">
        <f t="shared" si="5"/>
        <v>34.65403317626472</v>
      </c>
      <c r="J42" s="121"/>
      <c r="K42" s="51"/>
      <c r="L42" s="407"/>
      <c r="M42" s="51">
        <f>SUM(M90+M128+M49)</f>
        <v>27632000</v>
      </c>
      <c r="N42" s="51">
        <f>SUM(N90+N128+N49)</f>
        <v>5664526</v>
      </c>
      <c r="O42" s="387">
        <f>N42/M42*100</f>
        <v>20.499876954255935</v>
      </c>
      <c r="P42" s="120"/>
      <c r="Q42" s="51"/>
      <c r="R42" s="351"/>
    </row>
    <row r="43" spans="1:18" s="105" customFormat="1" ht="24.75" thickTop="1">
      <c r="A43" s="122">
        <v>60002</v>
      </c>
      <c r="B43" s="520" t="s">
        <v>399</v>
      </c>
      <c r="C43" s="124">
        <f>SUM(C44)</f>
        <v>100000</v>
      </c>
      <c r="D43" s="126">
        <f t="shared" si="6"/>
        <v>330000</v>
      </c>
      <c r="E43" s="126">
        <f t="shared" si="6"/>
        <v>0</v>
      </c>
      <c r="F43" s="461">
        <f t="shared" si="3"/>
        <v>0</v>
      </c>
      <c r="G43" s="126">
        <f>SUM(G44:G45)</f>
        <v>330000</v>
      </c>
      <c r="H43" s="126">
        <f>SUM(H44:H45)</f>
        <v>0</v>
      </c>
      <c r="I43" s="426">
        <f t="shared" si="5"/>
        <v>0</v>
      </c>
      <c r="J43" s="127"/>
      <c r="K43" s="126"/>
      <c r="L43" s="392"/>
      <c r="M43" s="129"/>
      <c r="N43" s="125"/>
      <c r="O43" s="337"/>
      <c r="P43" s="124"/>
      <c r="Q43" s="126"/>
      <c r="R43" s="352"/>
    </row>
    <row r="44" spans="1:18" s="12" customFormat="1" ht="72">
      <c r="A44" s="598">
        <v>2710</v>
      </c>
      <c r="B44" s="599" t="s">
        <v>420</v>
      </c>
      <c r="C44" s="600">
        <v>100000</v>
      </c>
      <c r="D44" s="134">
        <f>G44+J44+P44+M44</f>
        <v>330000</v>
      </c>
      <c r="E44" s="134">
        <f>H44+K44+Q44+N44</f>
        <v>0</v>
      </c>
      <c r="F44" s="451">
        <f>E44/D44*100</f>
        <v>0</v>
      </c>
      <c r="G44" s="134">
        <f>100000+230000</f>
        <v>330000</v>
      </c>
      <c r="H44" s="134"/>
      <c r="I44" s="432">
        <f t="shared" si="5"/>
        <v>0</v>
      </c>
      <c r="J44" s="601"/>
      <c r="K44" s="134"/>
      <c r="L44" s="395"/>
      <c r="M44" s="602"/>
      <c r="N44" s="134"/>
      <c r="O44" s="301"/>
      <c r="P44" s="600"/>
      <c r="Q44" s="134"/>
      <c r="R44" s="360"/>
    </row>
    <row r="45" spans="1:18" s="105" customFormat="1" ht="28.5" customHeight="1" hidden="1">
      <c r="A45" s="145">
        <v>6050</v>
      </c>
      <c r="B45" s="339" t="s">
        <v>549</v>
      </c>
      <c r="C45" s="163"/>
      <c r="D45" s="148">
        <f t="shared" si="6"/>
        <v>0</v>
      </c>
      <c r="E45" s="148">
        <f t="shared" si="6"/>
        <v>0</v>
      </c>
      <c r="F45" s="453" t="e">
        <f t="shared" si="3"/>
        <v>#DIV/0!</v>
      </c>
      <c r="G45" s="148"/>
      <c r="H45" s="148"/>
      <c r="I45" s="446" t="e">
        <f t="shared" si="5"/>
        <v>#DIV/0!</v>
      </c>
      <c r="J45" s="164"/>
      <c r="K45" s="148"/>
      <c r="L45" s="404"/>
      <c r="M45" s="521"/>
      <c r="N45" s="148"/>
      <c r="O45" s="259"/>
      <c r="P45" s="163"/>
      <c r="Q45" s="148"/>
      <c r="R45" s="354"/>
    </row>
    <row r="46" spans="1:18" s="130" customFormat="1" ht="27" customHeight="1">
      <c r="A46" s="137">
        <v>60004</v>
      </c>
      <c r="B46" s="592" t="s">
        <v>506</v>
      </c>
      <c r="C46" s="85">
        <f>SUM(C47:C48)</f>
        <v>8100000</v>
      </c>
      <c r="D46" s="86">
        <f t="shared" si="6"/>
        <v>8100000</v>
      </c>
      <c r="E46" s="86">
        <f t="shared" si="6"/>
        <v>4305456</v>
      </c>
      <c r="F46" s="460">
        <f>E46/D46*100</f>
        <v>53.153777777777776</v>
      </c>
      <c r="G46" s="86">
        <f>SUM(G47:G48)</f>
        <v>8100000</v>
      </c>
      <c r="H46" s="86">
        <f>SUM(H47:H48)</f>
        <v>4305456</v>
      </c>
      <c r="I46" s="432">
        <f t="shared" si="5"/>
        <v>53.153777777777776</v>
      </c>
      <c r="J46" s="158"/>
      <c r="K46" s="74"/>
      <c r="L46" s="256"/>
      <c r="M46" s="238"/>
      <c r="N46" s="86"/>
      <c r="O46" s="391"/>
      <c r="P46" s="85"/>
      <c r="Q46" s="86"/>
      <c r="R46" s="358"/>
    </row>
    <row r="47" spans="1:18" ht="15.75" customHeight="1">
      <c r="A47" s="99">
        <v>4300</v>
      </c>
      <c r="B47" s="186" t="s">
        <v>489</v>
      </c>
      <c r="C47" s="81">
        <v>6100000</v>
      </c>
      <c r="D47" s="94">
        <f t="shared" si="6"/>
        <v>6100000</v>
      </c>
      <c r="E47" s="94">
        <f t="shared" si="6"/>
        <v>2541665</v>
      </c>
      <c r="F47" s="448">
        <f>E47/D47*100</f>
        <v>41.66663934426229</v>
      </c>
      <c r="G47" s="94">
        <v>6100000</v>
      </c>
      <c r="H47" s="183">
        <v>2541665</v>
      </c>
      <c r="I47" s="448">
        <f t="shared" si="5"/>
        <v>41.66663934426229</v>
      </c>
      <c r="J47" s="187"/>
      <c r="K47" s="100"/>
      <c r="L47" s="289"/>
      <c r="M47" s="570"/>
      <c r="N47" s="95"/>
      <c r="O47" s="376"/>
      <c r="P47" s="81"/>
      <c r="Q47" s="95"/>
      <c r="R47" s="353"/>
    </row>
    <row r="48" spans="1:18" ht="51.75" customHeight="1">
      <c r="A48" s="145">
        <v>6010</v>
      </c>
      <c r="B48" s="146" t="s">
        <v>251</v>
      </c>
      <c r="C48" s="147">
        <v>2000000</v>
      </c>
      <c r="D48" s="148">
        <f t="shared" si="6"/>
        <v>2000000</v>
      </c>
      <c r="E48" s="148">
        <f t="shared" si="6"/>
        <v>1763791</v>
      </c>
      <c r="F48" s="446">
        <f>E48/D48*100</f>
        <v>88.18955000000001</v>
      </c>
      <c r="G48" s="148">
        <v>2000000</v>
      </c>
      <c r="H48" s="164">
        <v>1763791</v>
      </c>
      <c r="I48" s="446">
        <f t="shared" si="5"/>
        <v>88.18955000000001</v>
      </c>
      <c r="J48" s="149"/>
      <c r="K48" s="150"/>
      <c r="L48" s="259"/>
      <c r="M48" s="323"/>
      <c r="N48" s="142"/>
      <c r="O48" s="375"/>
      <c r="P48" s="147"/>
      <c r="Q48" s="142"/>
      <c r="R48" s="354"/>
    </row>
    <row r="49" spans="1:18" s="105" customFormat="1" ht="39" customHeight="1">
      <c r="A49" s="137">
        <v>60015</v>
      </c>
      <c r="B49" s="138" t="s">
        <v>507</v>
      </c>
      <c r="C49" s="89">
        <f>SUM(C50:C58)+SUM(C86:C89)</f>
        <v>28972000</v>
      </c>
      <c r="D49" s="86">
        <f t="shared" si="6"/>
        <v>27632000</v>
      </c>
      <c r="E49" s="86">
        <f t="shared" si="6"/>
        <v>5664526</v>
      </c>
      <c r="F49" s="345">
        <f t="shared" si="3"/>
        <v>20.499876954255935</v>
      </c>
      <c r="G49" s="74"/>
      <c r="H49" s="139"/>
      <c r="I49" s="470"/>
      <c r="J49" s="139"/>
      <c r="K49" s="74"/>
      <c r="L49" s="256"/>
      <c r="M49" s="87">
        <f>SUM(M50:M58)+SUM(M86:M89)</f>
        <v>27632000</v>
      </c>
      <c r="N49" s="74">
        <f>SUM(N50:N58)+SUM(N86:N89)</f>
        <v>5664526</v>
      </c>
      <c r="O49" s="256">
        <f aca="true" t="shared" si="7" ref="O49:O89">N49/M49*100</f>
        <v>20.499876954255935</v>
      </c>
      <c r="P49" s="89"/>
      <c r="Q49" s="74"/>
      <c r="R49" s="345"/>
    </row>
    <row r="50" spans="1:18" ht="24">
      <c r="A50" s="111">
        <v>4210</v>
      </c>
      <c r="B50" s="112" t="s">
        <v>481</v>
      </c>
      <c r="C50" s="79">
        <v>51000</v>
      </c>
      <c r="D50" s="65">
        <f t="shared" si="6"/>
        <v>51000</v>
      </c>
      <c r="E50" s="80">
        <f>SUM(H50+K50+N50+Q50)</f>
        <v>9965</v>
      </c>
      <c r="F50" s="452">
        <f t="shared" si="3"/>
        <v>19.53921568627451</v>
      </c>
      <c r="G50" s="114"/>
      <c r="H50" s="140"/>
      <c r="I50" s="390"/>
      <c r="J50" s="140"/>
      <c r="K50" s="114"/>
      <c r="L50" s="211"/>
      <c r="M50" s="141">
        <v>51000</v>
      </c>
      <c r="N50" s="114">
        <v>9965</v>
      </c>
      <c r="O50" s="426">
        <f t="shared" si="7"/>
        <v>19.53921568627451</v>
      </c>
      <c r="P50" s="488"/>
      <c r="Q50" s="114"/>
      <c r="R50" s="349"/>
    </row>
    <row r="51" spans="1:18" ht="24">
      <c r="A51" s="111">
        <v>4170</v>
      </c>
      <c r="B51" s="112" t="s">
        <v>511</v>
      </c>
      <c r="C51" s="79"/>
      <c r="D51" s="65">
        <f t="shared" si="6"/>
        <v>3500</v>
      </c>
      <c r="E51" s="80">
        <f>SUM(H51+K51+N51+Q51)</f>
        <v>0</v>
      </c>
      <c r="F51" s="452">
        <f>E51/D51*100</f>
        <v>0</v>
      </c>
      <c r="G51" s="114"/>
      <c r="H51" s="140"/>
      <c r="I51" s="390"/>
      <c r="J51" s="140"/>
      <c r="K51" s="114"/>
      <c r="L51" s="211"/>
      <c r="M51" s="141">
        <v>3500</v>
      </c>
      <c r="N51" s="114"/>
      <c r="O51" s="426">
        <f t="shared" si="7"/>
        <v>0</v>
      </c>
      <c r="P51" s="488"/>
      <c r="Q51" s="114"/>
      <c r="R51" s="349"/>
    </row>
    <row r="52" spans="1:18" ht="15.75" customHeight="1">
      <c r="A52" s="111">
        <v>4260</v>
      </c>
      <c r="B52" s="112" t="s">
        <v>485</v>
      </c>
      <c r="C52" s="79">
        <v>67000</v>
      </c>
      <c r="D52" s="65">
        <f t="shared" si="6"/>
        <v>67000</v>
      </c>
      <c r="E52" s="80">
        <f>SUM(H52+K52+N52+Q52)</f>
        <v>53804</v>
      </c>
      <c r="F52" s="452">
        <f t="shared" si="3"/>
        <v>80.3044776119403</v>
      </c>
      <c r="G52" s="114"/>
      <c r="H52" s="140"/>
      <c r="I52" s="390"/>
      <c r="J52" s="140"/>
      <c r="K52" s="114"/>
      <c r="L52" s="211"/>
      <c r="M52" s="141">
        <v>67000</v>
      </c>
      <c r="N52" s="114">
        <v>53804</v>
      </c>
      <c r="O52" s="426">
        <f t="shared" si="7"/>
        <v>80.3044776119403</v>
      </c>
      <c r="P52" s="488"/>
      <c r="Q52" s="114"/>
      <c r="R52" s="349"/>
    </row>
    <row r="53" spans="1:18" ht="15.75" customHeight="1">
      <c r="A53" s="111">
        <v>4270</v>
      </c>
      <c r="B53" s="115" t="s">
        <v>487</v>
      </c>
      <c r="C53" s="79">
        <v>670000</v>
      </c>
      <c r="D53" s="65">
        <f t="shared" si="6"/>
        <v>666500</v>
      </c>
      <c r="E53" s="80">
        <f>SUM(H53+K53+N53+Q53)</f>
        <v>388219</v>
      </c>
      <c r="F53" s="452">
        <f t="shared" si="3"/>
        <v>58.24741185296324</v>
      </c>
      <c r="G53" s="80"/>
      <c r="H53" s="113"/>
      <c r="I53" s="356"/>
      <c r="J53" s="113"/>
      <c r="K53" s="80"/>
      <c r="L53" s="379"/>
      <c r="M53" s="141">
        <f>670000-3500</f>
        <v>666500</v>
      </c>
      <c r="N53" s="80">
        <v>388219</v>
      </c>
      <c r="O53" s="426">
        <f t="shared" si="7"/>
        <v>58.24741185296324</v>
      </c>
      <c r="P53" s="79"/>
      <c r="Q53" s="80"/>
      <c r="R53" s="349"/>
    </row>
    <row r="54" spans="1:18" ht="15.75" customHeight="1">
      <c r="A54" s="111">
        <v>4300</v>
      </c>
      <c r="B54" s="115" t="s">
        <v>489</v>
      </c>
      <c r="C54" s="79">
        <v>21000</v>
      </c>
      <c r="D54" s="65">
        <f t="shared" si="6"/>
        <v>71000</v>
      </c>
      <c r="E54" s="80">
        <f aca="true" t="shared" si="8" ref="E54:E114">SUM(H54+K54+N54+Q54)</f>
        <v>18600</v>
      </c>
      <c r="F54" s="452">
        <f t="shared" si="3"/>
        <v>26.197183098591548</v>
      </c>
      <c r="G54" s="80"/>
      <c r="H54" s="113"/>
      <c r="I54" s="356"/>
      <c r="J54" s="113"/>
      <c r="K54" s="80"/>
      <c r="L54" s="379"/>
      <c r="M54" s="141">
        <f>21000+50000</f>
        <v>71000</v>
      </c>
      <c r="N54" s="80">
        <v>18600</v>
      </c>
      <c r="O54" s="426">
        <f t="shared" si="7"/>
        <v>26.197183098591548</v>
      </c>
      <c r="P54" s="79"/>
      <c r="Q54" s="80"/>
      <c r="R54" s="349"/>
    </row>
    <row r="55" spans="1:18" ht="36">
      <c r="A55" s="111">
        <v>4390</v>
      </c>
      <c r="B55" s="115" t="s">
        <v>271</v>
      </c>
      <c r="C55" s="79">
        <v>3000</v>
      </c>
      <c r="D55" s="65">
        <f t="shared" si="6"/>
        <v>3000</v>
      </c>
      <c r="E55" s="80">
        <f>SUM(H55+K55+N55+Q55)</f>
        <v>1830</v>
      </c>
      <c r="F55" s="452">
        <f>E55/D55*100</f>
        <v>61</v>
      </c>
      <c r="G55" s="80"/>
      <c r="H55" s="113"/>
      <c r="I55" s="356"/>
      <c r="J55" s="113"/>
      <c r="K55" s="80"/>
      <c r="L55" s="379"/>
      <c r="M55" s="141">
        <v>3000</v>
      </c>
      <c r="N55" s="80">
        <v>1830</v>
      </c>
      <c r="O55" s="426">
        <f t="shared" si="7"/>
        <v>61</v>
      </c>
      <c r="P55" s="79"/>
      <c r="Q55" s="80"/>
      <c r="R55" s="349"/>
    </row>
    <row r="56" spans="1:18" ht="12.75" hidden="1">
      <c r="A56" s="111">
        <v>4580</v>
      </c>
      <c r="B56" s="115" t="s">
        <v>525</v>
      </c>
      <c r="C56" s="79"/>
      <c r="D56" s="65">
        <f t="shared" si="6"/>
        <v>0</v>
      </c>
      <c r="E56" s="80">
        <f>SUM(H56+K56+N56+Q56)</f>
        <v>0</v>
      </c>
      <c r="F56" s="452" t="e">
        <f>E56/D56*100</f>
        <v>#DIV/0!</v>
      </c>
      <c r="G56" s="80"/>
      <c r="H56" s="113"/>
      <c r="I56" s="356"/>
      <c r="J56" s="113"/>
      <c r="K56" s="80"/>
      <c r="L56" s="379"/>
      <c r="M56" s="141"/>
      <c r="N56" s="80"/>
      <c r="O56" s="426" t="e">
        <f t="shared" si="7"/>
        <v>#DIV/0!</v>
      </c>
      <c r="P56" s="79"/>
      <c r="Q56" s="80"/>
      <c r="R56" s="349"/>
    </row>
    <row r="57" spans="1:18" ht="60" hidden="1">
      <c r="A57" s="111">
        <v>4600</v>
      </c>
      <c r="B57" s="115" t="s">
        <v>541</v>
      </c>
      <c r="C57" s="79"/>
      <c r="D57" s="65">
        <f t="shared" si="6"/>
        <v>0</v>
      </c>
      <c r="E57" s="80">
        <f>SUM(H57+K57+N57+Q57)</f>
        <v>0</v>
      </c>
      <c r="F57" s="452" t="e">
        <f>E57/D57*100</f>
        <v>#DIV/0!</v>
      </c>
      <c r="G57" s="80"/>
      <c r="H57" s="113"/>
      <c r="I57" s="356"/>
      <c r="J57" s="113"/>
      <c r="K57" s="80"/>
      <c r="L57" s="379"/>
      <c r="M57" s="141"/>
      <c r="N57" s="80"/>
      <c r="O57" s="426" t="e">
        <f t="shared" si="7"/>
        <v>#DIV/0!</v>
      </c>
      <c r="P57" s="79"/>
      <c r="Q57" s="80"/>
      <c r="R57" s="349"/>
    </row>
    <row r="58" spans="1:18" ht="24">
      <c r="A58" s="111">
        <v>6050</v>
      </c>
      <c r="B58" s="115" t="s">
        <v>549</v>
      </c>
      <c r="C58" s="79">
        <f>SUM(C59:C83)</f>
        <v>28160000</v>
      </c>
      <c r="D58" s="65">
        <f t="shared" si="6"/>
        <v>26770000</v>
      </c>
      <c r="E58" s="80">
        <f t="shared" si="8"/>
        <v>5192108</v>
      </c>
      <c r="F58" s="452">
        <f t="shared" si="3"/>
        <v>19.39524841240194</v>
      </c>
      <c r="G58" s="80"/>
      <c r="H58" s="113"/>
      <c r="I58" s="356"/>
      <c r="J58" s="113"/>
      <c r="K58" s="80"/>
      <c r="L58" s="379"/>
      <c r="M58" s="141">
        <f>SUM(M59:M83)</f>
        <v>26770000</v>
      </c>
      <c r="N58" s="80">
        <f>SUM(N59:N83)</f>
        <v>5192108</v>
      </c>
      <c r="O58" s="426">
        <f t="shared" si="7"/>
        <v>19.39524841240194</v>
      </c>
      <c r="P58" s="79"/>
      <c r="Q58" s="80"/>
      <c r="R58" s="265"/>
    </row>
    <row r="59" spans="1:18" s="11" customFormat="1" ht="24" hidden="1">
      <c r="A59" s="151"/>
      <c r="B59" s="220" t="s">
        <v>358</v>
      </c>
      <c r="C59" s="153"/>
      <c r="D59" s="154">
        <f t="shared" si="6"/>
        <v>0</v>
      </c>
      <c r="E59" s="154">
        <f t="shared" si="8"/>
        <v>0</v>
      </c>
      <c r="F59" s="452" t="e">
        <f t="shared" si="3"/>
        <v>#DIV/0!</v>
      </c>
      <c r="G59" s="154"/>
      <c r="H59" s="155"/>
      <c r="I59" s="379"/>
      <c r="J59" s="155"/>
      <c r="K59" s="154"/>
      <c r="L59" s="379"/>
      <c r="M59" s="313"/>
      <c r="N59" s="154"/>
      <c r="O59" s="426" t="e">
        <f t="shared" si="7"/>
        <v>#DIV/0!</v>
      </c>
      <c r="P59" s="153"/>
      <c r="Q59" s="154"/>
      <c r="R59" s="265"/>
    </row>
    <row r="60" spans="1:18" s="11" customFormat="1" ht="24">
      <c r="A60" s="151"/>
      <c r="B60" s="220" t="s">
        <v>359</v>
      </c>
      <c r="C60" s="153">
        <v>70000</v>
      </c>
      <c r="D60" s="154">
        <f t="shared" si="6"/>
        <v>70000</v>
      </c>
      <c r="E60" s="154">
        <f t="shared" si="8"/>
        <v>60518</v>
      </c>
      <c r="F60" s="452">
        <f t="shared" si="3"/>
        <v>86.45428571428572</v>
      </c>
      <c r="G60" s="154"/>
      <c r="H60" s="155"/>
      <c r="I60" s="379"/>
      <c r="J60" s="155"/>
      <c r="K60" s="154"/>
      <c r="L60" s="379"/>
      <c r="M60" s="313">
        <v>70000</v>
      </c>
      <c r="N60" s="154">
        <v>60518</v>
      </c>
      <c r="O60" s="426">
        <f t="shared" si="7"/>
        <v>86.45428571428572</v>
      </c>
      <c r="P60" s="153"/>
      <c r="Q60" s="154"/>
      <c r="R60" s="265"/>
    </row>
    <row r="61" spans="1:18" s="11" customFormat="1" ht="36">
      <c r="A61" s="151"/>
      <c r="B61" s="220" t="s">
        <v>176</v>
      </c>
      <c r="C61" s="153"/>
      <c r="D61" s="154">
        <f t="shared" si="6"/>
        <v>400000</v>
      </c>
      <c r="E61" s="154">
        <f t="shared" si="8"/>
        <v>0</v>
      </c>
      <c r="F61" s="452">
        <f t="shared" si="3"/>
        <v>0</v>
      </c>
      <c r="G61" s="154"/>
      <c r="H61" s="155"/>
      <c r="I61" s="379"/>
      <c r="J61" s="155"/>
      <c r="K61" s="154"/>
      <c r="L61" s="379"/>
      <c r="M61" s="313">
        <v>400000</v>
      </c>
      <c r="N61" s="154"/>
      <c r="O61" s="426">
        <f t="shared" si="7"/>
        <v>0</v>
      </c>
      <c r="P61" s="153"/>
      <c r="Q61" s="154"/>
      <c r="R61" s="265"/>
    </row>
    <row r="62" spans="1:18" s="11" customFormat="1" ht="12.75">
      <c r="A62" s="151"/>
      <c r="B62" s="220" t="s">
        <v>173</v>
      </c>
      <c r="C62" s="153">
        <v>300000</v>
      </c>
      <c r="D62" s="154">
        <f t="shared" si="6"/>
        <v>100000</v>
      </c>
      <c r="E62" s="154">
        <f>SUM(H62+K62+N62+Q62)</f>
        <v>0</v>
      </c>
      <c r="F62" s="452">
        <f>E62/D62*100</f>
        <v>0</v>
      </c>
      <c r="G62" s="154"/>
      <c r="H62" s="155"/>
      <c r="I62" s="379"/>
      <c r="J62" s="155"/>
      <c r="K62" s="154"/>
      <c r="L62" s="379"/>
      <c r="M62" s="313">
        <f>300000-200000</f>
        <v>100000</v>
      </c>
      <c r="N62" s="154"/>
      <c r="O62" s="211">
        <f t="shared" si="7"/>
        <v>0</v>
      </c>
      <c r="P62" s="153"/>
      <c r="Q62" s="154"/>
      <c r="R62" s="265"/>
    </row>
    <row r="63" spans="1:18" s="11" customFormat="1" ht="48" hidden="1">
      <c r="A63" s="151"/>
      <c r="B63" s="220" t="s">
        <v>262</v>
      </c>
      <c r="C63" s="153"/>
      <c r="D63" s="154">
        <f t="shared" si="6"/>
        <v>0</v>
      </c>
      <c r="E63" s="154">
        <f t="shared" si="8"/>
        <v>0</v>
      </c>
      <c r="F63" s="452" t="e">
        <f>E63/D63*100</f>
        <v>#DIV/0!</v>
      </c>
      <c r="G63" s="154"/>
      <c r="H63" s="155"/>
      <c r="I63" s="379"/>
      <c r="J63" s="155"/>
      <c r="K63" s="154"/>
      <c r="L63" s="379"/>
      <c r="M63" s="313"/>
      <c r="N63" s="154"/>
      <c r="O63" s="211" t="e">
        <f t="shared" si="7"/>
        <v>#DIV/0!</v>
      </c>
      <c r="P63" s="153"/>
      <c r="Q63" s="154"/>
      <c r="R63" s="265"/>
    </row>
    <row r="64" spans="1:18" s="11" customFormat="1" ht="36" hidden="1">
      <c r="A64" s="151"/>
      <c r="B64" s="220" t="s">
        <v>263</v>
      </c>
      <c r="C64" s="153"/>
      <c r="D64" s="154">
        <f t="shared" si="6"/>
        <v>0</v>
      </c>
      <c r="E64" s="154">
        <f t="shared" si="8"/>
        <v>0</v>
      </c>
      <c r="F64" s="452" t="e">
        <f aca="true" t="shared" si="9" ref="F64:F90">E64/D64*100</f>
        <v>#DIV/0!</v>
      </c>
      <c r="G64" s="154"/>
      <c r="H64" s="155"/>
      <c r="I64" s="379"/>
      <c r="J64" s="155"/>
      <c r="K64" s="154"/>
      <c r="L64" s="379"/>
      <c r="M64" s="313"/>
      <c r="N64" s="154"/>
      <c r="O64" s="211"/>
      <c r="P64" s="153"/>
      <c r="Q64" s="154"/>
      <c r="R64" s="265"/>
    </row>
    <row r="65" spans="1:18" s="11" customFormat="1" ht="36" hidden="1">
      <c r="A65" s="151"/>
      <c r="B65" s="220" t="s">
        <v>357</v>
      </c>
      <c r="C65" s="153"/>
      <c r="D65" s="154">
        <f t="shared" si="6"/>
        <v>0</v>
      </c>
      <c r="E65" s="154">
        <f>SUM(H65+K65+N65+Q65)</f>
        <v>0</v>
      </c>
      <c r="F65" s="452" t="e">
        <f>E65/D65*100</f>
        <v>#DIV/0!</v>
      </c>
      <c r="G65" s="154"/>
      <c r="H65" s="155"/>
      <c r="I65" s="379"/>
      <c r="J65" s="155"/>
      <c r="K65" s="154"/>
      <c r="L65" s="379"/>
      <c r="M65" s="313"/>
      <c r="N65" s="154"/>
      <c r="O65" s="211" t="e">
        <f t="shared" si="7"/>
        <v>#DIV/0!</v>
      </c>
      <c r="P65" s="153"/>
      <c r="Q65" s="154"/>
      <c r="R65" s="265"/>
    </row>
    <row r="66" spans="1:18" s="11" customFormat="1" ht="12.75">
      <c r="A66" s="151"/>
      <c r="B66" s="220" t="s">
        <v>264</v>
      </c>
      <c r="C66" s="153">
        <v>3900000</v>
      </c>
      <c r="D66" s="154">
        <f t="shared" si="6"/>
        <v>3900000</v>
      </c>
      <c r="E66" s="154">
        <f t="shared" si="8"/>
        <v>2569020</v>
      </c>
      <c r="F66" s="452">
        <f t="shared" si="9"/>
        <v>65.8723076923077</v>
      </c>
      <c r="G66" s="154"/>
      <c r="H66" s="155"/>
      <c r="I66" s="379"/>
      <c r="J66" s="155"/>
      <c r="K66" s="154"/>
      <c r="L66" s="379"/>
      <c r="M66" s="313">
        <v>3900000</v>
      </c>
      <c r="N66" s="154">
        <v>2569020</v>
      </c>
      <c r="O66" s="211">
        <f t="shared" si="7"/>
        <v>65.8723076923077</v>
      </c>
      <c r="P66" s="153"/>
      <c r="Q66" s="154"/>
      <c r="R66" s="265"/>
    </row>
    <row r="67" spans="1:18" s="11" customFormat="1" ht="12.75">
      <c r="A67" s="151"/>
      <c r="B67" s="220" t="s">
        <v>371</v>
      </c>
      <c r="C67" s="153">
        <v>10000000</v>
      </c>
      <c r="D67" s="154">
        <f t="shared" si="6"/>
        <v>10000000</v>
      </c>
      <c r="E67" s="154">
        <f t="shared" si="8"/>
        <v>9370</v>
      </c>
      <c r="F67" s="452">
        <f t="shared" si="9"/>
        <v>0.0937</v>
      </c>
      <c r="G67" s="154"/>
      <c r="H67" s="155"/>
      <c r="I67" s="379"/>
      <c r="J67" s="155"/>
      <c r="K67" s="154"/>
      <c r="L67" s="379"/>
      <c r="M67" s="313">
        <v>10000000</v>
      </c>
      <c r="N67" s="154">
        <v>9370</v>
      </c>
      <c r="O67" s="211">
        <f t="shared" si="7"/>
        <v>0.0937</v>
      </c>
      <c r="P67" s="153"/>
      <c r="Q67" s="154"/>
      <c r="R67" s="265"/>
    </row>
    <row r="68" spans="1:18" s="11" customFormat="1" ht="12.75" hidden="1">
      <c r="A68" s="151"/>
      <c r="B68" s="220" t="s">
        <v>268</v>
      </c>
      <c r="C68" s="153"/>
      <c r="D68" s="154">
        <f t="shared" si="6"/>
        <v>0</v>
      </c>
      <c r="E68" s="154">
        <f t="shared" si="8"/>
        <v>0</v>
      </c>
      <c r="F68" s="452" t="e">
        <f t="shared" si="9"/>
        <v>#DIV/0!</v>
      </c>
      <c r="G68" s="154"/>
      <c r="H68" s="155"/>
      <c r="I68" s="379"/>
      <c r="J68" s="155"/>
      <c r="K68" s="154"/>
      <c r="L68" s="379"/>
      <c r="M68" s="313"/>
      <c r="N68" s="154"/>
      <c r="O68" s="211" t="e">
        <f t="shared" si="7"/>
        <v>#DIV/0!</v>
      </c>
      <c r="P68" s="153"/>
      <c r="Q68" s="154"/>
      <c r="R68" s="265"/>
    </row>
    <row r="69" spans="1:18" s="11" customFormat="1" ht="24" hidden="1">
      <c r="A69" s="151"/>
      <c r="B69" s="220" t="s">
        <v>269</v>
      </c>
      <c r="C69" s="153"/>
      <c r="D69" s="154">
        <f t="shared" si="6"/>
        <v>0</v>
      </c>
      <c r="E69" s="154">
        <f t="shared" si="8"/>
        <v>0</v>
      </c>
      <c r="F69" s="452" t="e">
        <f t="shared" si="9"/>
        <v>#DIV/0!</v>
      </c>
      <c r="G69" s="154"/>
      <c r="H69" s="155"/>
      <c r="I69" s="379"/>
      <c r="J69" s="155"/>
      <c r="K69" s="154"/>
      <c r="L69" s="379"/>
      <c r="M69" s="313"/>
      <c r="N69" s="154"/>
      <c r="O69" s="211"/>
      <c r="P69" s="153"/>
      <c r="Q69" s="154"/>
      <c r="R69" s="265"/>
    </row>
    <row r="70" spans="1:18" s="11" customFormat="1" ht="36" hidden="1">
      <c r="A70" s="151"/>
      <c r="B70" s="220" t="s">
        <v>362</v>
      </c>
      <c r="C70" s="153"/>
      <c r="D70" s="154">
        <f>G70+J70+P70+M70</f>
        <v>0</v>
      </c>
      <c r="E70" s="154">
        <f>SUM(H70+K70+N70+Q70)</f>
        <v>0</v>
      </c>
      <c r="F70" s="452" t="e">
        <f>E70/D70*100</f>
        <v>#DIV/0!</v>
      </c>
      <c r="G70" s="154"/>
      <c r="H70" s="155"/>
      <c r="I70" s="379"/>
      <c r="J70" s="155"/>
      <c r="K70" s="154"/>
      <c r="L70" s="379"/>
      <c r="M70" s="313"/>
      <c r="N70" s="154"/>
      <c r="O70" s="211"/>
      <c r="P70" s="153"/>
      <c r="Q70" s="154"/>
      <c r="R70" s="265" t="e">
        <f>Q70/P70*100</f>
        <v>#DIV/0!</v>
      </c>
    </row>
    <row r="71" spans="1:18" s="11" customFormat="1" ht="36" hidden="1">
      <c r="A71" s="151"/>
      <c r="B71" s="220" t="s">
        <v>270</v>
      </c>
      <c r="C71" s="153"/>
      <c r="D71" s="154">
        <f t="shared" si="6"/>
        <v>0</v>
      </c>
      <c r="E71" s="154">
        <f t="shared" si="8"/>
        <v>0</v>
      </c>
      <c r="F71" s="452" t="e">
        <f t="shared" si="9"/>
        <v>#DIV/0!</v>
      </c>
      <c r="G71" s="154"/>
      <c r="H71" s="155"/>
      <c r="I71" s="379"/>
      <c r="J71" s="155"/>
      <c r="K71" s="154"/>
      <c r="L71" s="379"/>
      <c r="M71" s="313"/>
      <c r="N71" s="154"/>
      <c r="O71" s="211" t="e">
        <f t="shared" si="7"/>
        <v>#DIV/0!</v>
      </c>
      <c r="P71" s="153"/>
      <c r="Q71" s="154"/>
      <c r="R71" s="265"/>
    </row>
    <row r="72" spans="1:18" s="11" customFormat="1" ht="36">
      <c r="A72" s="151"/>
      <c r="B72" s="220" t="s">
        <v>354</v>
      </c>
      <c r="C72" s="153">
        <v>4500000</v>
      </c>
      <c r="D72" s="154">
        <f t="shared" si="6"/>
        <v>4500000</v>
      </c>
      <c r="E72" s="154">
        <f t="shared" si="8"/>
        <v>2204080</v>
      </c>
      <c r="F72" s="452">
        <f t="shared" si="9"/>
        <v>48.97955555555556</v>
      </c>
      <c r="G72" s="154"/>
      <c r="H72" s="155"/>
      <c r="I72" s="379"/>
      <c r="J72" s="155"/>
      <c r="K72" s="154"/>
      <c r="L72" s="379"/>
      <c r="M72" s="313">
        <v>4500000</v>
      </c>
      <c r="N72" s="154">
        <v>2204080</v>
      </c>
      <c r="O72" s="211">
        <f t="shared" si="7"/>
        <v>48.97955555555556</v>
      </c>
      <c r="P72" s="153"/>
      <c r="Q72" s="154"/>
      <c r="R72" s="265"/>
    </row>
    <row r="73" spans="1:18" s="11" customFormat="1" ht="60">
      <c r="A73" s="427"/>
      <c r="B73" s="428" t="s">
        <v>169</v>
      </c>
      <c r="C73" s="429">
        <v>4700000</v>
      </c>
      <c r="D73" s="430">
        <f t="shared" si="6"/>
        <v>3000000</v>
      </c>
      <c r="E73" s="430">
        <f t="shared" si="8"/>
        <v>3664</v>
      </c>
      <c r="F73" s="453">
        <f>E73/D73*100</f>
        <v>0.12213333333333334</v>
      </c>
      <c r="G73" s="430"/>
      <c r="H73" s="431"/>
      <c r="I73" s="404"/>
      <c r="J73" s="431"/>
      <c r="K73" s="430"/>
      <c r="L73" s="404"/>
      <c r="M73" s="523">
        <f>4700000-1700000</f>
        <v>3000000</v>
      </c>
      <c r="N73" s="430">
        <v>3664</v>
      </c>
      <c r="O73" s="259">
        <f t="shared" si="7"/>
        <v>0.12213333333333334</v>
      </c>
      <c r="P73" s="429"/>
      <c r="Q73" s="430"/>
      <c r="R73" s="312"/>
    </row>
    <row r="74" spans="1:18" s="11" customFormat="1" ht="24">
      <c r="A74" s="151"/>
      <c r="B74" s="220" t="s">
        <v>355</v>
      </c>
      <c r="C74" s="153">
        <v>1600000</v>
      </c>
      <c r="D74" s="154">
        <f t="shared" si="6"/>
        <v>1600000</v>
      </c>
      <c r="E74" s="154">
        <f t="shared" si="8"/>
        <v>26648</v>
      </c>
      <c r="F74" s="452">
        <f t="shared" si="9"/>
        <v>1.6655</v>
      </c>
      <c r="G74" s="154"/>
      <c r="H74" s="155"/>
      <c r="I74" s="379"/>
      <c r="J74" s="155"/>
      <c r="K74" s="154"/>
      <c r="L74" s="379"/>
      <c r="M74" s="313">
        <v>1600000</v>
      </c>
      <c r="N74" s="154">
        <v>26648</v>
      </c>
      <c r="O74" s="426">
        <f t="shared" si="7"/>
        <v>1.6655</v>
      </c>
      <c r="P74" s="153"/>
      <c r="Q74" s="154"/>
      <c r="R74" s="265"/>
    </row>
    <row r="75" spans="1:18" s="11" customFormat="1" ht="24">
      <c r="A75" s="151"/>
      <c r="B75" s="220" t="s">
        <v>667</v>
      </c>
      <c r="C75" s="153"/>
      <c r="D75" s="154">
        <f t="shared" si="6"/>
        <v>10000</v>
      </c>
      <c r="E75" s="154">
        <f t="shared" si="8"/>
        <v>9760</v>
      </c>
      <c r="F75" s="452">
        <f t="shared" si="9"/>
        <v>97.6</v>
      </c>
      <c r="G75" s="154"/>
      <c r="H75" s="155"/>
      <c r="I75" s="379"/>
      <c r="J75" s="155"/>
      <c r="K75" s="154"/>
      <c r="L75" s="379"/>
      <c r="M75" s="313">
        <v>10000</v>
      </c>
      <c r="N75" s="154">
        <v>9760</v>
      </c>
      <c r="O75" s="426">
        <f t="shared" si="7"/>
        <v>97.6</v>
      </c>
      <c r="P75" s="153"/>
      <c r="Q75" s="154"/>
      <c r="R75" s="265"/>
    </row>
    <row r="76" spans="1:18" s="11" customFormat="1" ht="24">
      <c r="A76" s="151"/>
      <c r="B76" s="220" t="s">
        <v>668</v>
      </c>
      <c r="C76" s="153"/>
      <c r="D76" s="154">
        <f t="shared" si="6"/>
        <v>100000</v>
      </c>
      <c r="E76" s="154">
        <f t="shared" si="8"/>
        <v>207</v>
      </c>
      <c r="F76" s="452">
        <f t="shared" si="9"/>
        <v>0.207</v>
      </c>
      <c r="G76" s="154"/>
      <c r="H76" s="155"/>
      <c r="I76" s="379"/>
      <c r="J76" s="155"/>
      <c r="K76" s="154"/>
      <c r="L76" s="379"/>
      <c r="M76" s="313">
        <v>100000</v>
      </c>
      <c r="N76" s="154">
        <v>207</v>
      </c>
      <c r="O76" s="426">
        <f t="shared" si="7"/>
        <v>0.207</v>
      </c>
      <c r="P76" s="153"/>
      <c r="Q76" s="154"/>
      <c r="R76" s="265"/>
    </row>
    <row r="77" spans="1:18" s="11" customFormat="1" ht="29.25" customHeight="1">
      <c r="A77" s="151"/>
      <c r="B77" s="220" t="s">
        <v>170</v>
      </c>
      <c r="C77" s="153">
        <v>300000</v>
      </c>
      <c r="D77" s="154">
        <f t="shared" si="6"/>
        <v>300000</v>
      </c>
      <c r="E77" s="154">
        <f t="shared" si="8"/>
        <v>0</v>
      </c>
      <c r="F77" s="452">
        <f t="shared" si="9"/>
        <v>0</v>
      </c>
      <c r="G77" s="154"/>
      <c r="H77" s="155"/>
      <c r="I77" s="379"/>
      <c r="J77" s="155"/>
      <c r="K77" s="154"/>
      <c r="L77" s="379"/>
      <c r="M77" s="313">
        <v>300000</v>
      </c>
      <c r="N77" s="154"/>
      <c r="O77" s="426">
        <f t="shared" si="7"/>
        <v>0</v>
      </c>
      <c r="P77" s="153"/>
      <c r="Q77" s="154"/>
      <c r="R77" s="265"/>
    </row>
    <row r="78" spans="1:18" s="11" customFormat="1" ht="24">
      <c r="A78" s="151"/>
      <c r="B78" s="220" t="s">
        <v>171</v>
      </c>
      <c r="C78" s="153">
        <v>50000</v>
      </c>
      <c r="D78" s="154">
        <f t="shared" si="6"/>
        <v>50000</v>
      </c>
      <c r="E78" s="154">
        <f t="shared" si="8"/>
        <v>42220</v>
      </c>
      <c r="F78" s="452">
        <f t="shared" si="9"/>
        <v>84.44</v>
      </c>
      <c r="G78" s="154"/>
      <c r="H78" s="155"/>
      <c r="I78" s="379"/>
      <c r="J78" s="155"/>
      <c r="K78" s="154"/>
      <c r="L78" s="379"/>
      <c r="M78" s="313">
        <v>50000</v>
      </c>
      <c r="N78" s="154">
        <v>42220</v>
      </c>
      <c r="O78" s="426">
        <f t="shared" si="7"/>
        <v>84.44</v>
      </c>
      <c r="P78" s="153"/>
      <c r="Q78" s="154"/>
      <c r="R78" s="265"/>
    </row>
    <row r="79" spans="1:18" s="11" customFormat="1" ht="24">
      <c r="A79" s="151"/>
      <c r="B79" s="220" t="s">
        <v>360</v>
      </c>
      <c r="C79" s="153">
        <v>300000</v>
      </c>
      <c r="D79" s="154">
        <f t="shared" si="6"/>
        <v>300000</v>
      </c>
      <c r="E79" s="154">
        <f t="shared" si="8"/>
        <v>196928</v>
      </c>
      <c r="F79" s="452">
        <f t="shared" si="9"/>
        <v>65.64266666666667</v>
      </c>
      <c r="G79" s="154"/>
      <c r="H79" s="155"/>
      <c r="I79" s="379"/>
      <c r="J79" s="155"/>
      <c r="K79" s="154"/>
      <c r="L79" s="379"/>
      <c r="M79" s="313">
        <v>300000</v>
      </c>
      <c r="N79" s="154">
        <f>196928</f>
        <v>196928</v>
      </c>
      <c r="O79" s="426">
        <f t="shared" si="7"/>
        <v>65.64266666666667</v>
      </c>
      <c r="P79" s="153"/>
      <c r="Q79" s="154"/>
      <c r="R79" s="265"/>
    </row>
    <row r="80" spans="1:18" s="11" customFormat="1" ht="48">
      <c r="A80" s="151"/>
      <c r="B80" s="220" t="s">
        <v>356</v>
      </c>
      <c r="C80" s="153">
        <v>2000000</v>
      </c>
      <c r="D80" s="154">
        <f t="shared" si="6"/>
        <v>1023000</v>
      </c>
      <c r="E80" s="154">
        <f t="shared" si="8"/>
        <v>6710</v>
      </c>
      <c r="F80" s="452">
        <f t="shared" si="9"/>
        <v>0.6559139784946236</v>
      </c>
      <c r="G80" s="154"/>
      <c r="H80" s="155"/>
      <c r="I80" s="379"/>
      <c r="J80" s="155"/>
      <c r="K80" s="154"/>
      <c r="L80" s="379"/>
      <c r="M80" s="313">
        <f>2000000-977000</f>
        <v>1023000</v>
      </c>
      <c r="N80" s="154">
        <v>6710</v>
      </c>
      <c r="O80" s="426">
        <f t="shared" si="7"/>
        <v>0.6559139784946236</v>
      </c>
      <c r="P80" s="153"/>
      <c r="Q80" s="154"/>
      <c r="R80" s="265"/>
    </row>
    <row r="81" spans="1:18" s="11" customFormat="1" ht="48">
      <c r="A81" s="151"/>
      <c r="B81" s="220" t="s">
        <v>48</v>
      </c>
      <c r="C81" s="153"/>
      <c r="D81" s="154">
        <f>G81+J81+P81+M81</f>
        <v>977000</v>
      </c>
      <c r="E81" s="154">
        <f>SUM(H81+K81+N81+Q81)</f>
        <v>0</v>
      </c>
      <c r="F81" s="452">
        <f>E81/D81*100</f>
        <v>0</v>
      </c>
      <c r="G81" s="154"/>
      <c r="H81" s="155"/>
      <c r="I81" s="379"/>
      <c r="J81" s="155"/>
      <c r="K81" s="154"/>
      <c r="L81" s="379"/>
      <c r="M81" s="313">
        <v>977000</v>
      </c>
      <c r="N81" s="154"/>
      <c r="O81" s="426">
        <f t="shared" si="7"/>
        <v>0</v>
      </c>
      <c r="P81" s="153"/>
      <c r="Q81" s="154"/>
      <c r="R81" s="265"/>
    </row>
    <row r="82" spans="1:18" s="11" customFormat="1" ht="24">
      <c r="A82" s="151"/>
      <c r="B82" s="519" t="s">
        <v>172</v>
      </c>
      <c r="C82" s="153">
        <v>390000</v>
      </c>
      <c r="D82" s="154">
        <f>G82+J82+P82+M82</f>
        <v>390000</v>
      </c>
      <c r="E82" s="154">
        <f>SUM(H82+K82+N82+Q82)</f>
        <v>62983</v>
      </c>
      <c r="F82" s="452">
        <f>E82/D82*100</f>
        <v>16.149487179487178</v>
      </c>
      <c r="G82" s="154"/>
      <c r="H82" s="155"/>
      <c r="I82" s="379"/>
      <c r="J82" s="155"/>
      <c r="K82" s="154"/>
      <c r="L82" s="379"/>
      <c r="M82" s="313">
        <v>390000</v>
      </c>
      <c r="N82" s="154">
        <f>62984-1</f>
        <v>62983</v>
      </c>
      <c r="O82" s="426">
        <f t="shared" si="7"/>
        <v>16.149487179487178</v>
      </c>
      <c r="P82" s="153"/>
      <c r="Q82" s="154"/>
      <c r="R82" s="265"/>
    </row>
    <row r="83" spans="1:18" s="11" customFormat="1" ht="12" customHeight="1">
      <c r="A83" s="427"/>
      <c r="B83" s="428" t="s">
        <v>368</v>
      </c>
      <c r="C83" s="429">
        <v>50000</v>
      </c>
      <c r="D83" s="430">
        <f t="shared" si="6"/>
        <v>50000</v>
      </c>
      <c r="E83" s="430">
        <f t="shared" si="8"/>
        <v>0</v>
      </c>
      <c r="F83" s="453">
        <f t="shared" si="9"/>
        <v>0</v>
      </c>
      <c r="G83" s="430"/>
      <c r="H83" s="431"/>
      <c r="I83" s="404"/>
      <c r="J83" s="431"/>
      <c r="K83" s="430"/>
      <c r="L83" s="404"/>
      <c r="M83" s="523">
        <v>50000</v>
      </c>
      <c r="N83" s="430"/>
      <c r="O83" s="446">
        <f t="shared" si="7"/>
        <v>0</v>
      </c>
      <c r="P83" s="429"/>
      <c r="Q83" s="430"/>
      <c r="R83" s="312"/>
    </row>
    <row r="84" spans="1:18" ht="48" hidden="1">
      <c r="A84" s="111">
        <v>6058</v>
      </c>
      <c r="B84" s="115" t="s">
        <v>508</v>
      </c>
      <c r="C84" s="79"/>
      <c r="D84" s="65">
        <f t="shared" si="6"/>
        <v>0</v>
      </c>
      <c r="E84" s="80">
        <f t="shared" si="8"/>
        <v>0</v>
      </c>
      <c r="F84" s="452" t="e">
        <f t="shared" si="9"/>
        <v>#DIV/0!</v>
      </c>
      <c r="G84" s="80"/>
      <c r="H84" s="113"/>
      <c r="I84" s="356"/>
      <c r="J84" s="113"/>
      <c r="K84" s="80"/>
      <c r="L84" s="379"/>
      <c r="M84" s="141"/>
      <c r="N84" s="80"/>
      <c r="O84" s="211" t="e">
        <f t="shared" si="7"/>
        <v>#DIV/0!</v>
      </c>
      <c r="P84" s="79"/>
      <c r="Q84" s="80"/>
      <c r="R84" s="349"/>
    </row>
    <row r="85" spans="1:18" ht="48" hidden="1">
      <c r="A85" s="111">
        <v>6059</v>
      </c>
      <c r="B85" s="115" t="s">
        <v>508</v>
      </c>
      <c r="C85" s="79"/>
      <c r="D85" s="65">
        <f t="shared" si="6"/>
        <v>0</v>
      </c>
      <c r="E85" s="80">
        <f t="shared" si="8"/>
        <v>0</v>
      </c>
      <c r="F85" s="452" t="e">
        <f t="shared" si="9"/>
        <v>#DIV/0!</v>
      </c>
      <c r="G85" s="80"/>
      <c r="H85" s="113"/>
      <c r="I85" s="356"/>
      <c r="J85" s="113"/>
      <c r="K85" s="80"/>
      <c r="L85" s="379"/>
      <c r="M85" s="141"/>
      <c r="N85" s="80"/>
      <c r="O85" s="211" t="e">
        <f t="shared" si="7"/>
        <v>#DIV/0!</v>
      </c>
      <c r="P85" s="79"/>
      <c r="Q85" s="80"/>
      <c r="R85" s="349"/>
    </row>
    <row r="86" spans="1:18" ht="36" hidden="1">
      <c r="A86" s="111">
        <v>6058</v>
      </c>
      <c r="B86" s="115" t="s">
        <v>210</v>
      </c>
      <c r="C86" s="79"/>
      <c r="D86" s="65">
        <f t="shared" si="6"/>
        <v>0</v>
      </c>
      <c r="E86" s="80">
        <f t="shared" si="8"/>
        <v>0</v>
      </c>
      <c r="F86" s="452" t="e">
        <f t="shared" si="9"/>
        <v>#DIV/0!</v>
      </c>
      <c r="G86" s="80"/>
      <c r="H86" s="113"/>
      <c r="I86" s="356"/>
      <c r="J86" s="113"/>
      <c r="K86" s="80"/>
      <c r="L86" s="379"/>
      <c r="M86" s="141"/>
      <c r="N86" s="80"/>
      <c r="O86" s="211" t="e">
        <f t="shared" si="7"/>
        <v>#DIV/0!</v>
      </c>
      <c r="P86" s="79"/>
      <c r="Q86" s="80"/>
      <c r="R86" s="349"/>
    </row>
    <row r="87" spans="1:18" ht="36" hidden="1">
      <c r="A87" s="111">
        <v>6059</v>
      </c>
      <c r="B87" s="115" t="s">
        <v>210</v>
      </c>
      <c r="C87" s="79"/>
      <c r="D87" s="65">
        <f t="shared" si="6"/>
        <v>0</v>
      </c>
      <c r="E87" s="80">
        <f t="shared" si="8"/>
        <v>0</v>
      </c>
      <c r="F87" s="452" t="e">
        <f t="shared" si="9"/>
        <v>#DIV/0!</v>
      </c>
      <c r="G87" s="80"/>
      <c r="H87" s="113"/>
      <c r="I87" s="356"/>
      <c r="J87" s="113"/>
      <c r="K87" s="80"/>
      <c r="L87" s="379"/>
      <c r="M87" s="141"/>
      <c r="N87" s="80"/>
      <c r="O87" s="211" t="e">
        <f t="shared" si="7"/>
        <v>#DIV/0!</v>
      </c>
      <c r="P87" s="79"/>
      <c r="Q87" s="80"/>
      <c r="R87" s="349"/>
    </row>
    <row r="88" spans="1:18" ht="48" hidden="1">
      <c r="A88" s="111">
        <v>6051</v>
      </c>
      <c r="B88" s="115" t="s">
        <v>509</v>
      </c>
      <c r="C88" s="79"/>
      <c r="D88" s="65">
        <f t="shared" si="6"/>
        <v>0</v>
      </c>
      <c r="E88" s="80">
        <f t="shared" si="8"/>
        <v>0</v>
      </c>
      <c r="F88" s="452" t="e">
        <f t="shared" si="9"/>
        <v>#DIV/0!</v>
      </c>
      <c r="G88" s="80"/>
      <c r="H88" s="113"/>
      <c r="I88" s="356"/>
      <c r="J88" s="113"/>
      <c r="K88" s="80"/>
      <c r="L88" s="379"/>
      <c r="M88" s="141"/>
      <c r="N88" s="80"/>
      <c r="O88" s="211" t="e">
        <f t="shared" si="7"/>
        <v>#DIV/0!</v>
      </c>
      <c r="P88" s="79"/>
      <c r="Q88" s="80"/>
      <c r="R88" s="349"/>
    </row>
    <row r="89" spans="1:18" ht="48" hidden="1">
      <c r="A89" s="111">
        <v>6053</v>
      </c>
      <c r="B89" s="115" t="s">
        <v>431</v>
      </c>
      <c r="C89" s="79"/>
      <c r="D89" s="65">
        <f t="shared" si="6"/>
        <v>0</v>
      </c>
      <c r="E89" s="80">
        <f t="shared" si="8"/>
        <v>0</v>
      </c>
      <c r="F89" s="452" t="e">
        <f t="shared" si="9"/>
        <v>#DIV/0!</v>
      </c>
      <c r="G89" s="80"/>
      <c r="H89" s="113"/>
      <c r="I89" s="356"/>
      <c r="J89" s="113"/>
      <c r="K89" s="80"/>
      <c r="L89" s="379"/>
      <c r="M89" s="141"/>
      <c r="N89" s="142"/>
      <c r="O89" s="211" t="e">
        <f t="shared" si="7"/>
        <v>#DIV/0!</v>
      </c>
      <c r="P89" s="79"/>
      <c r="Q89" s="80"/>
      <c r="R89" s="349"/>
    </row>
    <row r="90" spans="1:18" s="105" customFormat="1" ht="24">
      <c r="A90" s="106">
        <v>60016</v>
      </c>
      <c r="B90" s="107" t="s">
        <v>510</v>
      </c>
      <c r="C90" s="73">
        <f>SUM(C92:C98)</f>
        <v>16370000</v>
      </c>
      <c r="D90" s="86">
        <f t="shared" si="6"/>
        <v>13634604</v>
      </c>
      <c r="E90" s="75">
        <f>H90+K90+Q90+N90</f>
        <v>3631342</v>
      </c>
      <c r="F90" s="451">
        <f t="shared" si="9"/>
        <v>26.633278091538266</v>
      </c>
      <c r="G90" s="78">
        <f>SUM(G91:G98)</f>
        <v>13634604</v>
      </c>
      <c r="H90" s="78">
        <f>SUM(H91:H98)</f>
        <v>3631342</v>
      </c>
      <c r="I90" s="301">
        <f aca="true" t="shared" si="10" ref="I90:I153">H90/G90*100</f>
        <v>26.633278091538266</v>
      </c>
      <c r="J90" s="143"/>
      <c r="K90" s="78"/>
      <c r="L90" s="256"/>
      <c r="M90" s="78"/>
      <c r="N90" s="78"/>
      <c r="O90" s="389"/>
      <c r="P90" s="73"/>
      <c r="Q90" s="78"/>
      <c r="R90" s="348"/>
    </row>
    <row r="91" spans="1:18" ht="24" hidden="1">
      <c r="A91" s="111">
        <v>4170</v>
      </c>
      <c r="B91" s="112" t="s">
        <v>511</v>
      </c>
      <c r="C91" s="79"/>
      <c r="D91" s="65">
        <f t="shared" si="6"/>
        <v>0</v>
      </c>
      <c r="E91" s="80">
        <f>SUM(H91+K91+N91+Q91)</f>
        <v>0</v>
      </c>
      <c r="F91" s="452"/>
      <c r="G91" s="79"/>
      <c r="H91" s="114"/>
      <c r="I91" s="211" t="e">
        <f>H91/G91*100</f>
        <v>#DIV/0!</v>
      </c>
      <c r="J91" s="140"/>
      <c r="K91" s="114"/>
      <c r="L91" s="211"/>
      <c r="M91" s="114"/>
      <c r="N91" s="114"/>
      <c r="O91" s="390"/>
      <c r="P91" s="488"/>
      <c r="Q91" s="114"/>
      <c r="R91" s="349"/>
    </row>
    <row r="92" spans="1:18" ht="24" hidden="1">
      <c r="A92" s="111">
        <v>4210</v>
      </c>
      <c r="B92" s="112" t="s">
        <v>481</v>
      </c>
      <c r="C92" s="79"/>
      <c r="D92" s="65">
        <f t="shared" si="6"/>
        <v>0</v>
      </c>
      <c r="E92" s="80">
        <f t="shared" si="8"/>
        <v>0</v>
      </c>
      <c r="F92" s="452" t="e">
        <f aca="true" t="shared" si="11" ref="F92:F104">E92/D92*100</f>
        <v>#DIV/0!</v>
      </c>
      <c r="G92" s="79"/>
      <c r="H92" s="114"/>
      <c r="I92" s="211" t="e">
        <f t="shared" si="10"/>
        <v>#DIV/0!</v>
      </c>
      <c r="J92" s="140"/>
      <c r="K92" s="114"/>
      <c r="L92" s="211"/>
      <c r="M92" s="114"/>
      <c r="N92" s="114"/>
      <c r="O92" s="390"/>
      <c r="P92" s="488"/>
      <c r="Q92" s="114"/>
      <c r="R92" s="349"/>
    </row>
    <row r="93" spans="1:18" ht="16.5" customHeight="1">
      <c r="A93" s="111">
        <v>4270</v>
      </c>
      <c r="B93" s="115" t="s">
        <v>487</v>
      </c>
      <c r="C93" s="79">
        <v>720000</v>
      </c>
      <c r="D93" s="65">
        <f t="shared" si="6"/>
        <v>660700</v>
      </c>
      <c r="E93" s="80">
        <f t="shared" si="8"/>
        <v>238168</v>
      </c>
      <c r="F93" s="452">
        <f t="shared" si="11"/>
        <v>36.04782806114727</v>
      </c>
      <c r="G93" s="79">
        <f>720000-24000-35300</f>
        <v>660700</v>
      </c>
      <c r="H93" s="80">
        <v>238168</v>
      </c>
      <c r="I93" s="211">
        <f t="shared" si="10"/>
        <v>36.04782806114727</v>
      </c>
      <c r="J93" s="113"/>
      <c r="K93" s="114"/>
      <c r="L93" s="211"/>
      <c r="M93" s="80"/>
      <c r="N93" s="80"/>
      <c r="O93" s="356"/>
      <c r="P93" s="79"/>
      <c r="Q93" s="80"/>
      <c r="R93" s="350"/>
    </row>
    <row r="94" spans="1:18" ht="14.25" customHeight="1">
      <c r="A94" s="111">
        <v>4300</v>
      </c>
      <c r="B94" s="115" t="s">
        <v>489</v>
      </c>
      <c r="C94" s="79">
        <v>45000</v>
      </c>
      <c r="D94" s="65">
        <f t="shared" si="6"/>
        <v>45000</v>
      </c>
      <c r="E94" s="80">
        <f t="shared" si="8"/>
        <v>24304</v>
      </c>
      <c r="F94" s="452">
        <f t="shared" si="11"/>
        <v>54.00888888888888</v>
      </c>
      <c r="G94" s="79">
        <v>45000</v>
      </c>
      <c r="H94" s="80">
        <v>24304</v>
      </c>
      <c r="I94" s="211">
        <f t="shared" si="10"/>
        <v>54.00888888888888</v>
      </c>
      <c r="J94" s="113"/>
      <c r="K94" s="114"/>
      <c r="L94" s="211"/>
      <c r="M94" s="80"/>
      <c r="N94" s="80"/>
      <c r="O94" s="356"/>
      <c r="P94" s="79"/>
      <c r="Q94" s="80"/>
      <c r="R94" s="350"/>
    </row>
    <row r="95" spans="1:18" ht="36">
      <c r="A95" s="111">
        <v>4390</v>
      </c>
      <c r="B95" s="115" t="s">
        <v>271</v>
      </c>
      <c r="C95" s="79">
        <v>5000</v>
      </c>
      <c r="D95" s="65">
        <f t="shared" si="6"/>
        <v>5000</v>
      </c>
      <c r="E95" s="80">
        <f t="shared" si="8"/>
        <v>0</v>
      </c>
      <c r="F95" s="452">
        <f t="shared" si="11"/>
        <v>0</v>
      </c>
      <c r="G95" s="79">
        <v>5000</v>
      </c>
      <c r="H95" s="80"/>
      <c r="I95" s="211">
        <f t="shared" si="10"/>
        <v>0</v>
      </c>
      <c r="J95" s="113"/>
      <c r="K95" s="114"/>
      <c r="L95" s="211"/>
      <c r="M95" s="80"/>
      <c r="N95" s="80"/>
      <c r="O95" s="356"/>
      <c r="P95" s="79"/>
      <c r="Q95" s="80"/>
      <c r="R95" s="350"/>
    </row>
    <row r="96" spans="1:18" ht="12.75" hidden="1">
      <c r="A96" s="111">
        <v>4580</v>
      </c>
      <c r="B96" s="115" t="s">
        <v>525</v>
      </c>
      <c r="C96" s="79"/>
      <c r="D96" s="65">
        <f>G96+J96+P96+M96</f>
        <v>0</v>
      </c>
      <c r="E96" s="80">
        <f>SUM(H96+K96+N96+Q96)</f>
        <v>0</v>
      </c>
      <c r="F96" s="452" t="e">
        <f>E96/D96*100</f>
        <v>#DIV/0!</v>
      </c>
      <c r="G96" s="79"/>
      <c r="H96" s="80"/>
      <c r="I96" s="426" t="e">
        <f t="shared" si="10"/>
        <v>#DIV/0!</v>
      </c>
      <c r="J96" s="113"/>
      <c r="K96" s="114"/>
      <c r="L96" s="211"/>
      <c r="M96" s="80"/>
      <c r="N96" s="80"/>
      <c r="O96" s="356"/>
      <c r="P96" s="79"/>
      <c r="Q96" s="80"/>
      <c r="R96" s="350"/>
    </row>
    <row r="97" spans="1:18" ht="36" hidden="1">
      <c r="A97" s="111">
        <v>4610</v>
      </c>
      <c r="B97" s="276" t="s">
        <v>548</v>
      </c>
      <c r="C97" s="79"/>
      <c r="D97" s="65">
        <f t="shared" si="6"/>
        <v>0</v>
      </c>
      <c r="E97" s="80">
        <f t="shared" si="8"/>
        <v>0</v>
      </c>
      <c r="F97" s="452" t="e">
        <f t="shared" si="11"/>
        <v>#DIV/0!</v>
      </c>
      <c r="G97" s="79"/>
      <c r="H97" s="80"/>
      <c r="I97" s="426" t="e">
        <f t="shared" si="10"/>
        <v>#DIV/0!</v>
      </c>
      <c r="J97" s="113"/>
      <c r="K97" s="114"/>
      <c r="L97" s="211"/>
      <c r="M97" s="80"/>
      <c r="N97" s="80"/>
      <c r="O97" s="356"/>
      <c r="P97" s="79"/>
      <c r="Q97" s="80"/>
      <c r="R97" s="356"/>
    </row>
    <row r="98" spans="1:18" ht="24">
      <c r="A98" s="111">
        <v>6050</v>
      </c>
      <c r="B98" s="276" t="s">
        <v>549</v>
      </c>
      <c r="C98" s="79">
        <f>SUM(C99:C119)</f>
        <v>15600000</v>
      </c>
      <c r="D98" s="65">
        <f t="shared" si="6"/>
        <v>12923904</v>
      </c>
      <c r="E98" s="80">
        <f>SUM(H98+K98+N98+Q98)</f>
        <v>3368870</v>
      </c>
      <c r="F98" s="452">
        <f>E98/D98*100</f>
        <v>26.066968618770304</v>
      </c>
      <c r="G98" s="79">
        <f>SUM(G99:G119)</f>
        <v>12923904</v>
      </c>
      <c r="H98" s="80">
        <f>SUM(H99:H119)</f>
        <v>3368870</v>
      </c>
      <c r="I98" s="211">
        <f t="shared" si="10"/>
        <v>26.066968618770304</v>
      </c>
      <c r="J98" s="113"/>
      <c r="K98" s="114"/>
      <c r="L98" s="211"/>
      <c r="M98" s="80"/>
      <c r="N98" s="80"/>
      <c r="O98" s="356"/>
      <c r="P98" s="79"/>
      <c r="Q98" s="80"/>
      <c r="R98" s="350"/>
    </row>
    <row r="99" spans="1:18" s="11" customFormat="1" ht="12.75">
      <c r="A99" s="151"/>
      <c r="B99" s="152" t="s">
        <v>364</v>
      </c>
      <c r="C99" s="153">
        <v>100000</v>
      </c>
      <c r="D99" s="154">
        <f t="shared" si="6"/>
        <v>100000</v>
      </c>
      <c r="E99" s="154">
        <f t="shared" si="8"/>
        <v>0</v>
      </c>
      <c r="F99" s="452">
        <f t="shared" si="11"/>
        <v>0</v>
      </c>
      <c r="G99" s="153">
        <v>100000</v>
      </c>
      <c r="H99" s="154"/>
      <c r="I99" s="211">
        <f t="shared" si="10"/>
        <v>0</v>
      </c>
      <c r="J99" s="155"/>
      <c r="K99" s="491"/>
      <c r="L99" s="211"/>
      <c r="M99" s="154"/>
      <c r="N99" s="154"/>
      <c r="O99" s="379"/>
      <c r="P99" s="153"/>
      <c r="Q99" s="154"/>
      <c r="R99" s="357"/>
    </row>
    <row r="100" spans="1:18" s="11" customFormat="1" ht="24">
      <c r="A100" s="151"/>
      <c r="B100" s="152" t="s">
        <v>272</v>
      </c>
      <c r="C100" s="153">
        <v>1900000</v>
      </c>
      <c r="D100" s="154">
        <f t="shared" si="6"/>
        <v>1800000</v>
      </c>
      <c r="E100" s="154">
        <f t="shared" si="8"/>
        <v>1040108</v>
      </c>
      <c r="F100" s="452">
        <f t="shared" si="11"/>
        <v>57.78377777777778</v>
      </c>
      <c r="G100" s="153">
        <f>1900000-100000</f>
        <v>1800000</v>
      </c>
      <c r="H100" s="154">
        <f>5189+114837-1+56682+135352+168198+189186+210064+160602-1</f>
        <v>1040108</v>
      </c>
      <c r="I100" s="211">
        <f t="shared" si="10"/>
        <v>57.78377777777778</v>
      </c>
      <c r="J100" s="155"/>
      <c r="K100" s="491"/>
      <c r="L100" s="211"/>
      <c r="M100" s="154"/>
      <c r="N100" s="154"/>
      <c r="O100" s="379"/>
      <c r="P100" s="153"/>
      <c r="Q100" s="154"/>
      <c r="R100" s="357"/>
    </row>
    <row r="101" spans="1:18" s="11" customFormat="1" ht="36">
      <c r="A101" s="427"/>
      <c r="B101" s="603" t="s">
        <v>365</v>
      </c>
      <c r="C101" s="429">
        <v>300000</v>
      </c>
      <c r="D101" s="430">
        <f t="shared" si="6"/>
        <v>10000</v>
      </c>
      <c r="E101" s="430">
        <f t="shared" si="8"/>
        <v>0</v>
      </c>
      <c r="F101" s="453">
        <f t="shared" si="11"/>
        <v>0</v>
      </c>
      <c r="G101" s="429">
        <f>300000-200000-90000</f>
        <v>10000</v>
      </c>
      <c r="H101" s="430"/>
      <c r="I101" s="259">
        <f t="shared" si="10"/>
        <v>0</v>
      </c>
      <c r="J101" s="431"/>
      <c r="K101" s="604"/>
      <c r="L101" s="259"/>
      <c r="M101" s="430"/>
      <c r="N101" s="430"/>
      <c r="O101" s="404"/>
      <c r="P101" s="429"/>
      <c r="Q101" s="430"/>
      <c r="R101" s="416"/>
    </row>
    <row r="102" spans="1:18" s="11" customFormat="1" ht="36">
      <c r="A102" s="151"/>
      <c r="B102" s="152" t="s">
        <v>177</v>
      </c>
      <c r="C102" s="153">
        <v>500000</v>
      </c>
      <c r="D102" s="154">
        <f t="shared" si="6"/>
        <v>500000</v>
      </c>
      <c r="E102" s="154">
        <f t="shared" si="8"/>
        <v>0</v>
      </c>
      <c r="F102" s="452">
        <f t="shared" si="11"/>
        <v>0</v>
      </c>
      <c r="G102" s="153">
        <v>500000</v>
      </c>
      <c r="H102" s="154"/>
      <c r="I102" s="211">
        <f t="shared" si="10"/>
        <v>0</v>
      </c>
      <c r="J102" s="155"/>
      <c r="K102" s="491"/>
      <c r="L102" s="211"/>
      <c r="M102" s="154"/>
      <c r="N102" s="154"/>
      <c r="O102" s="379"/>
      <c r="P102" s="153"/>
      <c r="Q102" s="154"/>
      <c r="R102" s="357"/>
    </row>
    <row r="103" spans="1:18" s="11" customFormat="1" ht="26.25" customHeight="1">
      <c r="A103" s="151"/>
      <c r="B103" s="152" t="s">
        <v>278</v>
      </c>
      <c r="C103" s="153">
        <v>100000</v>
      </c>
      <c r="D103" s="154">
        <f t="shared" si="6"/>
        <v>100000</v>
      </c>
      <c r="E103" s="154">
        <f>SUM(H103+K103+N103+Q103)</f>
        <v>0</v>
      </c>
      <c r="F103" s="452">
        <f t="shared" si="11"/>
        <v>0</v>
      </c>
      <c r="G103" s="153">
        <v>100000</v>
      </c>
      <c r="H103" s="154"/>
      <c r="I103" s="211">
        <f t="shared" si="10"/>
        <v>0</v>
      </c>
      <c r="J103" s="155"/>
      <c r="K103" s="491"/>
      <c r="L103" s="211"/>
      <c r="M103" s="154"/>
      <c r="N103" s="154"/>
      <c r="O103" s="379"/>
      <c r="P103" s="153"/>
      <c r="Q103" s="154"/>
      <c r="R103" s="357"/>
    </row>
    <row r="104" spans="1:18" s="11" customFormat="1" ht="12.75">
      <c r="A104" s="151"/>
      <c r="B104" s="152" t="s">
        <v>273</v>
      </c>
      <c r="C104" s="153">
        <v>100000</v>
      </c>
      <c r="D104" s="154">
        <f t="shared" si="6"/>
        <v>100000</v>
      </c>
      <c r="E104" s="154">
        <f t="shared" si="8"/>
        <v>0</v>
      </c>
      <c r="F104" s="452">
        <f t="shared" si="11"/>
        <v>0</v>
      </c>
      <c r="G104" s="153">
        <v>100000</v>
      </c>
      <c r="H104" s="154"/>
      <c r="I104" s="379">
        <f t="shared" si="10"/>
        <v>0</v>
      </c>
      <c r="J104" s="155"/>
      <c r="K104" s="491"/>
      <c r="L104" s="211"/>
      <c r="M104" s="154"/>
      <c r="N104" s="154"/>
      <c r="O104" s="379"/>
      <c r="P104" s="153"/>
      <c r="Q104" s="154"/>
      <c r="R104" s="357"/>
    </row>
    <row r="105" spans="1:18" s="11" customFormat="1" ht="15" customHeight="1">
      <c r="A105" s="151"/>
      <c r="B105" s="152" t="s">
        <v>274</v>
      </c>
      <c r="C105" s="153">
        <v>600000</v>
      </c>
      <c r="D105" s="154">
        <f t="shared" si="6"/>
        <v>700000</v>
      </c>
      <c r="E105" s="154">
        <f t="shared" si="8"/>
        <v>2919</v>
      </c>
      <c r="F105" s="452">
        <f>E105/D105*100</f>
        <v>0.41700000000000004</v>
      </c>
      <c r="G105" s="153">
        <f>600000+100000</f>
        <v>700000</v>
      </c>
      <c r="H105" s="154">
        <v>2919</v>
      </c>
      <c r="I105" s="379">
        <f t="shared" si="10"/>
        <v>0.41700000000000004</v>
      </c>
      <c r="J105" s="155"/>
      <c r="K105" s="491"/>
      <c r="L105" s="211"/>
      <c r="M105" s="154"/>
      <c r="N105" s="154"/>
      <c r="O105" s="379"/>
      <c r="P105" s="153"/>
      <c r="Q105" s="154"/>
      <c r="R105" s="357"/>
    </row>
    <row r="106" spans="1:18" s="11" customFormat="1" ht="40.5" customHeight="1">
      <c r="A106" s="151"/>
      <c r="B106" s="152" t="s">
        <v>363</v>
      </c>
      <c r="C106" s="153">
        <v>850000</v>
      </c>
      <c r="D106" s="154">
        <f t="shared" si="6"/>
        <v>850000</v>
      </c>
      <c r="E106" s="154">
        <f>SUM(H106+K106+N106+Q106)</f>
        <v>100485</v>
      </c>
      <c r="F106" s="452">
        <f>E106/D106*100</f>
        <v>11.821764705882352</v>
      </c>
      <c r="G106" s="153">
        <v>850000</v>
      </c>
      <c r="H106" s="154">
        <v>100485</v>
      </c>
      <c r="I106" s="379">
        <f t="shared" si="10"/>
        <v>11.821764705882352</v>
      </c>
      <c r="J106" s="155"/>
      <c r="K106" s="491"/>
      <c r="L106" s="211"/>
      <c r="M106" s="154"/>
      <c r="N106" s="154"/>
      <c r="O106" s="379"/>
      <c r="P106" s="153"/>
      <c r="Q106" s="154"/>
      <c r="R106" s="357"/>
    </row>
    <row r="107" spans="1:18" s="11" customFormat="1" ht="36">
      <c r="A107" s="151"/>
      <c r="B107" s="152" t="s">
        <v>174</v>
      </c>
      <c r="C107" s="153">
        <v>1000000</v>
      </c>
      <c r="D107" s="154">
        <f t="shared" si="6"/>
        <v>1000000</v>
      </c>
      <c r="E107" s="154">
        <f t="shared" si="8"/>
        <v>573752</v>
      </c>
      <c r="F107" s="452">
        <f aca="true" t="shared" si="12" ref="F107:F165">E107/D107*100</f>
        <v>57.37520000000001</v>
      </c>
      <c r="G107" s="153">
        <v>1000000</v>
      </c>
      <c r="H107" s="154">
        <f>573753-1</f>
        <v>573752</v>
      </c>
      <c r="I107" s="379">
        <f t="shared" si="10"/>
        <v>57.37520000000001</v>
      </c>
      <c r="J107" s="155"/>
      <c r="K107" s="491"/>
      <c r="L107" s="211"/>
      <c r="M107" s="154"/>
      <c r="N107" s="154"/>
      <c r="O107" s="379"/>
      <c r="P107" s="153"/>
      <c r="Q107" s="154"/>
      <c r="R107" s="357"/>
    </row>
    <row r="108" spans="1:18" s="11" customFormat="1" ht="24">
      <c r="A108" s="151"/>
      <c r="B108" s="152" t="s">
        <v>275</v>
      </c>
      <c r="C108" s="153">
        <v>1300000</v>
      </c>
      <c r="D108" s="154">
        <f t="shared" si="6"/>
        <v>1300000</v>
      </c>
      <c r="E108" s="154">
        <f t="shared" si="8"/>
        <v>0</v>
      </c>
      <c r="F108" s="452">
        <f t="shared" si="12"/>
        <v>0</v>
      </c>
      <c r="G108" s="153">
        <v>1300000</v>
      </c>
      <c r="H108" s="154"/>
      <c r="I108" s="379">
        <f t="shared" si="10"/>
        <v>0</v>
      </c>
      <c r="J108" s="155"/>
      <c r="K108" s="491"/>
      <c r="L108" s="211"/>
      <c r="M108" s="154"/>
      <c r="N108" s="154"/>
      <c r="O108" s="379"/>
      <c r="P108" s="153"/>
      <c r="Q108" s="154"/>
      <c r="R108" s="357"/>
    </row>
    <row r="109" spans="1:18" s="11" customFormat="1" ht="38.25" customHeight="1">
      <c r="A109" s="151"/>
      <c r="B109" s="156" t="s">
        <v>277</v>
      </c>
      <c r="C109" s="153">
        <v>3500000</v>
      </c>
      <c r="D109" s="154">
        <f t="shared" si="6"/>
        <v>3500000</v>
      </c>
      <c r="E109" s="154">
        <f t="shared" si="8"/>
        <v>359120</v>
      </c>
      <c r="F109" s="452">
        <f t="shared" si="12"/>
        <v>10.260571428571428</v>
      </c>
      <c r="G109" s="153">
        <v>3500000</v>
      </c>
      <c r="H109" s="154">
        <v>359120</v>
      </c>
      <c r="I109" s="379">
        <f t="shared" si="10"/>
        <v>10.260571428571428</v>
      </c>
      <c r="J109" s="155"/>
      <c r="K109" s="491"/>
      <c r="L109" s="211"/>
      <c r="M109" s="154"/>
      <c r="N109" s="154"/>
      <c r="O109" s="379"/>
      <c r="P109" s="153"/>
      <c r="Q109" s="154"/>
      <c r="R109" s="357"/>
    </row>
    <row r="110" spans="1:18" s="11" customFormat="1" ht="24">
      <c r="A110" s="151"/>
      <c r="B110" s="156" t="s">
        <v>276</v>
      </c>
      <c r="C110" s="153">
        <v>2100000</v>
      </c>
      <c r="D110" s="154">
        <f t="shared" si="6"/>
        <v>1700000</v>
      </c>
      <c r="E110" s="154">
        <f t="shared" si="8"/>
        <v>1180947</v>
      </c>
      <c r="F110" s="452">
        <f t="shared" si="12"/>
        <v>69.46747058823529</v>
      </c>
      <c r="G110" s="153">
        <f>2100000-400000</f>
        <v>1700000</v>
      </c>
      <c r="H110" s="154">
        <v>1180947</v>
      </c>
      <c r="I110" s="379">
        <f t="shared" si="10"/>
        <v>69.46747058823529</v>
      </c>
      <c r="J110" s="155"/>
      <c r="K110" s="491"/>
      <c r="L110" s="211"/>
      <c r="M110" s="154"/>
      <c r="N110" s="154"/>
      <c r="O110" s="379"/>
      <c r="P110" s="153"/>
      <c r="Q110" s="154"/>
      <c r="R110" s="357"/>
    </row>
    <row r="111" spans="1:18" s="11" customFormat="1" ht="36">
      <c r="A111" s="151"/>
      <c r="B111" s="156" t="s">
        <v>175</v>
      </c>
      <c r="C111" s="153">
        <v>1150000</v>
      </c>
      <c r="D111" s="154">
        <f aca="true" t="shared" si="13" ref="D111:D179">G111+J111+P111+M111</f>
        <v>450000</v>
      </c>
      <c r="E111" s="154">
        <f t="shared" si="8"/>
        <v>66217</v>
      </c>
      <c r="F111" s="452">
        <f t="shared" si="12"/>
        <v>14.714888888888888</v>
      </c>
      <c r="G111" s="153">
        <f>1150000+600000-900000-400000</f>
        <v>450000</v>
      </c>
      <c r="H111" s="154">
        <f>49593+93+16531</f>
        <v>66217</v>
      </c>
      <c r="I111" s="379">
        <f t="shared" si="10"/>
        <v>14.714888888888888</v>
      </c>
      <c r="J111" s="155"/>
      <c r="K111" s="491"/>
      <c r="L111" s="211"/>
      <c r="M111" s="154"/>
      <c r="N111" s="154"/>
      <c r="O111" s="379"/>
      <c r="P111" s="153"/>
      <c r="Q111" s="154"/>
      <c r="R111" s="357"/>
    </row>
    <row r="112" spans="1:18" s="11" customFormat="1" ht="12.75">
      <c r="A112" s="151"/>
      <c r="B112" s="156" t="s">
        <v>565</v>
      </c>
      <c r="C112" s="153"/>
      <c r="D112" s="154">
        <f t="shared" si="13"/>
        <v>3904</v>
      </c>
      <c r="E112" s="154">
        <f t="shared" si="8"/>
        <v>0</v>
      </c>
      <c r="F112" s="452">
        <f t="shared" si="12"/>
        <v>0</v>
      </c>
      <c r="G112" s="153">
        <v>3904</v>
      </c>
      <c r="H112" s="154"/>
      <c r="I112" s="379">
        <f t="shared" si="10"/>
        <v>0</v>
      </c>
      <c r="J112" s="155"/>
      <c r="K112" s="491"/>
      <c r="L112" s="211"/>
      <c r="M112" s="154"/>
      <c r="N112" s="154"/>
      <c r="O112" s="379"/>
      <c r="P112" s="153"/>
      <c r="Q112" s="154"/>
      <c r="R112" s="357"/>
    </row>
    <row r="113" spans="1:18" s="11" customFormat="1" ht="24" hidden="1">
      <c r="A113" s="151"/>
      <c r="B113" s="156" t="s">
        <v>366</v>
      </c>
      <c r="C113" s="153"/>
      <c r="D113" s="154">
        <f t="shared" si="13"/>
        <v>0</v>
      </c>
      <c r="E113" s="154">
        <f t="shared" si="8"/>
        <v>0</v>
      </c>
      <c r="F113" s="452" t="e">
        <f t="shared" si="12"/>
        <v>#DIV/0!</v>
      </c>
      <c r="G113" s="153"/>
      <c r="H113" s="154"/>
      <c r="I113" s="379" t="e">
        <f t="shared" si="10"/>
        <v>#DIV/0!</v>
      </c>
      <c r="J113" s="155"/>
      <c r="K113" s="491"/>
      <c r="L113" s="211"/>
      <c r="M113" s="154"/>
      <c r="N113" s="154"/>
      <c r="O113" s="379"/>
      <c r="P113" s="153"/>
      <c r="Q113" s="154"/>
      <c r="R113" s="357"/>
    </row>
    <row r="114" spans="1:18" s="11" customFormat="1" ht="36">
      <c r="A114" s="151"/>
      <c r="B114" s="156" t="s">
        <v>178</v>
      </c>
      <c r="C114" s="153">
        <v>1200000</v>
      </c>
      <c r="D114" s="154">
        <f t="shared" si="13"/>
        <v>10000</v>
      </c>
      <c r="E114" s="154">
        <f t="shared" si="8"/>
        <v>0</v>
      </c>
      <c r="F114" s="452">
        <f t="shared" si="12"/>
        <v>0</v>
      </c>
      <c r="G114" s="153">
        <f>1200000-500000-200000-100000-390000</f>
        <v>10000</v>
      </c>
      <c r="H114" s="154"/>
      <c r="I114" s="379">
        <f t="shared" si="10"/>
        <v>0</v>
      </c>
      <c r="J114" s="155"/>
      <c r="K114" s="491"/>
      <c r="L114" s="211"/>
      <c r="M114" s="154"/>
      <c r="N114" s="154"/>
      <c r="O114" s="379"/>
      <c r="P114" s="153"/>
      <c r="Q114" s="154"/>
      <c r="R114" s="357"/>
    </row>
    <row r="115" spans="1:18" s="11" customFormat="1" ht="24">
      <c r="A115" s="151"/>
      <c r="B115" s="220" t="s">
        <v>179</v>
      </c>
      <c r="C115" s="153">
        <v>200000</v>
      </c>
      <c r="D115" s="154">
        <f>G115+J115+P115+M115</f>
        <v>200000</v>
      </c>
      <c r="E115" s="154">
        <f>SUM(H115+K115+N115+Q115)</f>
        <v>10683</v>
      </c>
      <c r="F115" s="452">
        <f>E115/D115*100</f>
        <v>5.3415</v>
      </c>
      <c r="G115" s="153">
        <v>200000</v>
      </c>
      <c r="H115" s="154">
        <v>10683</v>
      </c>
      <c r="I115" s="379">
        <f t="shared" si="10"/>
        <v>5.3415</v>
      </c>
      <c r="J115" s="155"/>
      <c r="K115" s="491"/>
      <c r="L115" s="211"/>
      <c r="M115" s="154"/>
      <c r="N115" s="154"/>
      <c r="O115" s="379"/>
      <c r="P115" s="153"/>
      <c r="Q115" s="154"/>
      <c r="R115" s="357"/>
    </row>
    <row r="116" spans="1:18" s="11" customFormat="1" ht="24">
      <c r="A116" s="151"/>
      <c r="B116" s="220" t="s">
        <v>367</v>
      </c>
      <c r="C116" s="153">
        <v>200000</v>
      </c>
      <c r="D116" s="154">
        <f>G116+J116+P116+M116</f>
        <v>100000</v>
      </c>
      <c r="E116" s="154">
        <f>SUM(H116+K116+N116+Q116)</f>
        <v>22598</v>
      </c>
      <c r="F116" s="452">
        <f>E116/D116*100</f>
        <v>22.598</v>
      </c>
      <c r="G116" s="153">
        <f>200000-100000</f>
        <v>100000</v>
      </c>
      <c r="H116" s="154">
        <v>22598</v>
      </c>
      <c r="I116" s="379">
        <f t="shared" si="10"/>
        <v>22.598</v>
      </c>
      <c r="J116" s="155"/>
      <c r="K116" s="491"/>
      <c r="L116" s="211"/>
      <c r="M116" s="154"/>
      <c r="N116" s="154"/>
      <c r="O116" s="379"/>
      <c r="P116" s="153"/>
      <c r="Q116" s="154"/>
      <c r="R116" s="357"/>
    </row>
    <row r="117" spans="1:18" s="11" customFormat="1" ht="12.75">
      <c r="A117" s="151"/>
      <c r="B117" s="519" t="s">
        <v>400</v>
      </c>
      <c r="C117" s="153">
        <v>200000</v>
      </c>
      <c r="D117" s="154">
        <f>G117+J117+P117+M117</f>
        <v>200000</v>
      </c>
      <c r="E117" s="154">
        <f>SUM(H117+K117+N117+Q117)</f>
        <v>0</v>
      </c>
      <c r="F117" s="452">
        <f>E117/D117*100</f>
        <v>0</v>
      </c>
      <c r="G117" s="153">
        <v>200000</v>
      </c>
      <c r="H117" s="154"/>
      <c r="I117" s="379">
        <f t="shared" si="10"/>
        <v>0</v>
      </c>
      <c r="J117" s="155"/>
      <c r="K117" s="491"/>
      <c r="L117" s="211"/>
      <c r="M117" s="154"/>
      <c r="N117" s="154"/>
      <c r="O117" s="379"/>
      <c r="P117" s="153"/>
      <c r="Q117" s="154"/>
      <c r="R117" s="357"/>
    </row>
    <row r="118" spans="1:18" s="11" customFormat="1" ht="24">
      <c r="A118" s="151"/>
      <c r="B118" s="519" t="s">
        <v>172</v>
      </c>
      <c r="C118" s="153">
        <v>250000</v>
      </c>
      <c r="D118" s="154">
        <f>G118+J118+P118+M118</f>
        <v>250000</v>
      </c>
      <c r="E118" s="154">
        <f>SUM(H118+K118+N118+Q118)</f>
        <v>10723</v>
      </c>
      <c r="F118" s="452">
        <f>E118/D118*100</f>
        <v>4.2892</v>
      </c>
      <c r="G118" s="153">
        <v>250000</v>
      </c>
      <c r="H118" s="154">
        <v>10723</v>
      </c>
      <c r="I118" s="379">
        <f t="shared" si="10"/>
        <v>4.2892</v>
      </c>
      <c r="J118" s="155"/>
      <c r="K118" s="491"/>
      <c r="L118" s="211"/>
      <c r="M118" s="154"/>
      <c r="N118" s="154"/>
      <c r="O118" s="379"/>
      <c r="P118" s="153"/>
      <c r="Q118" s="154"/>
      <c r="R118" s="357"/>
    </row>
    <row r="119" spans="1:18" s="11" customFormat="1" ht="12.75">
      <c r="A119" s="151"/>
      <c r="B119" s="156" t="s">
        <v>368</v>
      </c>
      <c r="C119" s="153">
        <v>50000</v>
      </c>
      <c r="D119" s="154">
        <f t="shared" si="13"/>
        <v>50000</v>
      </c>
      <c r="E119" s="154">
        <f>SUM(H119+K119+N119+Q119)</f>
        <v>1318</v>
      </c>
      <c r="F119" s="452">
        <f>E119/D119*100</f>
        <v>2.636</v>
      </c>
      <c r="G119" s="153">
        <v>50000</v>
      </c>
      <c r="H119" s="154">
        <v>1318</v>
      </c>
      <c r="I119" s="379">
        <f t="shared" si="10"/>
        <v>2.636</v>
      </c>
      <c r="J119" s="155"/>
      <c r="K119" s="491"/>
      <c r="L119" s="211"/>
      <c r="M119" s="154"/>
      <c r="N119" s="154"/>
      <c r="O119" s="379"/>
      <c r="P119" s="153"/>
      <c r="Q119" s="154"/>
      <c r="R119" s="357"/>
    </row>
    <row r="120" spans="1:18" s="130" customFormat="1" ht="14.25" customHeight="1">
      <c r="A120" s="137">
        <v>60017</v>
      </c>
      <c r="B120" s="157" t="s">
        <v>513</v>
      </c>
      <c r="C120" s="85">
        <f>SUM(C121:C125)</f>
        <v>2130200</v>
      </c>
      <c r="D120" s="86">
        <f t="shared" si="13"/>
        <v>2805900</v>
      </c>
      <c r="E120" s="75">
        <f>H120+K120+Q120+N120</f>
        <v>525543</v>
      </c>
      <c r="F120" s="451">
        <f t="shared" si="12"/>
        <v>18.729926226879076</v>
      </c>
      <c r="G120" s="85">
        <f>SUM(G121:G125)</f>
        <v>2805900</v>
      </c>
      <c r="H120" s="86">
        <f>SUM(H121:H125)</f>
        <v>525543</v>
      </c>
      <c r="I120" s="301">
        <f t="shared" si="10"/>
        <v>18.729926226879076</v>
      </c>
      <c r="J120" s="158"/>
      <c r="K120" s="74"/>
      <c r="L120" s="256"/>
      <c r="M120" s="86"/>
      <c r="N120" s="86"/>
      <c r="O120" s="391"/>
      <c r="P120" s="85"/>
      <c r="Q120" s="86"/>
      <c r="R120" s="358"/>
    </row>
    <row r="121" spans="1:18" s="12" customFormat="1" ht="27.75" customHeight="1">
      <c r="A121" s="598">
        <v>4270</v>
      </c>
      <c r="B121" s="605" t="s">
        <v>339</v>
      </c>
      <c r="C121" s="600">
        <f>504000+358700</f>
        <v>862700</v>
      </c>
      <c r="D121" s="134">
        <f t="shared" si="13"/>
        <v>1645400</v>
      </c>
      <c r="E121" s="136">
        <f aca="true" t="shared" si="14" ref="E121:E127">SUM(H121+K121+N121+Q121)</f>
        <v>310184</v>
      </c>
      <c r="F121" s="451">
        <f t="shared" si="12"/>
        <v>18.85158624042786</v>
      </c>
      <c r="G121" s="600">
        <f>504000+358700-3700-2000+31900+116500+63000-50000-3000+150000+500000-20000</f>
        <v>1645400</v>
      </c>
      <c r="H121" s="134">
        <v>310184</v>
      </c>
      <c r="I121" s="301">
        <f t="shared" si="10"/>
        <v>18.85158624042786</v>
      </c>
      <c r="J121" s="601"/>
      <c r="K121" s="606"/>
      <c r="L121" s="301"/>
      <c r="M121" s="134"/>
      <c r="N121" s="134"/>
      <c r="O121" s="369"/>
      <c r="P121" s="600"/>
      <c r="Q121" s="134"/>
      <c r="R121" s="360"/>
    </row>
    <row r="122" spans="1:18" s="12" customFormat="1" ht="27.75" customHeight="1">
      <c r="A122" s="159">
        <v>4300</v>
      </c>
      <c r="B122" s="160" t="s">
        <v>340</v>
      </c>
      <c r="C122" s="161">
        <v>5000</v>
      </c>
      <c r="D122" s="65">
        <f t="shared" si="13"/>
        <v>58000</v>
      </c>
      <c r="E122" s="80">
        <f t="shared" si="14"/>
        <v>2676</v>
      </c>
      <c r="F122" s="452">
        <f t="shared" si="12"/>
        <v>4.613793103448276</v>
      </c>
      <c r="G122" s="161">
        <f>5000+50000+3000</f>
        <v>58000</v>
      </c>
      <c r="H122" s="65">
        <v>2676</v>
      </c>
      <c r="I122" s="211">
        <f t="shared" si="10"/>
        <v>4.613793103448276</v>
      </c>
      <c r="J122" s="162"/>
      <c r="K122" s="66"/>
      <c r="L122" s="211"/>
      <c r="M122" s="65"/>
      <c r="N122" s="65"/>
      <c r="O122" s="356"/>
      <c r="P122" s="161"/>
      <c r="Q122" s="65"/>
      <c r="R122" s="350"/>
    </row>
    <row r="123" spans="1:18" s="12" customFormat="1" ht="36">
      <c r="A123" s="111">
        <v>4390</v>
      </c>
      <c r="B123" s="115" t="s">
        <v>271</v>
      </c>
      <c r="C123" s="161">
        <v>500</v>
      </c>
      <c r="D123" s="65">
        <f>G123+J123+P123+M123</f>
        <v>500</v>
      </c>
      <c r="E123" s="80">
        <f>SUM(H123+K123+N123+Q123)</f>
        <v>0</v>
      </c>
      <c r="F123" s="452">
        <f>E123/D123*100</f>
        <v>0</v>
      </c>
      <c r="G123" s="161">
        <v>500</v>
      </c>
      <c r="H123" s="65"/>
      <c r="I123" s="211">
        <f t="shared" si="10"/>
        <v>0</v>
      </c>
      <c r="J123" s="162"/>
      <c r="K123" s="66"/>
      <c r="L123" s="211"/>
      <c r="M123" s="65"/>
      <c r="N123" s="65"/>
      <c r="O123" s="356"/>
      <c r="P123" s="161"/>
      <c r="Q123" s="65"/>
      <c r="R123" s="350"/>
    </row>
    <row r="124" spans="1:18" s="12" customFormat="1" ht="14.25" customHeight="1">
      <c r="A124" s="159">
        <v>4430</v>
      </c>
      <c r="B124" s="160" t="s">
        <v>491</v>
      </c>
      <c r="C124" s="161">
        <v>2000</v>
      </c>
      <c r="D124" s="65">
        <f t="shared" si="13"/>
        <v>2000</v>
      </c>
      <c r="E124" s="80">
        <f t="shared" si="14"/>
        <v>0</v>
      </c>
      <c r="F124" s="452">
        <f t="shared" si="12"/>
        <v>0</v>
      </c>
      <c r="G124" s="161">
        <v>2000</v>
      </c>
      <c r="H124" s="65"/>
      <c r="I124" s="211">
        <f t="shared" si="10"/>
        <v>0</v>
      </c>
      <c r="J124" s="162"/>
      <c r="K124" s="66"/>
      <c r="L124" s="211"/>
      <c r="M124" s="65"/>
      <c r="N124" s="65"/>
      <c r="O124" s="356"/>
      <c r="P124" s="161"/>
      <c r="Q124" s="65"/>
      <c r="R124" s="350"/>
    </row>
    <row r="125" spans="1:18" s="12" customFormat="1" ht="36">
      <c r="A125" s="145">
        <v>6050</v>
      </c>
      <c r="B125" s="146" t="s">
        <v>338</v>
      </c>
      <c r="C125" s="163">
        <v>1260000</v>
      </c>
      <c r="D125" s="148">
        <f t="shared" si="13"/>
        <v>1100000</v>
      </c>
      <c r="E125" s="142">
        <f t="shared" si="14"/>
        <v>212683</v>
      </c>
      <c r="F125" s="453">
        <f t="shared" si="12"/>
        <v>19.334818181818182</v>
      </c>
      <c r="G125" s="163">
        <f>1260000-180000+20000</f>
        <v>1100000</v>
      </c>
      <c r="H125" s="148">
        <v>212683</v>
      </c>
      <c r="I125" s="259">
        <f t="shared" si="10"/>
        <v>19.334818181818182</v>
      </c>
      <c r="J125" s="164"/>
      <c r="K125" s="492"/>
      <c r="L125" s="259"/>
      <c r="M125" s="148"/>
      <c r="N125" s="148"/>
      <c r="O125" s="375"/>
      <c r="P125" s="163"/>
      <c r="Q125" s="148"/>
      <c r="R125" s="354"/>
    </row>
    <row r="126" spans="1:18" s="130" customFormat="1" ht="24">
      <c r="A126" s="188">
        <v>60053</v>
      </c>
      <c r="B126" s="189" t="s">
        <v>242</v>
      </c>
      <c r="C126" s="190">
        <f>C127</f>
        <v>1000000</v>
      </c>
      <c r="D126" s="109">
        <f t="shared" si="13"/>
        <v>1000000</v>
      </c>
      <c r="E126" s="109">
        <f t="shared" si="14"/>
        <v>153493</v>
      </c>
      <c r="F126" s="504">
        <f t="shared" si="12"/>
        <v>15.3493</v>
      </c>
      <c r="G126" s="190">
        <f>G127</f>
        <v>1000000</v>
      </c>
      <c r="H126" s="109">
        <f>H127</f>
        <v>153493</v>
      </c>
      <c r="I126" s="259">
        <f t="shared" si="10"/>
        <v>15.3493</v>
      </c>
      <c r="J126" s="191"/>
      <c r="K126" s="493"/>
      <c r="L126" s="282"/>
      <c r="M126" s="109"/>
      <c r="N126" s="109"/>
      <c r="O126" s="377"/>
      <c r="P126" s="190"/>
      <c r="Q126" s="109"/>
      <c r="R126" s="359"/>
    </row>
    <row r="127" spans="1:18" s="12" customFormat="1" ht="24">
      <c r="A127" s="145">
        <v>6050</v>
      </c>
      <c r="B127" s="146" t="s">
        <v>512</v>
      </c>
      <c r="C127" s="163">
        <v>1000000</v>
      </c>
      <c r="D127" s="148">
        <f t="shared" si="13"/>
        <v>1000000</v>
      </c>
      <c r="E127" s="142">
        <f t="shared" si="14"/>
        <v>153493</v>
      </c>
      <c r="F127" s="453">
        <f t="shared" si="12"/>
        <v>15.3493</v>
      </c>
      <c r="G127" s="163">
        <f>1000000-10000+10000</f>
        <v>1000000</v>
      </c>
      <c r="H127" s="148">
        <v>153493</v>
      </c>
      <c r="I127" s="259">
        <f t="shared" si="10"/>
        <v>15.3493</v>
      </c>
      <c r="J127" s="164"/>
      <c r="K127" s="492"/>
      <c r="L127" s="259"/>
      <c r="M127" s="148"/>
      <c r="N127" s="148"/>
      <c r="O127" s="375"/>
      <c r="P127" s="163"/>
      <c r="Q127" s="148"/>
      <c r="R127" s="354"/>
    </row>
    <row r="128" spans="1:18" ht="12.75">
      <c r="A128" s="106">
        <v>60095</v>
      </c>
      <c r="B128" s="165" t="s">
        <v>504</v>
      </c>
      <c r="C128" s="108">
        <f>C130+C129</f>
        <v>2716700</v>
      </c>
      <c r="D128" s="86">
        <f t="shared" si="13"/>
        <v>2776000</v>
      </c>
      <c r="E128" s="75">
        <f>H128+K128+Q128+N128</f>
        <v>1311335</v>
      </c>
      <c r="F128" s="451">
        <f t="shared" si="12"/>
        <v>47.23829250720461</v>
      </c>
      <c r="G128" s="266">
        <f>SUM(G129:G130)</f>
        <v>2776000</v>
      </c>
      <c r="H128" s="75">
        <f>SUM(H129:H130)</f>
        <v>1311335</v>
      </c>
      <c r="I128" s="301">
        <f t="shared" si="10"/>
        <v>47.23829250720461</v>
      </c>
      <c r="J128" s="110"/>
      <c r="K128" s="75"/>
      <c r="L128" s="406"/>
      <c r="M128" s="75"/>
      <c r="N128" s="75"/>
      <c r="O128" s="369"/>
      <c r="P128" s="108"/>
      <c r="Q128" s="75"/>
      <c r="R128" s="360"/>
    </row>
    <row r="129" spans="1:18" s="12" customFormat="1" ht="72" hidden="1">
      <c r="A129" s="181">
        <v>4300</v>
      </c>
      <c r="B129" s="582" t="s">
        <v>418</v>
      </c>
      <c r="C129" s="93"/>
      <c r="D129" s="94">
        <f t="shared" si="13"/>
        <v>0</v>
      </c>
      <c r="E129" s="94">
        <f>H129+K129+Q129+N129</f>
        <v>0</v>
      </c>
      <c r="F129" s="454"/>
      <c r="G129" s="93">
        <f>100000-100000</f>
        <v>0</v>
      </c>
      <c r="H129" s="94"/>
      <c r="I129" s="289"/>
      <c r="J129" s="183"/>
      <c r="K129" s="94"/>
      <c r="L129" s="403"/>
      <c r="M129" s="94"/>
      <c r="N129" s="94"/>
      <c r="O129" s="376"/>
      <c r="P129" s="93"/>
      <c r="Q129" s="94"/>
      <c r="R129" s="353"/>
    </row>
    <row r="130" spans="1:18" s="105" customFormat="1" ht="12.75">
      <c r="A130" s="166"/>
      <c r="B130" s="167" t="s">
        <v>514</v>
      </c>
      <c r="C130" s="168">
        <f>SUM(C131:C159)</f>
        <v>2716700</v>
      </c>
      <c r="D130" s="126">
        <f t="shared" si="13"/>
        <v>2776000</v>
      </c>
      <c r="E130" s="169">
        <f>H130+K130+Q130+N130</f>
        <v>1311335</v>
      </c>
      <c r="F130" s="452">
        <f t="shared" si="12"/>
        <v>47.23829250720461</v>
      </c>
      <c r="G130" s="168">
        <f>SUM(G131:G159)</f>
        <v>2776000</v>
      </c>
      <c r="H130" s="169">
        <f>SUM(H131:H159)</f>
        <v>1311335</v>
      </c>
      <c r="I130" s="211">
        <f t="shared" si="10"/>
        <v>47.23829250720461</v>
      </c>
      <c r="J130" s="170"/>
      <c r="K130" s="169"/>
      <c r="L130" s="392"/>
      <c r="M130" s="169"/>
      <c r="N130" s="169"/>
      <c r="O130" s="356"/>
      <c r="P130" s="168"/>
      <c r="Q130" s="169"/>
      <c r="R130" s="350"/>
    </row>
    <row r="131" spans="1:18" ht="36">
      <c r="A131" s="111">
        <v>3020</v>
      </c>
      <c r="B131" s="115" t="s">
        <v>538</v>
      </c>
      <c r="C131" s="79">
        <v>4000</v>
      </c>
      <c r="D131" s="65">
        <f t="shared" si="13"/>
        <v>4000</v>
      </c>
      <c r="E131" s="80">
        <f>SUM(H131+K131+N131+Q131)</f>
        <v>1000</v>
      </c>
      <c r="F131" s="452">
        <f t="shared" si="12"/>
        <v>25</v>
      </c>
      <c r="G131" s="79">
        <v>4000</v>
      </c>
      <c r="H131" s="80">
        <v>1000</v>
      </c>
      <c r="I131" s="211">
        <f t="shared" si="10"/>
        <v>25</v>
      </c>
      <c r="J131" s="113"/>
      <c r="K131" s="80"/>
      <c r="L131" s="379"/>
      <c r="M131" s="80"/>
      <c r="N131" s="80"/>
      <c r="O131" s="356"/>
      <c r="P131" s="79"/>
      <c r="Q131" s="80"/>
      <c r="R131" s="350"/>
    </row>
    <row r="132" spans="1:18" ht="24">
      <c r="A132" s="111">
        <v>4010</v>
      </c>
      <c r="B132" s="115" t="s">
        <v>471</v>
      </c>
      <c r="C132" s="79">
        <v>1454600</v>
      </c>
      <c r="D132" s="65">
        <f t="shared" si="13"/>
        <v>1454600</v>
      </c>
      <c r="E132" s="80">
        <f>SUM(H132+K132+N132+Q132)</f>
        <v>691576</v>
      </c>
      <c r="F132" s="452">
        <f t="shared" si="12"/>
        <v>47.54406709748385</v>
      </c>
      <c r="G132" s="79">
        <v>1454600</v>
      </c>
      <c r="H132" s="80">
        <v>691576</v>
      </c>
      <c r="I132" s="211">
        <f t="shared" si="10"/>
        <v>47.54406709748385</v>
      </c>
      <c r="J132" s="113"/>
      <c r="K132" s="80"/>
      <c r="L132" s="379"/>
      <c r="M132" s="80"/>
      <c r="N132" s="80"/>
      <c r="O132" s="356"/>
      <c r="P132" s="79"/>
      <c r="Q132" s="80"/>
      <c r="R132" s="350"/>
    </row>
    <row r="133" spans="1:18" ht="24">
      <c r="A133" s="171">
        <v>4040</v>
      </c>
      <c r="B133" s="115" t="s">
        <v>516</v>
      </c>
      <c r="C133" s="79">
        <v>108000</v>
      </c>
      <c r="D133" s="65">
        <f t="shared" si="13"/>
        <v>93000</v>
      </c>
      <c r="E133" s="80">
        <f>SUM(H133+K133+N133+Q133)</f>
        <v>92944</v>
      </c>
      <c r="F133" s="452">
        <f t="shared" si="12"/>
        <v>99.93978494623656</v>
      </c>
      <c r="G133" s="79">
        <f>108000-15000</f>
        <v>93000</v>
      </c>
      <c r="H133" s="80">
        <f>92945-1</f>
        <v>92944</v>
      </c>
      <c r="I133" s="426">
        <f t="shared" si="10"/>
        <v>99.93978494623656</v>
      </c>
      <c r="J133" s="113"/>
      <c r="K133" s="80"/>
      <c r="L133" s="379"/>
      <c r="M133" s="80"/>
      <c r="N133" s="80"/>
      <c r="O133" s="356"/>
      <c r="P133" s="79"/>
      <c r="Q133" s="80"/>
      <c r="R133" s="350"/>
    </row>
    <row r="134" spans="1:18" ht="24">
      <c r="A134" s="111">
        <v>4110</v>
      </c>
      <c r="B134" s="115" t="s">
        <v>517</v>
      </c>
      <c r="C134" s="79">
        <v>215700</v>
      </c>
      <c r="D134" s="65">
        <f t="shared" si="13"/>
        <v>215700</v>
      </c>
      <c r="E134" s="80">
        <f aca="true" t="shared" si="15" ref="E134:E159">SUM(H134+K134+N134+Q134)</f>
        <v>106077</v>
      </c>
      <c r="F134" s="452">
        <f t="shared" si="12"/>
        <v>49.17802503477052</v>
      </c>
      <c r="G134" s="79">
        <v>215700</v>
      </c>
      <c r="H134" s="80">
        <v>106077</v>
      </c>
      <c r="I134" s="211">
        <f t="shared" si="10"/>
        <v>49.17802503477052</v>
      </c>
      <c r="J134" s="113"/>
      <c r="K134" s="80"/>
      <c r="L134" s="379"/>
      <c r="M134" s="80"/>
      <c r="N134" s="80"/>
      <c r="O134" s="356"/>
      <c r="P134" s="79"/>
      <c r="Q134" s="80"/>
      <c r="R134" s="350"/>
    </row>
    <row r="135" spans="1:18" ht="12.75">
      <c r="A135" s="111">
        <v>4120</v>
      </c>
      <c r="B135" s="115" t="s">
        <v>518</v>
      </c>
      <c r="C135" s="79">
        <v>34700</v>
      </c>
      <c r="D135" s="65">
        <f t="shared" si="13"/>
        <v>34700</v>
      </c>
      <c r="E135" s="80">
        <f t="shared" si="15"/>
        <v>17082</v>
      </c>
      <c r="F135" s="452">
        <f t="shared" si="12"/>
        <v>49.22766570605187</v>
      </c>
      <c r="G135" s="79">
        <v>34700</v>
      </c>
      <c r="H135" s="80">
        <v>17082</v>
      </c>
      <c r="I135" s="211">
        <f t="shared" si="10"/>
        <v>49.22766570605187</v>
      </c>
      <c r="J135" s="113"/>
      <c r="K135" s="80"/>
      <c r="L135" s="379"/>
      <c r="M135" s="80"/>
      <c r="N135" s="80"/>
      <c r="O135" s="356"/>
      <c r="P135" s="79"/>
      <c r="Q135" s="80"/>
      <c r="R135" s="350"/>
    </row>
    <row r="136" spans="1:18" ht="12.75">
      <c r="A136" s="111">
        <v>4140</v>
      </c>
      <c r="B136" s="115" t="s">
        <v>519</v>
      </c>
      <c r="C136" s="79">
        <v>26000</v>
      </c>
      <c r="D136" s="65">
        <f t="shared" si="13"/>
        <v>26000</v>
      </c>
      <c r="E136" s="80">
        <f t="shared" si="15"/>
        <v>6098</v>
      </c>
      <c r="F136" s="452">
        <f t="shared" si="12"/>
        <v>23.453846153846154</v>
      </c>
      <c r="G136" s="79">
        <v>26000</v>
      </c>
      <c r="H136" s="80">
        <v>6098</v>
      </c>
      <c r="I136" s="211">
        <f t="shared" si="10"/>
        <v>23.453846153846154</v>
      </c>
      <c r="J136" s="113"/>
      <c r="K136" s="80"/>
      <c r="L136" s="379"/>
      <c r="M136" s="80"/>
      <c r="N136" s="80"/>
      <c r="O136" s="356"/>
      <c r="P136" s="79"/>
      <c r="Q136" s="80"/>
      <c r="R136" s="350"/>
    </row>
    <row r="137" spans="1:18" ht="24">
      <c r="A137" s="111">
        <v>4170</v>
      </c>
      <c r="B137" s="115" t="s">
        <v>511</v>
      </c>
      <c r="C137" s="79">
        <v>8000</v>
      </c>
      <c r="D137" s="65">
        <f t="shared" si="13"/>
        <v>24150</v>
      </c>
      <c r="E137" s="80">
        <f t="shared" si="15"/>
        <v>17805</v>
      </c>
      <c r="F137" s="452">
        <f t="shared" si="12"/>
        <v>73.72670807453416</v>
      </c>
      <c r="G137" s="79">
        <f>8000+16150</f>
        <v>24150</v>
      </c>
      <c r="H137" s="80">
        <v>17805</v>
      </c>
      <c r="I137" s="211">
        <f t="shared" si="10"/>
        <v>73.72670807453416</v>
      </c>
      <c r="J137" s="113"/>
      <c r="K137" s="80"/>
      <c r="L137" s="379"/>
      <c r="M137" s="80"/>
      <c r="N137" s="80"/>
      <c r="O137" s="356"/>
      <c r="P137" s="79"/>
      <c r="Q137" s="80"/>
      <c r="R137" s="350"/>
    </row>
    <row r="138" spans="1:18" ht="24">
      <c r="A138" s="111">
        <v>4210</v>
      </c>
      <c r="B138" s="112" t="s">
        <v>481</v>
      </c>
      <c r="C138" s="79">
        <v>87000</v>
      </c>
      <c r="D138" s="65">
        <f t="shared" si="13"/>
        <v>87000</v>
      </c>
      <c r="E138" s="80">
        <f t="shared" si="15"/>
        <v>30150</v>
      </c>
      <c r="F138" s="452">
        <f t="shared" si="12"/>
        <v>34.6551724137931</v>
      </c>
      <c r="G138" s="79">
        <v>87000</v>
      </c>
      <c r="H138" s="80">
        <v>30150</v>
      </c>
      <c r="I138" s="211">
        <f t="shared" si="10"/>
        <v>34.6551724137931</v>
      </c>
      <c r="J138" s="113"/>
      <c r="K138" s="80"/>
      <c r="L138" s="379"/>
      <c r="M138" s="80"/>
      <c r="N138" s="80"/>
      <c r="O138" s="356"/>
      <c r="P138" s="79"/>
      <c r="Q138" s="80"/>
      <c r="R138" s="350"/>
    </row>
    <row r="139" spans="1:18" ht="12.75">
      <c r="A139" s="111">
        <v>4260</v>
      </c>
      <c r="B139" s="112" t="s">
        <v>485</v>
      </c>
      <c r="C139" s="79">
        <v>45000</v>
      </c>
      <c r="D139" s="65">
        <f t="shared" si="13"/>
        <v>45000</v>
      </c>
      <c r="E139" s="80">
        <f t="shared" si="15"/>
        <v>22138</v>
      </c>
      <c r="F139" s="452">
        <f t="shared" si="12"/>
        <v>49.19555555555555</v>
      </c>
      <c r="G139" s="79">
        <v>45000</v>
      </c>
      <c r="H139" s="80">
        <v>22138</v>
      </c>
      <c r="I139" s="211">
        <f t="shared" si="10"/>
        <v>49.19555555555555</v>
      </c>
      <c r="J139" s="113"/>
      <c r="K139" s="80"/>
      <c r="L139" s="379"/>
      <c r="M139" s="80"/>
      <c r="N139" s="80"/>
      <c r="O139" s="356"/>
      <c r="P139" s="79"/>
      <c r="Q139" s="80"/>
      <c r="R139" s="350"/>
    </row>
    <row r="140" spans="1:18" ht="16.5" customHeight="1">
      <c r="A140" s="111">
        <v>4270</v>
      </c>
      <c r="B140" s="115" t="s">
        <v>487</v>
      </c>
      <c r="C140" s="79">
        <v>53000</v>
      </c>
      <c r="D140" s="65">
        <f t="shared" si="13"/>
        <v>53000</v>
      </c>
      <c r="E140" s="80">
        <f t="shared" si="15"/>
        <v>7727</v>
      </c>
      <c r="F140" s="452">
        <f t="shared" si="12"/>
        <v>14.579245283018869</v>
      </c>
      <c r="G140" s="79">
        <v>53000</v>
      </c>
      <c r="H140" s="80">
        <v>7727</v>
      </c>
      <c r="I140" s="211">
        <f t="shared" si="10"/>
        <v>14.579245283018869</v>
      </c>
      <c r="J140" s="113"/>
      <c r="K140" s="80"/>
      <c r="L140" s="379"/>
      <c r="M140" s="80"/>
      <c r="N140" s="80"/>
      <c r="O140" s="356"/>
      <c r="P140" s="79"/>
      <c r="Q140" s="80"/>
      <c r="R140" s="350"/>
    </row>
    <row r="141" spans="1:18" ht="17.25" customHeight="1">
      <c r="A141" s="111">
        <v>4280</v>
      </c>
      <c r="B141" s="115" t="s">
        <v>520</v>
      </c>
      <c r="C141" s="79">
        <v>1700</v>
      </c>
      <c r="D141" s="65">
        <f t="shared" si="13"/>
        <v>1700</v>
      </c>
      <c r="E141" s="80">
        <f t="shared" si="15"/>
        <v>935</v>
      </c>
      <c r="F141" s="452">
        <f t="shared" si="12"/>
        <v>55.00000000000001</v>
      </c>
      <c r="G141" s="79">
        <v>1700</v>
      </c>
      <c r="H141" s="80">
        <v>935</v>
      </c>
      <c r="I141" s="211">
        <f t="shared" si="10"/>
        <v>55.00000000000001</v>
      </c>
      <c r="J141" s="113"/>
      <c r="K141" s="80"/>
      <c r="L141" s="379"/>
      <c r="M141" s="80"/>
      <c r="N141" s="80"/>
      <c r="O141" s="356"/>
      <c r="P141" s="79"/>
      <c r="Q141" s="80"/>
      <c r="R141" s="350"/>
    </row>
    <row r="142" spans="1:18" ht="20.25" customHeight="1">
      <c r="A142" s="111">
        <v>4300</v>
      </c>
      <c r="B142" s="115" t="s">
        <v>522</v>
      </c>
      <c r="C142" s="79">
        <v>450000</v>
      </c>
      <c r="D142" s="65">
        <f t="shared" si="13"/>
        <v>500300</v>
      </c>
      <c r="E142" s="80">
        <f t="shared" si="15"/>
        <v>207346</v>
      </c>
      <c r="F142" s="452">
        <f t="shared" si="12"/>
        <v>41.44433339996002</v>
      </c>
      <c r="G142" s="79">
        <f>450000+15000+35300</f>
        <v>500300</v>
      </c>
      <c r="H142" s="80">
        <v>207346</v>
      </c>
      <c r="I142" s="211">
        <f t="shared" si="10"/>
        <v>41.44433339996002</v>
      </c>
      <c r="J142" s="113"/>
      <c r="K142" s="80"/>
      <c r="L142" s="379"/>
      <c r="M142" s="80"/>
      <c r="N142" s="80"/>
      <c r="O142" s="356"/>
      <c r="P142" s="79"/>
      <c r="Q142" s="80"/>
      <c r="R142" s="350"/>
    </row>
    <row r="143" spans="1:18" ht="24">
      <c r="A143" s="111">
        <v>4350</v>
      </c>
      <c r="B143" s="115" t="s">
        <v>7</v>
      </c>
      <c r="C143" s="79">
        <v>5500</v>
      </c>
      <c r="D143" s="65">
        <f t="shared" si="13"/>
        <v>5500</v>
      </c>
      <c r="E143" s="80">
        <f t="shared" si="15"/>
        <v>2847</v>
      </c>
      <c r="F143" s="452">
        <f t="shared" si="12"/>
        <v>51.763636363636365</v>
      </c>
      <c r="G143" s="79">
        <v>5500</v>
      </c>
      <c r="H143" s="80">
        <v>2847</v>
      </c>
      <c r="I143" s="211">
        <f t="shared" si="10"/>
        <v>51.763636363636365</v>
      </c>
      <c r="J143" s="113"/>
      <c r="K143" s="80"/>
      <c r="L143" s="379"/>
      <c r="M143" s="80"/>
      <c r="N143" s="80"/>
      <c r="O143" s="356"/>
      <c r="P143" s="79"/>
      <c r="Q143" s="80"/>
      <c r="R143" s="350"/>
    </row>
    <row r="144" spans="1:18" ht="38.25" customHeight="1">
      <c r="A144" s="184">
        <v>4360</v>
      </c>
      <c r="B144" s="185" t="s">
        <v>285</v>
      </c>
      <c r="C144" s="147">
        <v>18500</v>
      </c>
      <c r="D144" s="148">
        <f t="shared" si="13"/>
        <v>18500</v>
      </c>
      <c r="E144" s="142">
        <f>SUM(H144+K144+N144+Q144)</f>
        <v>8749</v>
      </c>
      <c r="F144" s="453">
        <f>E144/D144*100</f>
        <v>47.29189189189189</v>
      </c>
      <c r="G144" s="147">
        <v>18500</v>
      </c>
      <c r="H144" s="142">
        <v>8749</v>
      </c>
      <c r="I144" s="259">
        <f t="shared" si="10"/>
        <v>47.29189189189189</v>
      </c>
      <c r="J144" s="149"/>
      <c r="K144" s="142"/>
      <c r="L144" s="404"/>
      <c r="M144" s="142"/>
      <c r="N144" s="142"/>
      <c r="O144" s="375"/>
      <c r="P144" s="147"/>
      <c r="Q144" s="142"/>
      <c r="R144" s="354"/>
    </row>
    <row r="145" spans="1:18" ht="39" customHeight="1">
      <c r="A145" s="159">
        <v>4370</v>
      </c>
      <c r="B145" s="326" t="s">
        <v>286</v>
      </c>
      <c r="C145" s="79">
        <v>16000</v>
      </c>
      <c r="D145" s="65">
        <f t="shared" si="13"/>
        <v>16000</v>
      </c>
      <c r="E145" s="80">
        <f>SUM(H145+K145+N145+Q145)</f>
        <v>6181</v>
      </c>
      <c r="F145" s="452">
        <f>E145/D145*100</f>
        <v>38.63125</v>
      </c>
      <c r="G145" s="79">
        <v>16000</v>
      </c>
      <c r="H145" s="80">
        <v>6181</v>
      </c>
      <c r="I145" s="211">
        <f t="shared" si="10"/>
        <v>38.63125</v>
      </c>
      <c r="J145" s="113"/>
      <c r="K145" s="80"/>
      <c r="L145" s="379"/>
      <c r="M145" s="80"/>
      <c r="N145" s="80"/>
      <c r="O145" s="356"/>
      <c r="P145" s="79"/>
      <c r="Q145" s="80"/>
      <c r="R145" s="350"/>
    </row>
    <row r="146" spans="1:18" ht="36">
      <c r="A146" s="111">
        <v>4390</v>
      </c>
      <c r="B146" s="115" t="s">
        <v>271</v>
      </c>
      <c r="C146" s="79">
        <v>500</v>
      </c>
      <c r="D146" s="65">
        <f t="shared" si="13"/>
        <v>500</v>
      </c>
      <c r="E146" s="80">
        <f>SUM(H146+K146+N146+Q146)</f>
        <v>0</v>
      </c>
      <c r="F146" s="452">
        <f>E146/D146*100</f>
        <v>0</v>
      </c>
      <c r="G146" s="79">
        <v>500</v>
      </c>
      <c r="H146" s="80"/>
      <c r="I146" s="211">
        <f t="shared" si="10"/>
        <v>0</v>
      </c>
      <c r="J146" s="113"/>
      <c r="K146" s="80"/>
      <c r="L146" s="379"/>
      <c r="M146" s="80"/>
      <c r="N146" s="80"/>
      <c r="O146" s="356"/>
      <c r="P146" s="79"/>
      <c r="Q146" s="80"/>
      <c r="R146" s="350"/>
    </row>
    <row r="147" spans="1:18" ht="24">
      <c r="A147" s="159">
        <v>4400</v>
      </c>
      <c r="B147" s="326" t="s">
        <v>287</v>
      </c>
      <c r="C147" s="79">
        <v>52000</v>
      </c>
      <c r="D147" s="65">
        <f t="shared" si="13"/>
        <v>52000</v>
      </c>
      <c r="E147" s="80">
        <f>SUM(H147+K147+N147+Q147)</f>
        <v>24944</v>
      </c>
      <c r="F147" s="452">
        <f>E147/D147*100</f>
        <v>47.96923076923077</v>
      </c>
      <c r="G147" s="79">
        <v>52000</v>
      </c>
      <c r="H147" s="80">
        <v>24944</v>
      </c>
      <c r="I147" s="211">
        <f t="shared" si="10"/>
        <v>47.96923076923077</v>
      </c>
      <c r="J147" s="113"/>
      <c r="K147" s="80"/>
      <c r="L147" s="379"/>
      <c r="M147" s="80"/>
      <c r="N147" s="80"/>
      <c r="O147" s="356"/>
      <c r="P147" s="79"/>
      <c r="Q147" s="80"/>
      <c r="R147" s="350"/>
    </row>
    <row r="148" spans="1:18" ht="15.75" customHeight="1">
      <c r="A148" s="111">
        <v>4410</v>
      </c>
      <c r="B148" s="115" t="s">
        <v>463</v>
      </c>
      <c r="C148" s="79">
        <v>13500</v>
      </c>
      <c r="D148" s="65">
        <f t="shared" si="13"/>
        <v>13500</v>
      </c>
      <c r="E148" s="80">
        <f t="shared" si="15"/>
        <v>4393</v>
      </c>
      <c r="F148" s="452">
        <f t="shared" si="12"/>
        <v>32.540740740740745</v>
      </c>
      <c r="G148" s="79">
        <v>13500</v>
      </c>
      <c r="H148" s="80">
        <v>4393</v>
      </c>
      <c r="I148" s="211">
        <f t="shared" si="10"/>
        <v>32.540740740740745</v>
      </c>
      <c r="J148" s="113"/>
      <c r="K148" s="80"/>
      <c r="L148" s="379"/>
      <c r="M148" s="80"/>
      <c r="N148" s="80"/>
      <c r="O148" s="356"/>
      <c r="P148" s="79"/>
      <c r="Q148" s="80"/>
      <c r="R148" s="350"/>
    </row>
    <row r="149" spans="1:18" ht="24">
      <c r="A149" s="111">
        <v>4420</v>
      </c>
      <c r="B149" s="115" t="s">
        <v>523</v>
      </c>
      <c r="C149" s="79">
        <v>1000</v>
      </c>
      <c r="D149" s="65">
        <f t="shared" si="13"/>
        <v>1000</v>
      </c>
      <c r="E149" s="80">
        <f>SUM(H149+K149+N149+Q149)</f>
        <v>0</v>
      </c>
      <c r="F149" s="452">
        <f>E149/D149*100</f>
        <v>0</v>
      </c>
      <c r="G149" s="79">
        <v>1000</v>
      </c>
      <c r="H149" s="80"/>
      <c r="I149" s="211">
        <f t="shared" si="10"/>
        <v>0</v>
      </c>
      <c r="J149" s="113"/>
      <c r="K149" s="80"/>
      <c r="L149" s="379"/>
      <c r="M149" s="80"/>
      <c r="N149" s="80"/>
      <c r="O149" s="356"/>
      <c r="P149" s="79"/>
      <c r="Q149" s="80"/>
      <c r="R149" s="350"/>
    </row>
    <row r="150" spans="1:18" ht="12.75">
      <c r="A150" s="111">
        <v>4430</v>
      </c>
      <c r="B150" s="115" t="s">
        <v>491</v>
      </c>
      <c r="C150" s="79">
        <v>20000</v>
      </c>
      <c r="D150" s="65">
        <f t="shared" si="13"/>
        <v>20000</v>
      </c>
      <c r="E150" s="80">
        <f t="shared" si="15"/>
        <v>11019</v>
      </c>
      <c r="F150" s="452">
        <f t="shared" si="12"/>
        <v>55.095000000000006</v>
      </c>
      <c r="G150" s="79">
        <v>20000</v>
      </c>
      <c r="H150" s="80">
        <v>11019</v>
      </c>
      <c r="I150" s="211">
        <f t="shared" si="10"/>
        <v>55.095000000000006</v>
      </c>
      <c r="J150" s="113"/>
      <c r="K150" s="80"/>
      <c r="L150" s="379"/>
      <c r="M150" s="80"/>
      <c r="N150" s="80"/>
      <c r="O150" s="356"/>
      <c r="P150" s="79"/>
      <c r="Q150" s="80"/>
      <c r="R150" s="350"/>
    </row>
    <row r="151" spans="1:18" ht="12.75">
      <c r="A151" s="111">
        <v>4440</v>
      </c>
      <c r="B151" s="115" t="s">
        <v>493</v>
      </c>
      <c r="C151" s="79">
        <v>30500</v>
      </c>
      <c r="D151" s="65">
        <f t="shared" si="13"/>
        <v>38350</v>
      </c>
      <c r="E151" s="80">
        <f t="shared" si="15"/>
        <v>20000</v>
      </c>
      <c r="F151" s="452">
        <f t="shared" si="12"/>
        <v>52.15123859191656</v>
      </c>
      <c r="G151" s="79">
        <f>30500+7850</f>
        <v>38350</v>
      </c>
      <c r="H151" s="80">
        <v>20000</v>
      </c>
      <c r="I151" s="426">
        <f t="shared" si="10"/>
        <v>52.15123859191656</v>
      </c>
      <c r="J151" s="113"/>
      <c r="K151" s="80"/>
      <c r="L151" s="379"/>
      <c r="M151" s="80"/>
      <c r="N151" s="80"/>
      <c r="O151" s="356"/>
      <c r="P151" s="79"/>
      <c r="Q151" s="80"/>
      <c r="R151" s="350"/>
    </row>
    <row r="152" spans="1:18" ht="19.5" customHeight="1">
      <c r="A152" s="111">
        <v>4480</v>
      </c>
      <c r="B152" s="115" t="s">
        <v>524</v>
      </c>
      <c r="C152" s="79">
        <v>5000</v>
      </c>
      <c r="D152" s="65">
        <f t="shared" si="13"/>
        <v>5000</v>
      </c>
      <c r="E152" s="80">
        <f t="shared" si="15"/>
        <v>4342</v>
      </c>
      <c r="F152" s="452">
        <f t="shared" si="12"/>
        <v>86.83999999999999</v>
      </c>
      <c r="G152" s="79">
        <v>5000</v>
      </c>
      <c r="H152" s="80">
        <v>4342</v>
      </c>
      <c r="I152" s="211">
        <f t="shared" si="10"/>
        <v>86.83999999999999</v>
      </c>
      <c r="J152" s="113"/>
      <c r="K152" s="80"/>
      <c r="L152" s="379"/>
      <c r="M152" s="80"/>
      <c r="N152" s="80"/>
      <c r="O152" s="356"/>
      <c r="P152" s="79"/>
      <c r="Q152" s="80"/>
      <c r="R152" s="350"/>
    </row>
    <row r="153" spans="1:18" ht="36">
      <c r="A153" s="159">
        <v>4700</v>
      </c>
      <c r="B153" s="326" t="s">
        <v>284</v>
      </c>
      <c r="C153" s="79">
        <v>17500</v>
      </c>
      <c r="D153" s="65">
        <f t="shared" si="13"/>
        <v>17500</v>
      </c>
      <c r="E153" s="80">
        <f t="shared" si="15"/>
        <v>4148</v>
      </c>
      <c r="F153" s="452">
        <f t="shared" si="12"/>
        <v>23.70285714285714</v>
      </c>
      <c r="G153" s="79">
        <v>17500</v>
      </c>
      <c r="H153" s="80">
        <v>4148</v>
      </c>
      <c r="I153" s="211">
        <f t="shared" si="10"/>
        <v>23.70285714285714</v>
      </c>
      <c r="J153" s="113"/>
      <c r="K153" s="80"/>
      <c r="L153" s="379"/>
      <c r="M153" s="80"/>
      <c r="N153" s="80"/>
      <c r="O153" s="356"/>
      <c r="P153" s="79"/>
      <c r="Q153" s="80"/>
      <c r="R153" s="350"/>
    </row>
    <row r="154" spans="1:18" ht="54.75" customHeight="1">
      <c r="A154" s="159">
        <v>4740</v>
      </c>
      <c r="B154" s="326" t="s">
        <v>288</v>
      </c>
      <c r="C154" s="79">
        <v>5000</v>
      </c>
      <c r="D154" s="65">
        <f t="shared" si="13"/>
        <v>5000</v>
      </c>
      <c r="E154" s="80">
        <f t="shared" si="15"/>
        <v>2074</v>
      </c>
      <c r="F154" s="452">
        <f t="shared" si="12"/>
        <v>41.48</v>
      </c>
      <c r="G154" s="79">
        <v>5000</v>
      </c>
      <c r="H154" s="80">
        <v>2074</v>
      </c>
      <c r="I154" s="211">
        <f aca="true" t="shared" si="16" ref="I154:I217">H154/G154*100</f>
        <v>41.48</v>
      </c>
      <c r="J154" s="113"/>
      <c r="K154" s="80"/>
      <c r="L154" s="379"/>
      <c r="M154" s="80"/>
      <c r="N154" s="80"/>
      <c r="O154" s="356"/>
      <c r="P154" s="79"/>
      <c r="Q154" s="80"/>
      <c r="R154" s="350"/>
    </row>
    <row r="155" spans="1:18" ht="36">
      <c r="A155" s="159">
        <v>4750</v>
      </c>
      <c r="B155" s="326" t="s">
        <v>289</v>
      </c>
      <c r="C155" s="79">
        <v>22000</v>
      </c>
      <c r="D155" s="65">
        <f t="shared" si="13"/>
        <v>22000</v>
      </c>
      <c r="E155" s="80">
        <f t="shared" si="15"/>
        <v>17260</v>
      </c>
      <c r="F155" s="452">
        <f t="shared" si="12"/>
        <v>78.45454545454545</v>
      </c>
      <c r="G155" s="79">
        <v>22000</v>
      </c>
      <c r="H155" s="80">
        <v>17260</v>
      </c>
      <c r="I155" s="211">
        <f t="shared" si="16"/>
        <v>78.45454545454545</v>
      </c>
      <c r="J155" s="113"/>
      <c r="K155" s="80"/>
      <c r="L155" s="379"/>
      <c r="M155" s="80"/>
      <c r="N155" s="80"/>
      <c r="O155" s="356"/>
      <c r="P155" s="79"/>
      <c r="Q155" s="80"/>
      <c r="R155" s="350"/>
    </row>
    <row r="156" spans="1:18" ht="35.25" customHeight="1" hidden="1">
      <c r="A156" s="111"/>
      <c r="B156" s="276"/>
      <c r="C156" s="79"/>
      <c r="D156" s="65">
        <f t="shared" si="13"/>
        <v>0</v>
      </c>
      <c r="E156" s="80">
        <f t="shared" si="15"/>
        <v>0</v>
      </c>
      <c r="F156" s="452" t="e">
        <f t="shared" si="12"/>
        <v>#DIV/0!</v>
      </c>
      <c r="G156" s="79"/>
      <c r="H156" s="80"/>
      <c r="I156" s="211" t="e">
        <f t="shared" si="16"/>
        <v>#DIV/0!</v>
      </c>
      <c r="J156" s="113"/>
      <c r="K156" s="80"/>
      <c r="L156" s="379"/>
      <c r="M156" s="80"/>
      <c r="N156" s="80"/>
      <c r="O156" s="356"/>
      <c r="P156" s="79"/>
      <c r="Q156" s="80"/>
      <c r="R156" s="350"/>
    </row>
    <row r="157" spans="1:18" ht="24" hidden="1">
      <c r="A157" s="111">
        <v>6050</v>
      </c>
      <c r="B157" s="276" t="s">
        <v>512</v>
      </c>
      <c r="C157" s="79"/>
      <c r="D157" s="65">
        <f t="shared" si="13"/>
        <v>0</v>
      </c>
      <c r="E157" s="80">
        <f t="shared" si="15"/>
        <v>0</v>
      </c>
      <c r="F157" s="452" t="e">
        <f t="shared" si="12"/>
        <v>#DIV/0!</v>
      </c>
      <c r="G157" s="79"/>
      <c r="H157" s="80"/>
      <c r="I157" s="211" t="e">
        <f t="shared" si="16"/>
        <v>#DIV/0!</v>
      </c>
      <c r="J157" s="113"/>
      <c r="K157" s="80"/>
      <c r="L157" s="379"/>
      <c r="M157" s="80"/>
      <c r="N157" s="80"/>
      <c r="O157" s="356"/>
      <c r="P157" s="79"/>
      <c r="Q157" s="80"/>
      <c r="R157" s="350"/>
    </row>
    <row r="158" spans="1:18" ht="36.75" thickBot="1">
      <c r="A158" s="111">
        <v>6060</v>
      </c>
      <c r="B158" s="115" t="s">
        <v>528</v>
      </c>
      <c r="C158" s="79">
        <v>22000</v>
      </c>
      <c r="D158" s="65">
        <f t="shared" si="13"/>
        <v>22000</v>
      </c>
      <c r="E158" s="80">
        <f t="shared" si="15"/>
        <v>4500</v>
      </c>
      <c r="F158" s="452">
        <f t="shared" si="12"/>
        <v>20.454545454545457</v>
      </c>
      <c r="G158" s="79">
        <v>22000</v>
      </c>
      <c r="H158" s="80">
        <v>4500</v>
      </c>
      <c r="I158" s="452">
        <f t="shared" si="16"/>
        <v>20.454545454545457</v>
      </c>
      <c r="J158" s="113"/>
      <c r="K158" s="80"/>
      <c r="L158" s="379"/>
      <c r="M158" s="80"/>
      <c r="N158" s="80"/>
      <c r="O158" s="356"/>
      <c r="P158" s="79"/>
      <c r="Q158" s="80"/>
      <c r="R158" s="350"/>
    </row>
    <row r="159" spans="1:18" ht="9.75" customHeight="1" hidden="1">
      <c r="A159" s="111">
        <v>6050</v>
      </c>
      <c r="B159" s="115" t="s">
        <v>529</v>
      </c>
      <c r="C159" s="79">
        <v>0</v>
      </c>
      <c r="D159" s="65">
        <f t="shared" si="13"/>
        <v>0</v>
      </c>
      <c r="E159" s="80">
        <f t="shared" si="15"/>
        <v>0</v>
      </c>
      <c r="F159" s="452">
        <v>0</v>
      </c>
      <c r="G159" s="79">
        <v>0</v>
      </c>
      <c r="H159" s="80">
        <v>0</v>
      </c>
      <c r="I159" s="265">
        <v>0</v>
      </c>
      <c r="J159" s="113"/>
      <c r="K159" s="80"/>
      <c r="L159" s="379"/>
      <c r="M159" s="80"/>
      <c r="N159" s="80"/>
      <c r="O159" s="356"/>
      <c r="P159" s="79"/>
      <c r="Q159" s="80"/>
      <c r="R159" s="350"/>
    </row>
    <row r="160" spans="1:18" s="105" customFormat="1" ht="19.5" customHeight="1" thickBot="1" thickTop="1">
      <c r="A160" s="101">
        <v>630</v>
      </c>
      <c r="B160" s="102" t="s">
        <v>530</v>
      </c>
      <c r="C160" s="103">
        <f>C161++C166</f>
        <v>64000</v>
      </c>
      <c r="D160" s="51">
        <f t="shared" si="13"/>
        <v>64000</v>
      </c>
      <c r="E160" s="98">
        <f>H160+K160+Q160+N160</f>
        <v>12330</v>
      </c>
      <c r="F160" s="480">
        <f t="shared" si="12"/>
        <v>19.265625</v>
      </c>
      <c r="G160" s="103">
        <f>SUM(G161)+G166</f>
        <v>64000</v>
      </c>
      <c r="H160" s="98">
        <f>SUM(H161)+H166</f>
        <v>12330</v>
      </c>
      <c r="I160" s="405">
        <f t="shared" si="16"/>
        <v>19.265625</v>
      </c>
      <c r="J160" s="104"/>
      <c r="K160" s="98"/>
      <c r="L160" s="407"/>
      <c r="M160" s="98"/>
      <c r="N160" s="98"/>
      <c r="O160" s="378"/>
      <c r="P160" s="103"/>
      <c r="Q160" s="98"/>
      <c r="R160" s="361"/>
    </row>
    <row r="161" spans="1:18" ht="34.5" customHeight="1" thickTop="1">
      <c r="A161" s="106">
        <v>63003</v>
      </c>
      <c r="B161" s="172" t="s">
        <v>531</v>
      </c>
      <c r="C161" s="108">
        <f>SUM(C162:C165)</f>
        <v>64000</v>
      </c>
      <c r="D161" s="109">
        <f t="shared" si="13"/>
        <v>64000</v>
      </c>
      <c r="E161" s="173">
        <f>H161+K161+Q161+N161</f>
        <v>12330</v>
      </c>
      <c r="F161" s="453">
        <f t="shared" si="12"/>
        <v>19.265625</v>
      </c>
      <c r="G161" s="108">
        <f>SUM(G162:G165)</f>
        <v>64000</v>
      </c>
      <c r="H161" s="75">
        <f>SUM(H162:H165)</f>
        <v>12330</v>
      </c>
      <c r="I161" s="370">
        <f t="shared" si="16"/>
        <v>19.265625</v>
      </c>
      <c r="J161" s="110"/>
      <c r="K161" s="75"/>
      <c r="L161" s="406"/>
      <c r="M161" s="75"/>
      <c r="N161" s="75"/>
      <c r="O161" s="369"/>
      <c r="P161" s="108"/>
      <c r="Q161" s="75"/>
      <c r="R161" s="360"/>
    </row>
    <row r="162" spans="1:18" ht="67.5" customHeight="1">
      <c r="A162" s="131">
        <v>2820</v>
      </c>
      <c r="B162" s="132" t="s">
        <v>54</v>
      </c>
      <c r="C162" s="133">
        <v>7000</v>
      </c>
      <c r="D162" s="134">
        <f t="shared" si="13"/>
        <v>3000</v>
      </c>
      <c r="E162" s="136">
        <f aca="true" t="shared" si="17" ref="E162:E185">SUM(H162+K162+N162+Q162)</f>
        <v>3000</v>
      </c>
      <c r="F162" s="451">
        <f t="shared" si="12"/>
        <v>100</v>
      </c>
      <c r="G162" s="133">
        <f>7000-4000</f>
        <v>3000</v>
      </c>
      <c r="H162" s="136">
        <v>3000</v>
      </c>
      <c r="I162" s="451">
        <f t="shared" si="16"/>
        <v>100</v>
      </c>
      <c r="J162" s="136"/>
      <c r="K162" s="136"/>
      <c r="L162" s="395"/>
      <c r="M162" s="136"/>
      <c r="N162" s="136"/>
      <c r="O162" s="369"/>
      <c r="P162" s="133"/>
      <c r="Q162" s="136"/>
      <c r="R162" s="360"/>
    </row>
    <row r="163" spans="1:18" ht="60">
      <c r="A163" s="111">
        <v>2810</v>
      </c>
      <c r="B163" s="115" t="s">
        <v>395</v>
      </c>
      <c r="C163" s="79"/>
      <c r="D163" s="65">
        <f>G163+J163+P163+M163</f>
        <v>4000</v>
      </c>
      <c r="E163" s="80">
        <f>SUM(H163+K163+N163+Q163)</f>
        <v>2000</v>
      </c>
      <c r="F163" s="452">
        <f>E163/D163*100</f>
        <v>50</v>
      </c>
      <c r="G163" s="79">
        <v>4000</v>
      </c>
      <c r="H163" s="80">
        <v>2000</v>
      </c>
      <c r="I163" s="452">
        <f t="shared" si="16"/>
        <v>50</v>
      </c>
      <c r="J163" s="113"/>
      <c r="K163" s="80"/>
      <c r="L163" s="379"/>
      <c r="M163" s="80"/>
      <c r="N163" s="80"/>
      <c r="O163" s="356"/>
      <c r="P163" s="79"/>
      <c r="Q163" s="80"/>
      <c r="R163" s="350"/>
    </row>
    <row r="164" spans="1:18" ht="25.5" customHeight="1">
      <c r="A164" s="111">
        <v>4210</v>
      </c>
      <c r="B164" s="112" t="s">
        <v>318</v>
      </c>
      <c r="C164" s="79">
        <v>5000</v>
      </c>
      <c r="D164" s="65">
        <f>G164+J164+P164+M164</f>
        <v>5000</v>
      </c>
      <c r="E164" s="80">
        <f>SUM(H164+K164+N164+Q164)</f>
        <v>0</v>
      </c>
      <c r="F164" s="452">
        <f>E164/D164*100</f>
        <v>0</v>
      </c>
      <c r="G164" s="79">
        <v>5000</v>
      </c>
      <c r="H164" s="80"/>
      <c r="I164" s="265">
        <f t="shared" si="16"/>
        <v>0</v>
      </c>
      <c r="J164" s="113"/>
      <c r="K164" s="80"/>
      <c r="L164" s="379"/>
      <c r="M164" s="80"/>
      <c r="N164" s="80"/>
      <c r="O164" s="356"/>
      <c r="P164" s="79"/>
      <c r="Q164" s="80"/>
      <c r="R164" s="350"/>
    </row>
    <row r="165" spans="1:18" ht="24.75" thickBot="1">
      <c r="A165" s="111">
        <v>4300</v>
      </c>
      <c r="B165" s="115" t="s">
        <v>319</v>
      </c>
      <c r="C165" s="79">
        <v>52000</v>
      </c>
      <c r="D165" s="65">
        <f t="shared" si="13"/>
        <v>52000</v>
      </c>
      <c r="E165" s="80">
        <f t="shared" si="17"/>
        <v>7330</v>
      </c>
      <c r="F165" s="452">
        <f t="shared" si="12"/>
        <v>14.096153846153847</v>
      </c>
      <c r="G165" s="79">
        <v>52000</v>
      </c>
      <c r="H165" s="80">
        <v>7330</v>
      </c>
      <c r="I165" s="265">
        <f t="shared" si="16"/>
        <v>14.096153846153847</v>
      </c>
      <c r="J165" s="113"/>
      <c r="K165" s="80"/>
      <c r="L165" s="379"/>
      <c r="M165" s="80"/>
      <c r="N165" s="80"/>
      <c r="O165" s="356"/>
      <c r="P165" s="79"/>
      <c r="Q165" s="80"/>
      <c r="R165" s="350"/>
    </row>
    <row r="166" spans="1:18" s="130" customFormat="1" ht="16.5" customHeight="1" hidden="1">
      <c r="A166" s="137">
        <v>63095</v>
      </c>
      <c r="B166" s="174" t="s">
        <v>504</v>
      </c>
      <c r="C166" s="85">
        <f>C167+C174+C186</f>
        <v>0</v>
      </c>
      <c r="D166" s="86">
        <f t="shared" si="13"/>
        <v>0</v>
      </c>
      <c r="E166" s="86">
        <f t="shared" si="17"/>
        <v>0</v>
      </c>
      <c r="F166" s="460"/>
      <c r="G166" s="85">
        <f>G167+G174+G186</f>
        <v>0</v>
      </c>
      <c r="H166" s="86">
        <f>H167+H174+H186</f>
        <v>0</v>
      </c>
      <c r="I166" s="402"/>
      <c r="J166" s="158"/>
      <c r="K166" s="86"/>
      <c r="L166" s="406"/>
      <c r="M166" s="86"/>
      <c r="N166" s="86"/>
      <c r="O166" s="391"/>
      <c r="P166" s="85"/>
      <c r="Q166" s="86"/>
      <c r="R166" s="358"/>
    </row>
    <row r="167" spans="1:18" s="264" customFormat="1" ht="24.75" hidden="1" thickBot="1">
      <c r="A167" s="212"/>
      <c r="B167" s="213" t="s">
        <v>212</v>
      </c>
      <c r="C167" s="214">
        <f>SUM(C168:C173)</f>
        <v>0</v>
      </c>
      <c r="D167" s="215">
        <f t="shared" si="13"/>
        <v>0</v>
      </c>
      <c r="E167" s="215">
        <f t="shared" si="17"/>
        <v>0</v>
      </c>
      <c r="F167" s="461"/>
      <c r="G167" s="214">
        <f>SUM(G168:G173)</f>
        <v>0</v>
      </c>
      <c r="H167" s="215">
        <f>SUM(H168:H173)</f>
        <v>0</v>
      </c>
      <c r="I167" s="265"/>
      <c r="J167" s="216"/>
      <c r="K167" s="215"/>
      <c r="L167" s="392"/>
      <c r="M167" s="215"/>
      <c r="N167" s="215"/>
      <c r="O167" s="392"/>
      <c r="P167" s="214"/>
      <c r="Q167" s="215"/>
      <c r="R167" s="362"/>
    </row>
    <row r="168" spans="1:18" s="12" customFormat="1" ht="16.5" customHeight="1" hidden="1">
      <c r="A168" s="159">
        <v>4308</v>
      </c>
      <c r="B168" s="193" t="s">
        <v>502</v>
      </c>
      <c r="C168" s="161"/>
      <c r="D168" s="65">
        <f t="shared" si="13"/>
        <v>0</v>
      </c>
      <c r="E168" s="65">
        <f t="shared" si="17"/>
        <v>0</v>
      </c>
      <c r="F168" s="458"/>
      <c r="G168" s="161"/>
      <c r="H168" s="65"/>
      <c r="I168" s="349"/>
      <c r="J168" s="162"/>
      <c r="K168" s="65"/>
      <c r="L168" s="379"/>
      <c r="M168" s="65"/>
      <c r="N168" s="65"/>
      <c r="O168" s="356"/>
      <c r="P168" s="161"/>
      <c r="Q168" s="65"/>
      <c r="R168" s="350"/>
    </row>
    <row r="169" spans="1:18" s="12" customFormat="1" ht="16.5" customHeight="1" hidden="1">
      <c r="A169" s="159">
        <v>4309</v>
      </c>
      <c r="B169" s="193" t="s">
        <v>502</v>
      </c>
      <c r="C169" s="161"/>
      <c r="D169" s="65">
        <f t="shared" si="13"/>
        <v>0</v>
      </c>
      <c r="E169" s="65">
        <f t="shared" si="17"/>
        <v>0</v>
      </c>
      <c r="F169" s="458"/>
      <c r="G169" s="161"/>
      <c r="H169" s="65"/>
      <c r="I169" s="349"/>
      <c r="J169" s="162"/>
      <c r="K169" s="65"/>
      <c r="L169" s="379"/>
      <c r="M169" s="65"/>
      <c r="N169" s="65"/>
      <c r="O169" s="356"/>
      <c r="P169" s="161"/>
      <c r="Q169" s="65"/>
      <c r="R169" s="350"/>
    </row>
    <row r="170" spans="1:18" s="12" customFormat="1" ht="16.5" customHeight="1" hidden="1">
      <c r="A170" s="159">
        <v>4418</v>
      </c>
      <c r="B170" s="193" t="s">
        <v>463</v>
      </c>
      <c r="C170" s="161"/>
      <c r="D170" s="65">
        <f t="shared" si="13"/>
        <v>0</v>
      </c>
      <c r="E170" s="65">
        <f t="shared" si="17"/>
        <v>0</v>
      </c>
      <c r="F170" s="458"/>
      <c r="G170" s="161"/>
      <c r="H170" s="65"/>
      <c r="I170" s="349"/>
      <c r="J170" s="162"/>
      <c r="K170" s="65"/>
      <c r="L170" s="379"/>
      <c r="M170" s="65"/>
      <c r="N170" s="65"/>
      <c r="O170" s="356"/>
      <c r="P170" s="161"/>
      <c r="Q170" s="65"/>
      <c r="R170" s="350"/>
    </row>
    <row r="171" spans="1:18" s="12" customFormat="1" ht="16.5" customHeight="1" hidden="1">
      <c r="A171" s="159">
        <v>4419</v>
      </c>
      <c r="B171" s="193" t="s">
        <v>463</v>
      </c>
      <c r="C171" s="161"/>
      <c r="D171" s="65">
        <f t="shared" si="13"/>
        <v>0</v>
      </c>
      <c r="E171" s="65">
        <f t="shared" si="17"/>
        <v>0</v>
      </c>
      <c r="F171" s="458"/>
      <c r="G171" s="161"/>
      <c r="H171" s="65"/>
      <c r="I171" s="349"/>
      <c r="J171" s="162"/>
      <c r="K171" s="65"/>
      <c r="L171" s="379"/>
      <c r="M171" s="65"/>
      <c r="N171" s="65"/>
      <c r="O171" s="356"/>
      <c r="P171" s="161"/>
      <c r="Q171" s="65"/>
      <c r="R171" s="350"/>
    </row>
    <row r="172" spans="1:18" s="12" customFormat="1" ht="24.75" hidden="1" thickBot="1">
      <c r="A172" s="159">
        <v>4428</v>
      </c>
      <c r="B172" s="193" t="s">
        <v>532</v>
      </c>
      <c r="C172" s="161"/>
      <c r="D172" s="65">
        <f t="shared" si="13"/>
        <v>0</v>
      </c>
      <c r="E172" s="65">
        <f t="shared" si="17"/>
        <v>0</v>
      </c>
      <c r="F172" s="458"/>
      <c r="G172" s="161"/>
      <c r="H172" s="65"/>
      <c r="I172" s="349"/>
      <c r="J172" s="162"/>
      <c r="K172" s="65"/>
      <c r="L172" s="379"/>
      <c r="M172" s="65"/>
      <c r="N172" s="65"/>
      <c r="O172" s="356"/>
      <c r="P172" s="161"/>
      <c r="Q172" s="65"/>
      <c r="R172" s="350"/>
    </row>
    <row r="173" spans="1:18" s="12" customFormat="1" ht="24.75" hidden="1" thickBot="1">
      <c r="A173" s="159">
        <v>4429</v>
      </c>
      <c r="B173" s="193" t="s">
        <v>532</v>
      </c>
      <c r="C173" s="161"/>
      <c r="D173" s="65">
        <f t="shared" si="13"/>
        <v>0</v>
      </c>
      <c r="E173" s="65">
        <f t="shared" si="17"/>
        <v>0</v>
      </c>
      <c r="F173" s="458"/>
      <c r="G173" s="161"/>
      <c r="H173" s="65"/>
      <c r="I173" s="349"/>
      <c r="J173" s="162"/>
      <c r="K173" s="65"/>
      <c r="L173" s="379"/>
      <c r="M173" s="65"/>
      <c r="N173" s="65"/>
      <c r="O173" s="356"/>
      <c r="P173" s="161"/>
      <c r="Q173" s="65"/>
      <c r="R173" s="350"/>
    </row>
    <row r="174" spans="1:18" s="264" customFormat="1" ht="48.75" hidden="1" thickBot="1">
      <c r="A174" s="212"/>
      <c r="B174" s="213" t="s">
        <v>279</v>
      </c>
      <c r="C174" s="214">
        <f>SUM(C175:C185)</f>
        <v>0</v>
      </c>
      <c r="D174" s="215">
        <f t="shared" si="13"/>
        <v>0</v>
      </c>
      <c r="E174" s="215">
        <f t="shared" si="17"/>
        <v>0</v>
      </c>
      <c r="F174" s="452"/>
      <c r="G174" s="214">
        <f>SUM(G175:G185)</f>
        <v>0</v>
      </c>
      <c r="H174" s="215">
        <f>SUM(H175:H185)</f>
        <v>0</v>
      </c>
      <c r="I174" s="265"/>
      <c r="J174" s="216"/>
      <c r="K174" s="215"/>
      <c r="L174" s="392"/>
      <c r="M174" s="215"/>
      <c r="N174" s="215"/>
      <c r="O174" s="392"/>
      <c r="P174" s="214"/>
      <c r="Q174" s="215"/>
      <c r="R174" s="362"/>
    </row>
    <row r="175" spans="1:18" s="12" customFormat="1" ht="24.75" hidden="1" thickBot="1">
      <c r="A175" s="159">
        <v>4110</v>
      </c>
      <c r="B175" s="115" t="s">
        <v>517</v>
      </c>
      <c r="C175" s="161"/>
      <c r="D175" s="65">
        <f t="shared" si="13"/>
        <v>0</v>
      </c>
      <c r="E175" s="65">
        <f t="shared" si="17"/>
        <v>0</v>
      </c>
      <c r="F175" s="458"/>
      <c r="G175" s="161"/>
      <c r="H175" s="65"/>
      <c r="I175" s="349"/>
      <c r="J175" s="162"/>
      <c r="K175" s="65"/>
      <c r="L175" s="379"/>
      <c r="M175" s="65"/>
      <c r="N175" s="65"/>
      <c r="O175" s="356"/>
      <c r="P175" s="161"/>
      <c r="Q175" s="65"/>
      <c r="R175" s="350"/>
    </row>
    <row r="176" spans="1:18" s="12" customFormat="1" ht="16.5" customHeight="1" hidden="1">
      <c r="A176" s="159">
        <v>4120</v>
      </c>
      <c r="B176" s="115" t="s">
        <v>518</v>
      </c>
      <c r="C176" s="161"/>
      <c r="D176" s="65">
        <f t="shared" si="13"/>
        <v>0</v>
      </c>
      <c r="E176" s="65">
        <f t="shared" si="17"/>
        <v>0</v>
      </c>
      <c r="F176" s="458"/>
      <c r="G176" s="161"/>
      <c r="H176" s="65"/>
      <c r="I176" s="349"/>
      <c r="J176" s="162"/>
      <c r="K176" s="65"/>
      <c r="L176" s="379"/>
      <c r="M176" s="65"/>
      <c r="N176" s="65"/>
      <c r="O176" s="356"/>
      <c r="P176" s="161"/>
      <c r="Q176" s="65"/>
      <c r="R176" s="350"/>
    </row>
    <row r="177" spans="1:18" s="12" customFormat="1" ht="24.75" hidden="1" thickBot="1">
      <c r="A177" s="159">
        <v>4178</v>
      </c>
      <c r="B177" s="115" t="s">
        <v>511</v>
      </c>
      <c r="C177" s="161"/>
      <c r="D177" s="65">
        <f t="shared" si="13"/>
        <v>0</v>
      </c>
      <c r="E177" s="65">
        <f t="shared" si="17"/>
        <v>0</v>
      </c>
      <c r="F177" s="458"/>
      <c r="G177" s="161"/>
      <c r="H177" s="65"/>
      <c r="I177" s="349"/>
      <c r="J177" s="162"/>
      <c r="K177" s="65"/>
      <c r="L177" s="379"/>
      <c r="M177" s="65"/>
      <c r="N177" s="65"/>
      <c r="O177" s="356"/>
      <c r="P177" s="161"/>
      <c r="Q177" s="65"/>
      <c r="R177" s="350"/>
    </row>
    <row r="178" spans="1:18" s="12" customFormat="1" ht="24.75" hidden="1" thickBot="1">
      <c r="A178" s="159">
        <v>4179</v>
      </c>
      <c r="B178" s="115" t="s">
        <v>511</v>
      </c>
      <c r="C178" s="161"/>
      <c r="D178" s="65">
        <f t="shared" si="13"/>
        <v>0</v>
      </c>
      <c r="E178" s="65">
        <f t="shared" si="17"/>
        <v>0</v>
      </c>
      <c r="F178" s="458"/>
      <c r="G178" s="161"/>
      <c r="H178" s="65"/>
      <c r="I178" s="349"/>
      <c r="J178" s="162"/>
      <c r="K178" s="65"/>
      <c r="L178" s="379"/>
      <c r="M178" s="65"/>
      <c r="N178" s="65"/>
      <c r="O178" s="356"/>
      <c r="P178" s="161"/>
      <c r="Q178" s="65"/>
      <c r="R178" s="350"/>
    </row>
    <row r="179" spans="1:18" s="12" customFormat="1" ht="24.75" hidden="1" thickBot="1">
      <c r="A179" s="159">
        <v>4218</v>
      </c>
      <c r="B179" s="112" t="s">
        <v>481</v>
      </c>
      <c r="C179" s="161"/>
      <c r="D179" s="65">
        <f t="shared" si="13"/>
        <v>0</v>
      </c>
      <c r="E179" s="65">
        <f t="shared" si="17"/>
        <v>0</v>
      </c>
      <c r="F179" s="458"/>
      <c r="G179" s="161"/>
      <c r="H179" s="65"/>
      <c r="I179" s="349"/>
      <c r="J179" s="162"/>
      <c r="K179" s="65"/>
      <c r="L179" s="379"/>
      <c r="M179" s="65"/>
      <c r="N179" s="65"/>
      <c r="O179" s="356"/>
      <c r="P179" s="161"/>
      <c r="Q179" s="65"/>
      <c r="R179" s="350"/>
    </row>
    <row r="180" spans="1:18" s="12" customFormat="1" ht="24.75" hidden="1" thickBot="1">
      <c r="A180" s="159">
        <v>4219</v>
      </c>
      <c r="B180" s="112" t="s">
        <v>481</v>
      </c>
      <c r="C180" s="161"/>
      <c r="D180" s="65">
        <f aca="true" t="shared" si="18" ref="D180:E226">G180+J180+P180+M180</f>
        <v>0</v>
      </c>
      <c r="E180" s="65">
        <f t="shared" si="17"/>
        <v>0</v>
      </c>
      <c r="F180" s="458"/>
      <c r="G180" s="161"/>
      <c r="H180" s="65"/>
      <c r="I180" s="349"/>
      <c r="J180" s="162"/>
      <c r="K180" s="65"/>
      <c r="L180" s="379"/>
      <c r="M180" s="65"/>
      <c r="N180" s="65"/>
      <c r="O180" s="356"/>
      <c r="P180" s="161"/>
      <c r="Q180" s="65"/>
      <c r="R180" s="350"/>
    </row>
    <row r="181" spans="1:18" s="12" customFormat="1" ht="16.5" customHeight="1" hidden="1">
      <c r="A181" s="159">
        <v>4300</v>
      </c>
      <c r="B181" s="193" t="s">
        <v>502</v>
      </c>
      <c r="C181" s="161"/>
      <c r="D181" s="65">
        <f t="shared" si="18"/>
        <v>0</v>
      </c>
      <c r="E181" s="65">
        <f t="shared" si="17"/>
        <v>0</v>
      </c>
      <c r="F181" s="458"/>
      <c r="G181" s="161"/>
      <c r="H181" s="65"/>
      <c r="I181" s="349"/>
      <c r="J181" s="162"/>
      <c r="K181" s="65"/>
      <c r="L181" s="379"/>
      <c r="M181" s="65"/>
      <c r="N181" s="65"/>
      <c r="O181" s="356"/>
      <c r="P181" s="161"/>
      <c r="Q181" s="65"/>
      <c r="R181" s="350"/>
    </row>
    <row r="182" spans="1:18" s="12" customFormat="1" ht="16.5" customHeight="1" hidden="1">
      <c r="A182" s="159">
        <v>4308</v>
      </c>
      <c r="B182" s="193" t="s">
        <v>502</v>
      </c>
      <c r="C182" s="161"/>
      <c r="D182" s="65">
        <f t="shared" si="18"/>
        <v>0</v>
      </c>
      <c r="E182" s="65">
        <f>SUM(H182+K182+N182+Q182)</f>
        <v>0</v>
      </c>
      <c r="F182" s="458"/>
      <c r="G182" s="161"/>
      <c r="H182" s="65"/>
      <c r="I182" s="349"/>
      <c r="J182" s="162"/>
      <c r="K182" s="65"/>
      <c r="L182" s="379"/>
      <c r="M182" s="65"/>
      <c r="N182" s="65"/>
      <c r="O182" s="356"/>
      <c r="P182" s="161"/>
      <c r="Q182" s="65"/>
      <c r="R182" s="350"/>
    </row>
    <row r="183" spans="1:18" s="12" customFormat="1" ht="16.5" customHeight="1" hidden="1">
      <c r="A183" s="159">
        <v>4309</v>
      </c>
      <c r="B183" s="193" t="s">
        <v>502</v>
      </c>
      <c r="C183" s="161"/>
      <c r="D183" s="65">
        <f t="shared" si="18"/>
        <v>0</v>
      </c>
      <c r="E183" s="65">
        <f>SUM(H183+K183+N183+Q183)</f>
        <v>0</v>
      </c>
      <c r="F183" s="458"/>
      <c r="G183" s="161"/>
      <c r="H183" s="65"/>
      <c r="I183" s="349"/>
      <c r="J183" s="162"/>
      <c r="K183" s="65"/>
      <c r="L183" s="379"/>
      <c r="M183" s="65"/>
      <c r="N183" s="65"/>
      <c r="O183" s="356"/>
      <c r="P183" s="161"/>
      <c r="Q183" s="65"/>
      <c r="R183" s="350"/>
    </row>
    <row r="184" spans="1:18" s="12" customFormat="1" ht="36.75" hidden="1" thickBot="1">
      <c r="A184" s="159">
        <v>4388</v>
      </c>
      <c r="B184" s="193" t="s">
        <v>280</v>
      </c>
      <c r="C184" s="161"/>
      <c r="D184" s="65">
        <f t="shared" si="18"/>
        <v>0</v>
      </c>
      <c r="E184" s="65">
        <f t="shared" si="17"/>
        <v>0</v>
      </c>
      <c r="F184" s="458"/>
      <c r="G184" s="161"/>
      <c r="H184" s="65"/>
      <c r="I184" s="349"/>
      <c r="J184" s="162"/>
      <c r="K184" s="65"/>
      <c r="L184" s="379"/>
      <c r="M184" s="65"/>
      <c r="N184" s="65"/>
      <c r="O184" s="356"/>
      <c r="P184" s="161"/>
      <c r="Q184" s="65"/>
      <c r="R184" s="350"/>
    </row>
    <row r="185" spans="1:18" s="12" customFormat="1" ht="36.75" hidden="1" thickBot="1">
      <c r="A185" s="159">
        <v>4389</v>
      </c>
      <c r="B185" s="193" t="s">
        <v>280</v>
      </c>
      <c r="C185" s="161"/>
      <c r="D185" s="65">
        <f t="shared" si="18"/>
        <v>0</v>
      </c>
      <c r="E185" s="65">
        <f t="shared" si="17"/>
        <v>0</v>
      </c>
      <c r="F185" s="458"/>
      <c r="G185" s="161"/>
      <c r="H185" s="65"/>
      <c r="I185" s="349"/>
      <c r="J185" s="162"/>
      <c r="K185" s="65"/>
      <c r="L185" s="379"/>
      <c r="M185" s="65"/>
      <c r="N185" s="65"/>
      <c r="O185" s="356"/>
      <c r="P185" s="161"/>
      <c r="Q185" s="65"/>
      <c r="R185" s="350"/>
    </row>
    <row r="186" spans="1:18" s="264" customFormat="1" ht="36.75" hidden="1" thickBot="1">
      <c r="A186" s="212"/>
      <c r="B186" s="213" t="s">
        <v>419</v>
      </c>
      <c r="C186" s="214">
        <f>SUM(C187)</f>
        <v>0</v>
      </c>
      <c r="D186" s="215">
        <f t="shared" si="18"/>
        <v>0</v>
      </c>
      <c r="E186" s="215">
        <f>SUM(H186+K186+N186+Q186)</f>
        <v>0</v>
      </c>
      <c r="F186" s="461"/>
      <c r="G186" s="214">
        <f>SUM(G187)</f>
        <v>0</v>
      </c>
      <c r="H186" s="215">
        <f>SUM(H187)</f>
        <v>0</v>
      </c>
      <c r="I186" s="349"/>
      <c r="J186" s="216"/>
      <c r="K186" s="215"/>
      <c r="L186" s="392"/>
      <c r="M186" s="215"/>
      <c r="N186" s="215"/>
      <c r="O186" s="392"/>
      <c r="P186" s="214"/>
      <c r="Q186" s="215"/>
      <c r="R186" s="362"/>
    </row>
    <row r="187" spans="1:18" s="12" customFormat="1" ht="72.75" hidden="1" thickBot="1">
      <c r="A187" s="159">
        <v>2710</v>
      </c>
      <c r="B187" s="193" t="s">
        <v>420</v>
      </c>
      <c r="C187" s="161"/>
      <c r="D187" s="65">
        <f t="shared" si="18"/>
        <v>0</v>
      </c>
      <c r="E187" s="65">
        <f>SUM(H187+K187+N187+Q187)</f>
        <v>0</v>
      </c>
      <c r="F187" s="458"/>
      <c r="G187" s="161">
        <f>100000-100000</f>
        <v>0</v>
      </c>
      <c r="H187" s="65"/>
      <c r="I187" s="349"/>
      <c r="J187" s="162"/>
      <c r="K187" s="65"/>
      <c r="L187" s="379"/>
      <c r="M187" s="65"/>
      <c r="N187" s="65"/>
      <c r="O187" s="356"/>
      <c r="P187" s="161"/>
      <c r="Q187" s="65"/>
      <c r="R187" s="350"/>
    </row>
    <row r="188" spans="1:18" ht="24.75" customHeight="1" thickBot="1" thickTop="1">
      <c r="A188" s="101">
        <v>700</v>
      </c>
      <c r="B188" s="102" t="s">
        <v>533</v>
      </c>
      <c r="C188" s="103">
        <f>C189+C192+C213+C211</f>
        <v>22940100</v>
      </c>
      <c r="D188" s="51">
        <f t="shared" si="18"/>
        <v>24700970</v>
      </c>
      <c r="E188" s="98">
        <f>H188+K188+Q188+N188</f>
        <v>6855344</v>
      </c>
      <c r="F188" s="480">
        <f aca="true" t="shared" si="19" ref="F188:F252">E188/D188*100</f>
        <v>27.753339241333435</v>
      </c>
      <c r="G188" s="103">
        <f>G189+G192+G213+G211</f>
        <v>24657470</v>
      </c>
      <c r="H188" s="98">
        <f>H189+H192+H213+H211</f>
        <v>6847868</v>
      </c>
      <c r="I188" s="343">
        <f t="shared" si="16"/>
        <v>27.771981472551726</v>
      </c>
      <c r="J188" s="98"/>
      <c r="K188" s="98"/>
      <c r="L188" s="407"/>
      <c r="M188" s="98"/>
      <c r="N188" s="98"/>
      <c r="O188" s="378"/>
      <c r="P188" s="103">
        <f>P189+P192+P213</f>
        <v>43500</v>
      </c>
      <c r="Q188" s="98">
        <f>Q189+Q192+Q213</f>
        <v>7476</v>
      </c>
      <c r="R188" s="343">
        <f>Q188/P188*100</f>
        <v>17.186206896551724</v>
      </c>
    </row>
    <row r="189" spans="1:18" s="105" customFormat="1" ht="24.75" thickTop="1">
      <c r="A189" s="175">
        <v>70001</v>
      </c>
      <c r="B189" s="176" t="s">
        <v>534</v>
      </c>
      <c r="C189" s="177">
        <f>SUM(C190:C191)</f>
        <v>6700000</v>
      </c>
      <c r="D189" s="109">
        <f t="shared" si="18"/>
        <v>7100000</v>
      </c>
      <c r="E189" s="58">
        <f aca="true" t="shared" si="20" ref="E189:E224">SUM(H189+K189+N189+Q189)</f>
        <v>3349800</v>
      </c>
      <c r="F189" s="453">
        <f t="shared" si="19"/>
        <v>47.180281690140845</v>
      </c>
      <c r="G189" s="178">
        <f>SUM(G190:G191)</f>
        <v>7100000</v>
      </c>
      <c r="H189" s="173">
        <f>SUM(H190:H191)</f>
        <v>3349800</v>
      </c>
      <c r="I189" s="259">
        <f t="shared" si="16"/>
        <v>47.180281690140845</v>
      </c>
      <c r="J189" s="179"/>
      <c r="K189" s="180"/>
      <c r="L189" s="409"/>
      <c r="M189" s="179"/>
      <c r="N189" s="179"/>
      <c r="O189" s="375"/>
      <c r="P189" s="177"/>
      <c r="Q189" s="179"/>
      <c r="R189" s="354"/>
    </row>
    <row r="190" spans="1:18" s="12" customFormat="1" ht="36">
      <c r="A190" s="181">
        <v>2650</v>
      </c>
      <c r="B190" s="182" t="s">
        <v>281</v>
      </c>
      <c r="C190" s="93">
        <v>6700000</v>
      </c>
      <c r="D190" s="94">
        <f t="shared" si="18"/>
        <v>6700000</v>
      </c>
      <c r="E190" s="95">
        <f t="shared" si="20"/>
        <v>3349800</v>
      </c>
      <c r="F190" s="454">
        <f t="shared" si="19"/>
        <v>49.997014925373136</v>
      </c>
      <c r="G190" s="93">
        <v>6700000</v>
      </c>
      <c r="H190" s="94">
        <v>3349800</v>
      </c>
      <c r="I190" s="289">
        <f t="shared" si="16"/>
        <v>49.997014925373136</v>
      </c>
      <c r="J190" s="183"/>
      <c r="K190" s="183"/>
      <c r="L190" s="403"/>
      <c r="M190" s="94"/>
      <c r="N190" s="94"/>
      <c r="O190" s="376"/>
      <c r="P190" s="93"/>
      <c r="Q190" s="94"/>
      <c r="R190" s="353"/>
    </row>
    <row r="191" spans="1:18" ht="75.75" customHeight="1">
      <c r="A191" s="184">
        <v>6210</v>
      </c>
      <c r="B191" s="185" t="s">
        <v>536</v>
      </c>
      <c r="C191" s="79"/>
      <c r="D191" s="65">
        <f t="shared" si="18"/>
        <v>400000</v>
      </c>
      <c r="E191" s="80">
        <f t="shared" si="20"/>
        <v>0</v>
      </c>
      <c r="F191" s="452">
        <f t="shared" si="19"/>
        <v>0</v>
      </c>
      <c r="G191" s="79">
        <v>400000</v>
      </c>
      <c r="H191" s="80"/>
      <c r="I191" s="211">
        <f t="shared" si="16"/>
        <v>0</v>
      </c>
      <c r="J191" s="113"/>
      <c r="K191" s="80"/>
      <c r="L191" s="379"/>
      <c r="M191" s="80"/>
      <c r="N191" s="80"/>
      <c r="O191" s="356"/>
      <c r="P191" s="79"/>
      <c r="Q191" s="80"/>
      <c r="R191" s="350"/>
    </row>
    <row r="192" spans="1:18" s="105" customFormat="1" ht="24.75" customHeight="1">
      <c r="A192" s="106">
        <v>70005</v>
      </c>
      <c r="B192" s="172" t="s">
        <v>537</v>
      </c>
      <c r="C192" s="108">
        <f>SUM(C193:C210)</f>
        <v>6697500</v>
      </c>
      <c r="D192" s="86">
        <f t="shared" si="18"/>
        <v>5406370</v>
      </c>
      <c r="E192" s="75">
        <f>H192+K192+Q192+N192</f>
        <v>1213926</v>
      </c>
      <c r="F192" s="451">
        <f t="shared" si="19"/>
        <v>22.453624150770295</v>
      </c>
      <c r="G192" s="108">
        <f>SUM(G193:G210)</f>
        <v>5362870</v>
      </c>
      <c r="H192" s="75">
        <f>SUM(H193:H210)</f>
        <v>1206450</v>
      </c>
      <c r="I192" s="301">
        <f t="shared" si="16"/>
        <v>22.496349902197892</v>
      </c>
      <c r="J192" s="110"/>
      <c r="K192" s="75"/>
      <c r="L192" s="406"/>
      <c r="M192" s="75"/>
      <c r="N192" s="75"/>
      <c r="O192" s="369"/>
      <c r="P192" s="108">
        <f>SUM(P193:P210)</f>
        <v>43500</v>
      </c>
      <c r="Q192" s="75">
        <f>SUM(Q193:Q210)</f>
        <v>7476</v>
      </c>
      <c r="R192" s="301">
        <f>Q192/P192*100</f>
        <v>17.186206896551724</v>
      </c>
    </row>
    <row r="193" spans="1:18" ht="24" hidden="1">
      <c r="A193" s="111">
        <v>4300</v>
      </c>
      <c r="B193" s="115" t="s">
        <v>282</v>
      </c>
      <c r="C193" s="81"/>
      <c r="D193" s="94">
        <f t="shared" si="18"/>
        <v>0</v>
      </c>
      <c r="E193" s="95">
        <f t="shared" si="20"/>
        <v>0</v>
      </c>
      <c r="F193" s="454" t="e">
        <f t="shared" si="19"/>
        <v>#DIV/0!</v>
      </c>
      <c r="G193" s="81"/>
      <c r="H193" s="95"/>
      <c r="I193" s="289" t="e">
        <f t="shared" si="16"/>
        <v>#DIV/0!</v>
      </c>
      <c r="J193" s="187"/>
      <c r="K193" s="95"/>
      <c r="L193" s="403"/>
      <c r="M193" s="95"/>
      <c r="N193" s="95"/>
      <c r="O193" s="376"/>
      <c r="P193" s="81"/>
      <c r="Q193" s="95"/>
      <c r="R193" s="353"/>
    </row>
    <row r="194" spans="1:18" ht="29.25" customHeight="1" hidden="1">
      <c r="A194" s="111">
        <v>4300</v>
      </c>
      <c r="B194" s="115" t="s">
        <v>353</v>
      </c>
      <c r="C194" s="79"/>
      <c r="D194" s="65">
        <f t="shared" si="18"/>
        <v>0</v>
      </c>
      <c r="E194" s="80">
        <f t="shared" si="20"/>
        <v>0</v>
      </c>
      <c r="F194" s="426" t="e">
        <f t="shared" si="19"/>
        <v>#DIV/0!</v>
      </c>
      <c r="G194" s="79"/>
      <c r="H194" s="80"/>
      <c r="I194" s="211"/>
      <c r="J194" s="113"/>
      <c r="K194" s="80"/>
      <c r="L194" s="379"/>
      <c r="M194" s="80"/>
      <c r="N194" s="80"/>
      <c r="O194" s="356"/>
      <c r="P194" s="79"/>
      <c r="Q194" s="80"/>
      <c r="R194" s="350"/>
    </row>
    <row r="195" spans="1:18" ht="24.75" customHeight="1" hidden="1">
      <c r="A195" s="111">
        <v>4210</v>
      </c>
      <c r="B195" s="112" t="s">
        <v>481</v>
      </c>
      <c r="C195" s="79"/>
      <c r="D195" s="65">
        <f t="shared" si="18"/>
        <v>0</v>
      </c>
      <c r="E195" s="80">
        <f t="shared" si="20"/>
        <v>0</v>
      </c>
      <c r="F195" s="426" t="e">
        <f t="shared" si="19"/>
        <v>#DIV/0!</v>
      </c>
      <c r="G195" s="79"/>
      <c r="H195" s="80"/>
      <c r="I195" s="211"/>
      <c r="J195" s="113"/>
      <c r="K195" s="80"/>
      <c r="L195" s="379"/>
      <c r="M195" s="80"/>
      <c r="N195" s="80"/>
      <c r="O195" s="356"/>
      <c r="P195" s="79"/>
      <c r="Q195" s="80"/>
      <c r="R195" s="211"/>
    </row>
    <row r="196" spans="1:18" ht="24.75" customHeight="1" hidden="1">
      <c r="A196" s="111">
        <v>4170</v>
      </c>
      <c r="B196" s="112" t="s">
        <v>511</v>
      </c>
      <c r="C196" s="79"/>
      <c r="D196" s="65">
        <f t="shared" si="18"/>
        <v>0</v>
      </c>
      <c r="E196" s="80">
        <f t="shared" si="20"/>
        <v>0</v>
      </c>
      <c r="F196" s="426" t="e">
        <f t="shared" si="19"/>
        <v>#DIV/0!</v>
      </c>
      <c r="G196" s="79"/>
      <c r="H196" s="80"/>
      <c r="I196" s="211"/>
      <c r="J196" s="113"/>
      <c r="K196" s="80"/>
      <c r="L196" s="379"/>
      <c r="M196" s="80"/>
      <c r="N196" s="80"/>
      <c r="O196" s="356"/>
      <c r="P196" s="79"/>
      <c r="Q196" s="80"/>
      <c r="R196" s="211"/>
    </row>
    <row r="197" spans="1:18" ht="37.5" customHeight="1" hidden="1">
      <c r="A197" s="111">
        <v>4240</v>
      </c>
      <c r="B197" s="115" t="s">
        <v>539</v>
      </c>
      <c r="C197" s="79"/>
      <c r="D197" s="65">
        <f t="shared" si="18"/>
        <v>0</v>
      </c>
      <c r="E197" s="80">
        <f t="shared" si="20"/>
        <v>0</v>
      </c>
      <c r="F197" s="426" t="e">
        <f t="shared" si="19"/>
        <v>#DIV/0!</v>
      </c>
      <c r="G197" s="79"/>
      <c r="H197" s="80"/>
      <c r="I197" s="211"/>
      <c r="J197" s="113"/>
      <c r="K197" s="80"/>
      <c r="L197" s="379"/>
      <c r="M197" s="80"/>
      <c r="N197" s="80"/>
      <c r="O197" s="356"/>
      <c r="P197" s="79"/>
      <c r="Q197" s="80"/>
      <c r="R197" s="211"/>
    </row>
    <row r="198" spans="1:18" ht="48">
      <c r="A198" s="111">
        <v>4300</v>
      </c>
      <c r="B198" s="115" t="s">
        <v>540</v>
      </c>
      <c r="C198" s="79">
        <v>852500</v>
      </c>
      <c r="D198" s="65">
        <f t="shared" si="18"/>
        <v>871500</v>
      </c>
      <c r="E198" s="80">
        <f t="shared" si="20"/>
        <v>205052</v>
      </c>
      <c r="F198" s="452">
        <f t="shared" si="19"/>
        <v>23.528628800917957</v>
      </c>
      <c r="G198" s="79">
        <f>850000+15000</f>
        <v>865000</v>
      </c>
      <c r="H198" s="80">
        <v>200476</v>
      </c>
      <c r="I198" s="211">
        <f t="shared" si="16"/>
        <v>23.1764161849711</v>
      </c>
      <c r="J198" s="113"/>
      <c r="K198" s="80"/>
      <c r="L198" s="379"/>
      <c r="M198" s="80"/>
      <c r="N198" s="80"/>
      <c r="O198" s="356"/>
      <c r="P198" s="79">
        <f>2500+4000</f>
        <v>6500</v>
      </c>
      <c r="Q198" s="80">
        <v>4576</v>
      </c>
      <c r="R198" s="426">
        <f>Q198/P198*100</f>
        <v>70.39999999999999</v>
      </c>
    </row>
    <row r="199" spans="1:18" ht="36">
      <c r="A199" s="111">
        <v>4390</v>
      </c>
      <c r="B199" s="193" t="s">
        <v>283</v>
      </c>
      <c r="C199" s="79">
        <v>483300</v>
      </c>
      <c r="D199" s="65">
        <f t="shared" si="18"/>
        <v>665800</v>
      </c>
      <c r="E199" s="80">
        <f t="shared" si="20"/>
        <v>87186</v>
      </c>
      <c r="F199" s="452">
        <f t="shared" si="19"/>
        <v>13.094923400420546</v>
      </c>
      <c r="G199" s="79">
        <f>450000+200000</f>
        <v>650000</v>
      </c>
      <c r="H199" s="65">
        <v>86886</v>
      </c>
      <c r="I199" s="211">
        <f t="shared" si="16"/>
        <v>13.367076923076922</v>
      </c>
      <c r="J199" s="113"/>
      <c r="K199" s="80"/>
      <c r="L199" s="379"/>
      <c r="M199" s="80"/>
      <c r="N199" s="80"/>
      <c r="O199" s="356"/>
      <c r="P199" s="79">
        <f>33300-17500</f>
        <v>15800</v>
      </c>
      <c r="Q199" s="80">
        <v>300</v>
      </c>
      <c r="R199" s="426">
        <f>Q199/P199*100</f>
        <v>1.89873417721519</v>
      </c>
    </row>
    <row r="200" spans="1:18" ht="60" hidden="1">
      <c r="A200" s="111">
        <v>4400</v>
      </c>
      <c r="B200" s="193" t="s">
        <v>369</v>
      </c>
      <c r="C200" s="79"/>
      <c r="D200" s="65">
        <f>G200+J200+P200+M200</f>
        <v>0</v>
      </c>
      <c r="E200" s="80">
        <f>SUM(H200+K200+N200+Q200)</f>
        <v>0</v>
      </c>
      <c r="F200" s="452" t="e">
        <f>E200/D200*100</f>
        <v>#DIV/0!</v>
      </c>
      <c r="G200" s="79"/>
      <c r="H200" s="65"/>
      <c r="I200" s="211" t="e">
        <f t="shared" si="16"/>
        <v>#DIV/0!</v>
      </c>
      <c r="J200" s="113"/>
      <c r="K200" s="80"/>
      <c r="L200" s="379"/>
      <c r="M200" s="80"/>
      <c r="N200" s="80"/>
      <c r="O200" s="356"/>
      <c r="P200" s="79"/>
      <c r="Q200" s="80"/>
      <c r="R200" s="426"/>
    </row>
    <row r="201" spans="1:18" ht="14.25" customHeight="1">
      <c r="A201" s="111">
        <v>4430</v>
      </c>
      <c r="B201" s="115" t="s">
        <v>491</v>
      </c>
      <c r="C201" s="79">
        <v>151000</v>
      </c>
      <c r="D201" s="65">
        <f t="shared" si="18"/>
        <v>150000</v>
      </c>
      <c r="E201" s="80">
        <f t="shared" si="20"/>
        <v>44980</v>
      </c>
      <c r="F201" s="452">
        <f t="shared" si="19"/>
        <v>29.986666666666668</v>
      </c>
      <c r="G201" s="79">
        <v>150000</v>
      </c>
      <c r="H201" s="80">
        <v>44980</v>
      </c>
      <c r="I201" s="211">
        <f t="shared" si="16"/>
        <v>29.986666666666668</v>
      </c>
      <c r="J201" s="113"/>
      <c r="K201" s="80"/>
      <c r="L201" s="379"/>
      <c r="M201" s="80"/>
      <c r="N201" s="80"/>
      <c r="O201" s="356"/>
      <c r="P201" s="79">
        <f>1000-1000</f>
        <v>0</v>
      </c>
      <c r="Q201" s="80"/>
      <c r="R201" s="426"/>
    </row>
    <row r="202" spans="1:18" ht="14.25" customHeight="1">
      <c r="A202" s="111">
        <v>4480</v>
      </c>
      <c r="B202" s="115" t="s">
        <v>495</v>
      </c>
      <c r="C202" s="79">
        <v>7500</v>
      </c>
      <c r="D202" s="65">
        <f t="shared" si="18"/>
        <v>7500</v>
      </c>
      <c r="E202" s="80">
        <f>SUM(H202+K202+N202+Q202)</f>
        <v>6500</v>
      </c>
      <c r="F202" s="452">
        <f t="shared" si="19"/>
        <v>86.66666666666667</v>
      </c>
      <c r="G202" s="79">
        <v>4000</v>
      </c>
      <c r="H202" s="80">
        <v>4000</v>
      </c>
      <c r="I202" s="426">
        <f t="shared" si="16"/>
        <v>100</v>
      </c>
      <c r="J202" s="113"/>
      <c r="K202" s="80"/>
      <c r="L202" s="379"/>
      <c r="M202" s="80"/>
      <c r="N202" s="80"/>
      <c r="O202" s="356"/>
      <c r="P202" s="79">
        <v>3500</v>
      </c>
      <c r="Q202" s="80">
        <v>2500</v>
      </c>
      <c r="R202" s="426">
        <f aca="true" t="shared" si="21" ref="R202:R208">Q202/P202*100</f>
        <v>71.42857142857143</v>
      </c>
    </row>
    <row r="203" spans="1:18" ht="39.75" customHeight="1">
      <c r="A203" s="111">
        <v>4500</v>
      </c>
      <c r="B203" s="115" t="s">
        <v>653</v>
      </c>
      <c r="C203" s="79">
        <v>200</v>
      </c>
      <c r="D203" s="65">
        <f t="shared" si="18"/>
        <v>700</v>
      </c>
      <c r="E203" s="80">
        <f>SUM(H203+K203+N203+Q203)</f>
        <v>199</v>
      </c>
      <c r="F203" s="452">
        <f t="shared" si="19"/>
        <v>28.42857142857143</v>
      </c>
      <c r="G203" s="79">
        <v>500</v>
      </c>
      <c r="H203" s="80">
        <v>99</v>
      </c>
      <c r="I203" s="211">
        <f t="shared" si="16"/>
        <v>19.8</v>
      </c>
      <c r="J203" s="113"/>
      <c r="K203" s="80"/>
      <c r="L203" s="379"/>
      <c r="M203" s="80"/>
      <c r="N203" s="80"/>
      <c r="O203" s="356"/>
      <c r="P203" s="79">
        <v>200</v>
      </c>
      <c r="Q203" s="80">
        <v>100</v>
      </c>
      <c r="R203" s="426">
        <f t="shared" si="21"/>
        <v>50</v>
      </c>
    </row>
    <row r="204" spans="1:18" ht="24">
      <c r="A204" s="145">
        <v>4520</v>
      </c>
      <c r="B204" s="146" t="s">
        <v>324</v>
      </c>
      <c r="C204" s="147"/>
      <c r="D204" s="148">
        <f t="shared" si="18"/>
        <v>15500</v>
      </c>
      <c r="E204" s="142">
        <f>SUM(H204+K204+N204+Q204)</f>
        <v>0</v>
      </c>
      <c r="F204" s="453">
        <f t="shared" si="19"/>
        <v>0</v>
      </c>
      <c r="G204" s="147"/>
      <c r="H204" s="142"/>
      <c r="I204" s="259"/>
      <c r="J204" s="149"/>
      <c r="K204" s="142"/>
      <c r="L204" s="404"/>
      <c r="M204" s="142"/>
      <c r="N204" s="142"/>
      <c r="O204" s="375"/>
      <c r="P204" s="147">
        <v>15500</v>
      </c>
      <c r="Q204" s="142"/>
      <c r="R204" s="446">
        <f t="shared" si="21"/>
        <v>0</v>
      </c>
    </row>
    <row r="205" spans="1:18" ht="12.75" hidden="1">
      <c r="A205" s="111">
        <v>4580</v>
      </c>
      <c r="B205" s="115" t="s">
        <v>525</v>
      </c>
      <c r="C205" s="79"/>
      <c r="D205" s="65">
        <f t="shared" si="18"/>
        <v>0</v>
      </c>
      <c r="E205" s="80">
        <f>SUM(H205+K205+N205+Q205)</f>
        <v>0</v>
      </c>
      <c r="F205" s="452" t="e">
        <f t="shared" si="19"/>
        <v>#DIV/0!</v>
      </c>
      <c r="G205" s="79"/>
      <c r="H205" s="80"/>
      <c r="I205" s="211" t="e">
        <f t="shared" si="16"/>
        <v>#DIV/0!</v>
      </c>
      <c r="J205" s="113"/>
      <c r="K205" s="80"/>
      <c r="L205" s="379"/>
      <c r="M205" s="80"/>
      <c r="N205" s="80"/>
      <c r="O205" s="356"/>
      <c r="P205" s="79"/>
      <c r="Q205" s="80"/>
      <c r="R205" s="426"/>
    </row>
    <row r="206" spans="1:18" ht="36">
      <c r="A206" s="111">
        <v>4590</v>
      </c>
      <c r="B206" s="115" t="s">
        <v>526</v>
      </c>
      <c r="C206" s="79">
        <v>200000</v>
      </c>
      <c r="D206" s="65">
        <f t="shared" si="18"/>
        <v>200000</v>
      </c>
      <c r="E206" s="80">
        <f>SUM(H206+K206+N206+Q206)</f>
        <v>0</v>
      </c>
      <c r="F206" s="452">
        <f t="shared" si="19"/>
        <v>0</v>
      </c>
      <c r="G206" s="79">
        <v>200000</v>
      </c>
      <c r="H206" s="80"/>
      <c r="I206" s="211">
        <f t="shared" si="16"/>
        <v>0</v>
      </c>
      <c r="J206" s="113"/>
      <c r="K206" s="80"/>
      <c r="L206" s="379"/>
      <c r="M206" s="80"/>
      <c r="N206" s="80"/>
      <c r="O206" s="356"/>
      <c r="P206" s="79"/>
      <c r="Q206" s="80"/>
      <c r="R206" s="426"/>
    </row>
    <row r="207" spans="1:18" ht="53.25" customHeight="1">
      <c r="A207" s="111">
        <v>4600</v>
      </c>
      <c r="B207" s="115" t="s">
        <v>541</v>
      </c>
      <c r="C207" s="79">
        <v>4000000</v>
      </c>
      <c r="D207" s="65">
        <f t="shared" si="18"/>
        <v>2493370</v>
      </c>
      <c r="E207" s="80">
        <f t="shared" si="20"/>
        <v>10492</v>
      </c>
      <c r="F207" s="452">
        <f t="shared" si="19"/>
        <v>0.42079595086168514</v>
      </c>
      <c r="G207" s="79">
        <f>4000000-200000-282000-15500-1009130</f>
        <v>2493370</v>
      </c>
      <c r="H207" s="80">
        <v>10492</v>
      </c>
      <c r="I207" s="211">
        <f t="shared" si="16"/>
        <v>0.42079595086168514</v>
      </c>
      <c r="J207" s="113"/>
      <c r="K207" s="80"/>
      <c r="L207" s="379"/>
      <c r="M207" s="80"/>
      <c r="N207" s="80"/>
      <c r="O207" s="356"/>
      <c r="P207" s="79"/>
      <c r="Q207" s="80"/>
      <c r="R207" s="426"/>
    </row>
    <row r="208" spans="1:18" ht="36">
      <c r="A208" s="111">
        <v>4610</v>
      </c>
      <c r="B208" s="115" t="s">
        <v>527</v>
      </c>
      <c r="C208" s="79">
        <v>3000</v>
      </c>
      <c r="D208" s="65">
        <f t="shared" si="18"/>
        <v>2000</v>
      </c>
      <c r="E208" s="80">
        <f>SUM(H208+K208+N208+Q208)</f>
        <v>0</v>
      </c>
      <c r="F208" s="452">
        <f t="shared" si="19"/>
        <v>0</v>
      </c>
      <c r="G208" s="79"/>
      <c r="H208" s="80"/>
      <c r="I208" s="211"/>
      <c r="J208" s="113"/>
      <c r="K208" s="80"/>
      <c r="L208" s="379"/>
      <c r="M208" s="80"/>
      <c r="N208" s="80"/>
      <c r="O208" s="356"/>
      <c r="P208" s="79">
        <f>3000-1000</f>
        <v>2000</v>
      </c>
      <c r="Q208" s="80"/>
      <c r="R208" s="426">
        <f t="shared" si="21"/>
        <v>0</v>
      </c>
    </row>
    <row r="209" spans="1:18" ht="48" hidden="1">
      <c r="A209" s="111">
        <v>4680</v>
      </c>
      <c r="B209" s="115" t="s">
        <v>433</v>
      </c>
      <c r="C209" s="79"/>
      <c r="D209" s="65">
        <f t="shared" si="18"/>
        <v>0</v>
      </c>
      <c r="E209" s="80">
        <f>SUM(H209+K209+N209+Q209)</f>
        <v>0</v>
      </c>
      <c r="F209" s="452" t="e">
        <f t="shared" si="19"/>
        <v>#DIV/0!</v>
      </c>
      <c r="G209" s="79"/>
      <c r="H209" s="80"/>
      <c r="I209" s="211" t="e">
        <f t="shared" si="16"/>
        <v>#DIV/0!</v>
      </c>
      <c r="J209" s="113"/>
      <c r="K209" s="80"/>
      <c r="L209" s="379"/>
      <c r="M209" s="80"/>
      <c r="N209" s="80"/>
      <c r="O209" s="356"/>
      <c r="P209" s="79"/>
      <c r="Q209" s="80"/>
      <c r="R209" s="211"/>
    </row>
    <row r="210" spans="1:18" ht="84">
      <c r="A210" s="145">
        <v>6060</v>
      </c>
      <c r="B210" s="339" t="s">
        <v>542</v>
      </c>
      <c r="C210" s="147">
        <v>1000000</v>
      </c>
      <c r="D210" s="148">
        <f t="shared" si="18"/>
        <v>1000000</v>
      </c>
      <c r="E210" s="148">
        <f>H210+K210+Q210+N210</f>
        <v>859517</v>
      </c>
      <c r="F210" s="446">
        <f t="shared" si="19"/>
        <v>85.9517</v>
      </c>
      <c r="G210" s="147">
        <v>1000000</v>
      </c>
      <c r="H210" s="142">
        <v>859517</v>
      </c>
      <c r="I210" s="259">
        <f t="shared" si="16"/>
        <v>85.9517</v>
      </c>
      <c r="J210" s="149"/>
      <c r="K210" s="142"/>
      <c r="L210" s="404"/>
      <c r="M210" s="142"/>
      <c r="N210" s="142"/>
      <c r="O210" s="375"/>
      <c r="P210" s="147"/>
      <c r="Q210" s="142"/>
      <c r="R210" s="259"/>
    </row>
    <row r="211" spans="1:18" s="130" customFormat="1" ht="30" customHeight="1">
      <c r="A211" s="188">
        <v>70021</v>
      </c>
      <c r="B211" s="189" t="s">
        <v>543</v>
      </c>
      <c r="C211" s="190">
        <f>C212</f>
        <v>5517000</v>
      </c>
      <c r="D211" s="109">
        <f t="shared" si="18"/>
        <v>5517000</v>
      </c>
      <c r="E211" s="109">
        <f t="shared" si="20"/>
        <v>0</v>
      </c>
      <c r="F211" s="453">
        <f t="shared" si="19"/>
        <v>0</v>
      </c>
      <c r="G211" s="190">
        <f>G212</f>
        <v>5517000</v>
      </c>
      <c r="H211" s="109">
        <f>H212</f>
        <v>0</v>
      </c>
      <c r="I211" s="259">
        <f t="shared" si="16"/>
        <v>0</v>
      </c>
      <c r="J211" s="191"/>
      <c r="K211" s="109"/>
      <c r="L211" s="409"/>
      <c r="M211" s="109"/>
      <c r="N211" s="109"/>
      <c r="O211" s="377"/>
      <c r="P211" s="190"/>
      <c r="Q211" s="109"/>
      <c r="R211" s="359"/>
    </row>
    <row r="212" spans="1:18" ht="54.75" customHeight="1">
      <c r="A212" s="145">
        <v>6010</v>
      </c>
      <c r="B212" s="115" t="s">
        <v>544</v>
      </c>
      <c r="C212" s="147">
        <v>5517000</v>
      </c>
      <c r="D212" s="148">
        <f t="shared" si="18"/>
        <v>5517000</v>
      </c>
      <c r="E212" s="142">
        <f t="shared" si="20"/>
        <v>0</v>
      </c>
      <c r="F212" s="453">
        <f t="shared" si="19"/>
        <v>0</v>
      </c>
      <c r="G212" s="147">
        <v>5517000</v>
      </c>
      <c r="H212" s="142"/>
      <c r="I212" s="259">
        <f t="shared" si="16"/>
        <v>0</v>
      </c>
      <c r="J212" s="149"/>
      <c r="K212" s="142"/>
      <c r="L212" s="404"/>
      <c r="M212" s="142"/>
      <c r="N212" s="142"/>
      <c r="O212" s="375"/>
      <c r="P212" s="147"/>
      <c r="Q212" s="142"/>
      <c r="R212" s="354"/>
    </row>
    <row r="213" spans="1:18" s="105" customFormat="1" ht="15" customHeight="1">
      <c r="A213" s="106">
        <v>70095</v>
      </c>
      <c r="B213" s="172" t="s">
        <v>504</v>
      </c>
      <c r="C213" s="108">
        <f>SUM(C214:C224)</f>
        <v>4025600</v>
      </c>
      <c r="D213" s="86">
        <f t="shared" si="18"/>
        <v>6677600</v>
      </c>
      <c r="E213" s="75">
        <f>H213+K213+Q213+N213</f>
        <v>2291618</v>
      </c>
      <c r="F213" s="451">
        <f t="shared" si="19"/>
        <v>34.317988498861865</v>
      </c>
      <c r="G213" s="108">
        <f>SUM(G214:G224)</f>
        <v>6677600</v>
      </c>
      <c r="H213" s="86">
        <f>SUM(H214:H224)</f>
        <v>2291618</v>
      </c>
      <c r="I213" s="301">
        <f t="shared" si="16"/>
        <v>34.317988498861865</v>
      </c>
      <c r="J213" s="108"/>
      <c r="K213" s="75"/>
      <c r="L213" s="406"/>
      <c r="M213" s="75"/>
      <c r="N213" s="75"/>
      <c r="O213" s="369"/>
      <c r="P213" s="108"/>
      <c r="Q213" s="75"/>
      <c r="R213" s="360"/>
    </row>
    <row r="214" spans="1:18" ht="23.25" customHeight="1">
      <c r="A214" s="99">
        <v>4210</v>
      </c>
      <c r="B214" s="186" t="s">
        <v>545</v>
      </c>
      <c r="C214" s="81">
        <v>18100</v>
      </c>
      <c r="D214" s="94">
        <f t="shared" si="18"/>
        <v>20100</v>
      </c>
      <c r="E214" s="95">
        <f t="shared" si="20"/>
        <v>1992</v>
      </c>
      <c r="F214" s="448">
        <f t="shared" si="19"/>
        <v>9.91044776119403</v>
      </c>
      <c r="G214" s="81">
        <f>18100+2000</f>
        <v>20100</v>
      </c>
      <c r="H214" s="95">
        <v>1992</v>
      </c>
      <c r="I214" s="289">
        <f t="shared" si="16"/>
        <v>9.91044776119403</v>
      </c>
      <c r="J214" s="187"/>
      <c r="K214" s="95"/>
      <c r="L214" s="403"/>
      <c r="M214" s="95"/>
      <c r="N214" s="95"/>
      <c r="O214" s="376"/>
      <c r="P214" s="81"/>
      <c r="Q214" s="95"/>
      <c r="R214" s="353"/>
    </row>
    <row r="215" spans="1:18" ht="24">
      <c r="A215" s="111">
        <v>4300</v>
      </c>
      <c r="B215" s="115" t="s">
        <v>546</v>
      </c>
      <c r="C215" s="79">
        <v>800</v>
      </c>
      <c r="D215" s="65">
        <f t="shared" si="18"/>
        <v>800</v>
      </c>
      <c r="E215" s="80">
        <f t="shared" si="20"/>
        <v>400</v>
      </c>
      <c r="F215" s="426">
        <f t="shared" si="19"/>
        <v>50</v>
      </c>
      <c r="G215" s="79">
        <v>800</v>
      </c>
      <c r="H215" s="80">
        <v>400</v>
      </c>
      <c r="I215" s="211">
        <f t="shared" si="16"/>
        <v>50</v>
      </c>
      <c r="J215" s="113"/>
      <c r="K215" s="80"/>
      <c r="L215" s="379"/>
      <c r="M215" s="80"/>
      <c r="N215" s="80"/>
      <c r="O215" s="356"/>
      <c r="P215" s="79"/>
      <c r="Q215" s="80"/>
      <c r="R215" s="350"/>
    </row>
    <row r="216" spans="1:18" ht="23.25" customHeight="1">
      <c r="A216" s="111">
        <v>4110</v>
      </c>
      <c r="B216" s="192" t="s">
        <v>477</v>
      </c>
      <c r="C216" s="79">
        <v>500</v>
      </c>
      <c r="D216" s="65">
        <f t="shared" si="18"/>
        <v>500</v>
      </c>
      <c r="E216" s="80">
        <f t="shared" si="20"/>
        <v>310</v>
      </c>
      <c r="F216" s="426">
        <f t="shared" si="19"/>
        <v>62</v>
      </c>
      <c r="G216" s="79">
        <v>500</v>
      </c>
      <c r="H216" s="80">
        <v>310</v>
      </c>
      <c r="I216" s="211">
        <f t="shared" si="16"/>
        <v>62</v>
      </c>
      <c r="J216" s="113"/>
      <c r="K216" s="80"/>
      <c r="L216" s="379"/>
      <c r="M216" s="80"/>
      <c r="N216" s="80"/>
      <c r="O216" s="356"/>
      <c r="P216" s="79"/>
      <c r="Q216" s="80"/>
      <c r="R216" s="350"/>
    </row>
    <row r="217" spans="1:18" ht="12.75">
      <c r="A217" s="111">
        <v>4120</v>
      </c>
      <c r="B217" s="192" t="s">
        <v>547</v>
      </c>
      <c r="C217" s="79">
        <v>100</v>
      </c>
      <c r="D217" s="65">
        <f t="shared" si="18"/>
        <v>100</v>
      </c>
      <c r="E217" s="80">
        <f t="shared" si="20"/>
        <v>0</v>
      </c>
      <c r="F217" s="426">
        <f t="shared" si="19"/>
        <v>0</v>
      </c>
      <c r="G217" s="79">
        <v>100</v>
      </c>
      <c r="H217" s="80"/>
      <c r="I217" s="211">
        <f t="shared" si="16"/>
        <v>0</v>
      </c>
      <c r="J217" s="113"/>
      <c r="K217" s="80"/>
      <c r="L217" s="379"/>
      <c r="M217" s="80"/>
      <c r="N217" s="80"/>
      <c r="O217" s="356"/>
      <c r="P217" s="79"/>
      <c r="Q217" s="80"/>
      <c r="R217" s="350"/>
    </row>
    <row r="218" spans="1:18" ht="24">
      <c r="A218" s="159">
        <v>4170</v>
      </c>
      <c r="B218" s="193" t="s">
        <v>511</v>
      </c>
      <c r="C218" s="79">
        <v>6100</v>
      </c>
      <c r="D218" s="65">
        <f t="shared" si="18"/>
        <v>6100</v>
      </c>
      <c r="E218" s="80">
        <f t="shared" si="20"/>
        <v>5615</v>
      </c>
      <c r="F218" s="426">
        <f t="shared" si="19"/>
        <v>92.04918032786885</v>
      </c>
      <c r="G218" s="79">
        <v>6100</v>
      </c>
      <c r="H218" s="80">
        <f>5614+1</f>
        <v>5615</v>
      </c>
      <c r="I218" s="211">
        <f aca="true" t="shared" si="22" ref="I218:I232">H218/G218*100</f>
        <v>92.04918032786885</v>
      </c>
      <c r="J218" s="113"/>
      <c r="K218" s="80"/>
      <c r="L218" s="379"/>
      <c r="M218" s="80"/>
      <c r="N218" s="80"/>
      <c r="O218" s="356"/>
      <c r="P218" s="79"/>
      <c r="Q218" s="80"/>
      <c r="R218" s="350"/>
    </row>
    <row r="219" spans="1:18" ht="24" hidden="1">
      <c r="A219" s="159">
        <v>4270</v>
      </c>
      <c r="B219" s="193" t="s">
        <v>487</v>
      </c>
      <c r="C219" s="79"/>
      <c r="D219" s="65">
        <f t="shared" si="18"/>
        <v>0</v>
      </c>
      <c r="E219" s="80">
        <f>SUM(H219+K219+N219+Q219)</f>
        <v>0</v>
      </c>
      <c r="F219" s="426" t="e">
        <f>E219/D219*100</f>
        <v>#DIV/0!</v>
      </c>
      <c r="G219" s="79"/>
      <c r="H219" s="80"/>
      <c r="I219" s="211" t="e">
        <f t="shared" si="22"/>
        <v>#DIV/0!</v>
      </c>
      <c r="J219" s="113"/>
      <c r="K219" s="80"/>
      <c r="L219" s="379"/>
      <c r="M219" s="80"/>
      <c r="N219" s="80"/>
      <c r="O219" s="356"/>
      <c r="P219" s="79"/>
      <c r="Q219" s="80"/>
      <c r="R219" s="350"/>
    </row>
    <row r="220" spans="1:18" ht="14.25" customHeight="1" hidden="1">
      <c r="A220" s="111">
        <v>4300</v>
      </c>
      <c r="B220" s="115" t="s">
        <v>522</v>
      </c>
      <c r="C220" s="79"/>
      <c r="D220" s="65">
        <f t="shared" si="18"/>
        <v>0</v>
      </c>
      <c r="E220" s="80">
        <f t="shared" si="20"/>
        <v>0</v>
      </c>
      <c r="F220" s="426" t="e">
        <f t="shared" si="19"/>
        <v>#DIV/0!</v>
      </c>
      <c r="G220" s="79"/>
      <c r="H220" s="80"/>
      <c r="I220" s="211" t="e">
        <f t="shared" si="22"/>
        <v>#DIV/0!</v>
      </c>
      <c r="J220" s="113"/>
      <c r="K220" s="80"/>
      <c r="L220" s="379"/>
      <c r="M220" s="80"/>
      <c r="N220" s="80"/>
      <c r="O220" s="356"/>
      <c r="P220" s="79"/>
      <c r="Q220" s="80"/>
      <c r="R220" s="350"/>
    </row>
    <row r="221" spans="1:18" ht="12.75" hidden="1">
      <c r="A221" s="111">
        <v>4580</v>
      </c>
      <c r="B221" s="115" t="s">
        <v>525</v>
      </c>
      <c r="C221" s="79"/>
      <c r="D221" s="65">
        <f t="shared" si="18"/>
        <v>0</v>
      </c>
      <c r="E221" s="80">
        <f t="shared" si="20"/>
        <v>0</v>
      </c>
      <c r="F221" s="426" t="e">
        <f t="shared" si="19"/>
        <v>#DIV/0!</v>
      </c>
      <c r="G221" s="79"/>
      <c r="H221" s="80"/>
      <c r="I221" s="211" t="e">
        <f t="shared" si="22"/>
        <v>#DIV/0!</v>
      </c>
      <c r="J221" s="113"/>
      <c r="K221" s="80"/>
      <c r="L221" s="379"/>
      <c r="M221" s="80"/>
      <c r="N221" s="80"/>
      <c r="O221" s="356"/>
      <c r="P221" s="79"/>
      <c r="Q221" s="80"/>
      <c r="R221" s="350"/>
    </row>
    <row r="222" spans="1:18" ht="36" hidden="1">
      <c r="A222" s="111">
        <v>4590</v>
      </c>
      <c r="B222" s="115" t="s">
        <v>266</v>
      </c>
      <c r="C222" s="79"/>
      <c r="D222" s="65">
        <f t="shared" si="18"/>
        <v>0</v>
      </c>
      <c r="E222" s="80">
        <f t="shared" si="20"/>
        <v>0</v>
      </c>
      <c r="F222" s="426" t="e">
        <f t="shared" si="19"/>
        <v>#DIV/0!</v>
      </c>
      <c r="G222" s="79"/>
      <c r="H222" s="80"/>
      <c r="I222" s="426" t="e">
        <f t="shared" si="22"/>
        <v>#DIV/0!</v>
      </c>
      <c r="J222" s="113"/>
      <c r="K222" s="80"/>
      <c r="L222" s="379"/>
      <c r="M222" s="80"/>
      <c r="N222" s="80"/>
      <c r="O222" s="356"/>
      <c r="P222" s="79"/>
      <c r="Q222" s="80"/>
      <c r="R222" s="350"/>
    </row>
    <row r="223" spans="1:18" ht="36" hidden="1">
      <c r="A223" s="111">
        <v>4610</v>
      </c>
      <c r="B223" s="115" t="s">
        <v>548</v>
      </c>
      <c r="C223" s="79"/>
      <c r="D223" s="65">
        <f t="shared" si="18"/>
        <v>0</v>
      </c>
      <c r="E223" s="80">
        <f t="shared" si="20"/>
        <v>0</v>
      </c>
      <c r="F223" s="452" t="e">
        <f t="shared" si="19"/>
        <v>#DIV/0!</v>
      </c>
      <c r="G223" s="79"/>
      <c r="H223" s="80"/>
      <c r="I223" s="211" t="e">
        <f t="shared" si="22"/>
        <v>#DIV/0!</v>
      </c>
      <c r="J223" s="113"/>
      <c r="K223" s="80"/>
      <c r="L223" s="379"/>
      <c r="M223" s="80"/>
      <c r="N223" s="80"/>
      <c r="O223" s="356"/>
      <c r="P223" s="79"/>
      <c r="Q223" s="80"/>
      <c r="R223" s="350"/>
    </row>
    <row r="224" spans="1:18" ht="24.75" thickBot="1">
      <c r="A224" s="111">
        <v>6050</v>
      </c>
      <c r="B224" s="115" t="s">
        <v>549</v>
      </c>
      <c r="C224" s="79">
        <v>4000000</v>
      </c>
      <c r="D224" s="65">
        <f t="shared" si="18"/>
        <v>6650000</v>
      </c>
      <c r="E224" s="80">
        <f t="shared" si="20"/>
        <v>2283301</v>
      </c>
      <c r="F224" s="452">
        <f t="shared" si="19"/>
        <v>34.335353383458646</v>
      </c>
      <c r="G224" s="79">
        <f>4000000+600000+2050000</f>
        <v>6650000</v>
      </c>
      <c r="H224" s="80">
        <v>2283301</v>
      </c>
      <c r="I224" s="211">
        <f t="shared" si="22"/>
        <v>34.335353383458646</v>
      </c>
      <c r="J224" s="113"/>
      <c r="K224" s="80"/>
      <c r="L224" s="379"/>
      <c r="M224" s="80"/>
      <c r="N224" s="80"/>
      <c r="O224" s="356"/>
      <c r="P224" s="79"/>
      <c r="Q224" s="80"/>
      <c r="R224" s="350"/>
    </row>
    <row r="225" spans="1:18" s="199" customFormat="1" ht="24" customHeight="1" hidden="1">
      <c r="A225" s="194"/>
      <c r="B225" s="195" t="s">
        <v>550</v>
      </c>
      <c r="C225" s="196"/>
      <c r="D225" s="154">
        <f t="shared" si="18"/>
        <v>0</v>
      </c>
      <c r="E225" s="197">
        <f>SUM(H225+K225+N225+Q225)</f>
        <v>0</v>
      </c>
      <c r="F225" s="452" t="e">
        <f t="shared" si="19"/>
        <v>#DIV/0!</v>
      </c>
      <c r="G225" s="196"/>
      <c r="H225" s="154"/>
      <c r="I225" s="211" t="e">
        <f t="shared" si="22"/>
        <v>#DIV/0!</v>
      </c>
      <c r="J225" s="198"/>
      <c r="K225" s="197"/>
      <c r="L225" s="379"/>
      <c r="M225" s="197"/>
      <c r="N225" s="197"/>
      <c r="O225" s="379"/>
      <c r="P225" s="196"/>
      <c r="Q225" s="197"/>
      <c r="R225" s="357"/>
    </row>
    <row r="226" spans="1:18" s="130" customFormat="1" ht="25.5" thickBot="1" thickTop="1">
      <c r="A226" s="118">
        <v>710</v>
      </c>
      <c r="B226" s="119" t="s">
        <v>551</v>
      </c>
      <c r="C226" s="120">
        <f>C233+C235+C237+C261+C227</f>
        <v>3818400</v>
      </c>
      <c r="D226" s="51">
        <f t="shared" si="18"/>
        <v>3804400</v>
      </c>
      <c r="E226" s="51">
        <f t="shared" si="18"/>
        <v>978670</v>
      </c>
      <c r="F226" s="480">
        <f t="shared" si="19"/>
        <v>25.72468720428977</v>
      </c>
      <c r="G226" s="120">
        <f>G261+G227+G266</f>
        <v>3149700</v>
      </c>
      <c r="H226" s="51">
        <f>H261+H227+H266</f>
        <v>743783</v>
      </c>
      <c r="I226" s="343">
        <f t="shared" si="22"/>
        <v>23.61440772137029</v>
      </c>
      <c r="J226" s="51">
        <f>J261</f>
        <v>16600</v>
      </c>
      <c r="K226" s="51">
        <f>K261</f>
        <v>893</v>
      </c>
      <c r="L226" s="407">
        <f>K226/J226*100</f>
        <v>5.379518072289156</v>
      </c>
      <c r="M226" s="121">
        <f>M233+M235+M237</f>
        <v>200000</v>
      </c>
      <c r="N226" s="51">
        <f>N233+N235+N237</f>
        <v>66960</v>
      </c>
      <c r="O226" s="343">
        <f>N226/M226*100</f>
        <v>33.48</v>
      </c>
      <c r="P226" s="120">
        <f>P227+P233+P235+P237</f>
        <v>438100</v>
      </c>
      <c r="Q226" s="51">
        <f>Q233+Q235+Q237+Q227</f>
        <v>167034</v>
      </c>
      <c r="R226" s="343">
        <f aca="true" t="shared" si="23" ref="R226:R260">Q226/P226*100</f>
        <v>38.12691166400366</v>
      </c>
    </row>
    <row r="227" spans="1:18" s="130" customFormat="1" ht="36.75" thickTop="1">
      <c r="A227" s="200">
        <v>71004</v>
      </c>
      <c r="B227" s="201" t="s">
        <v>552</v>
      </c>
      <c r="C227" s="202">
        <f>SUM(C228:C232)</f>
        <v>1274700</v>
      </c>
      <c r="D227" s="58">
        <f aca="true" t="shared" si="24" ref="D227:E257">G227+J227+P227+M227</f>
        <v>1260700</v>
      </c>
      <c r="E227" s="58">
        <f t="shared" si="24"/>
        <v>169197</v>
      </c>
      <c r="F227" s="501">
        <f t="shared" si="19"/>
        <v>13.420877290394225</v>
      </c>
      <c r="G227" s="203">
        <f>SUM(G228:G232)</f>
        <v>1260700</v>
      </c>
      <c r="H227" s="58">
        <f>SUM(H228:H232)</f>
        <v>169197</v>
      </c>
      <c r="I227" s="344">
        <f t="shared" si="22"/>
        <v>13.420877290394225</v>
      </c>
      <c r="J227" s="204"/>
      <c r="K227" s="58"/>
      <c r="L227" s="408"/>
      <c r="M227" s="58"/>
      <c r="N227" s="58"/>
      <c r="O227" s="393"/>
      <c r="P227" s="202"/>
      <c r="Q227" s="58"/>
      <c r="R227" s="344"/>
    </row>
    <row r="228" spans="1:18" s="12" customFormat="1" ht="24">
      <c r="A228" s="111">
        <v>4110</v>
      </c>
      <c r="B228" s="192" t="s">
        <v>477</v>
      </c>
      <c r="C228" s="205">
        <v>600</v>
      </c>
      <c r="D228" s="65">
        <f t="shared" si="24"/>
        <v>600</v>
      </c>
      <c r="E228" s="65">
        <f t="shared" si="24"/>
        <v>0</v>
      </c>
      <c r="F228" s="452">
        <f t="shared" si="19"/>
        <v>0</v>
      </c>
      <c r="G228" s="205">
        <v>600</v>
      </c>
      <c r="H228" s="65"/>
      <c r="I228" s="211">
        <f t="shared" si="22"/>
        <v>0</v>
      </c>
      <c r="J228" s="162"/>
      <c r="K228" s="65"/>
      <c r="L228" s="379"/>
      <c r="M228" s="65"/>
      <c r="N228" s="65"/>
      <c r="O228" s="211"/>
      <c r="P228" s="161"/>
      <c r="Q228" s="65"/>
      <c r="R228" s="211"/>
    </row>
    <row r="229" spans="1:18" s="12" customFormat="1" ht="21" customHeight="1">
      <c r="A229" s="159">
        <v>4120</v>
      </c>
      <c r="B229" s="193" t="s">
        <v>553</v>
      </c>
      <c r="C229" s="205">
        <v>100</v>
      </c>
      <c r="D229" s="65">
        <f t="shared" si="24"/>
        <v>100</v>
      </c>
      <c r="E229" s="65">
        <f t="shared" si="24"/>
        <v>0</v>
      </c>
      <c r="F229" s="452">
        <f>E229/D229*100</f>
        <v>0</v>
      </c>
      <c r="G229" s="205">
        <v>100</v>
      </c>
      <c r="H229" s="65"/>
      <c r="I229" s="211">
        <f t="shared" si="22"/>
        <v>0</v>
      </c>
      <c r="J229" s="162"/>
      <c r="K229" s="65"/>
      <c r="L229" s="379"/>
      <c r="M229" s="65"/>
      <c r="N229" s="65"/>
      <c r="O229" s="211"/>
      <c r="P229" s="161"/>
      <c r="Q229" s="65"/>
      <c r="R229" s="211"/>
    </row>
    <row r="230" spans="1:18" s="12" customFormat="1" ht="24">
      <c r="A230" s="159">
        <v>4170</v>
      </c>
      <c r="B230" s="193" t="s">
        <v>511</v>
      </c>
      <c r="C230" s="205">
        <v>24000</v>
      </c>
      <c r="D230" s="65">
        <f t="shared" si="24"/>
        <v>24000</v>
      </c>
      <c r="E230" s="65">
        <f t="shared" si="24"/>
        <v>8000</v>
      </c>
      <c r="F230" s="452">
        <f t="shared" si="19"/>
        <v>33.33333333333333</v>
      </c>
      <c r="G230" s="205">
        <v>24000</v>
      </c>
      <c r="H230" s="65">
        <v>8000</v>
      </c>
      <c r="I230" s="211">
        <f t="shared" si="22"/>
        <v>33.33333333333333</v>
      </c>
      <c r="J230" s="162"/>
      <c r="K230" s="65"/>
      <c r="L230" s="379"/>
      <c r="M230" s="65"/>
      <c r="N230" s="65"/>
      <c r="O230" s="211"/>
      <c r="P230" s="161"/>
      <c r="Q230" s="65"/>
      <c r="R230" s="211"/>
    </row>
    <row r="231" spans="1:18" s="12" customFormat="1" ht="24">
      <c r="A231" s="159">
        <v>4210</v>
      </c>
      <c r="B231" s="193" t="s">
        <v>481</v>
      </c>
      <c r="C231" s="205"/>
      <c r="D231" s="65">
        <f>G231+J231+P231+M231</f>
        <v>400</v>
      </c>
      <c r="E231" s="65">
        <f>H231+K231+Q231+N231</f>
        <v>0</v>
      </c>
      <c r="F231" s="452">
        <f>E231/D231*100</f>
        <v>0</v>
      </c>
      <c r="G231" s="205">
        <v>400</v>
      </c>
      <c r="H231" s="65"/>
      <c r="I231" s="211">
        <f t="shared" si="22"/>
        <v>0</v>
      </c>
      <c r="J231" s="162"/>
      <c r="K231" s="65"/>
      <c r="L231" s="379"/>
      <c r="M231" s="65"/>
      <c r="N231" s="65"/>
      <c r="O231" s="211"/>
      <c r="P231" s="161"/>
      <c r="Q231" s="65"/>
      <c r="R231" s="211"/>
    </row>
    <row r="232" spans="1:18" s="12" customFormat="1" ht="17.25" customHeight="1">
      <c r="A232" s="159">
        <v>4300</v>
      </c>
      <c r="B232" s="193" t="s">
        <v>489</v>
      </c>
      <c r="C232" s="161">
        <v>1250000</v>
      </c>
      <c r="D232" s="65">
        <f t="shared" si="24"/>
        <v>1235600</v>
      </c>
      <c r="E232" s="65">
        <f t="shared" si="24"/>
        <v>161197</v>
      </c>
      <c r="F232" s="452">
        <f t="shared" si="19"/>
        <v>13.046050501780512</v>
      </c>
      <c r="G232" s="161">
        <f>1250000-14000-400</f>
        <v>1235600</v>
      </c>
      <c r="H232" s="65">
        <v>161197</v>
      </c>
      <c r="I232" s="211">
        <f t="shared" si="22"/>
        <v>13.046050501780512</v>
      </c>
      <c r="J232" s="162"/>
      <c r="K232" s="65"/>
      <c r="L232" s="379"/>
      <c r="M232" s="65"/>
      <c r="N232" s="65"/>
      <c r="O232" s="211"/>
      <c r="P232" s="161"/>
      <c r="Q232" s="65"/>
      <c r="R232" s="211"/>
    </row>
    <row r="233" spans="1:18" s="105" customFormat="1" ht="34.5" customHeight="1">
      <c r="A233" s="106">
        <v>71013</v>
      </c>
      <c r="B233" s="172" t="s">
        <v>554</v>
      </c>
      <c r="C233" s="108">
        <f>C234</f>
        <v>80000</v>
      </c>
      <c r="D233" s="86">
        <f t="shared" si="24"/>
        <v>80000</v>
      </c>
      <c r="E233" s="75">
        <f>E234</f>
        <v>13332</v>
      </c>
      <c r="F233" s="451">
        <f t="shared" si="19"/>
        <v>16.665</v>
      </c>
      <c r="G233" s="108"/>
      <c r="H233" s="75"/>
      <c r="I233" s="369"/>
      <c r="J233" s="110"/>
      <c r="K233" s="75"/>
      <c r="L233" s="406"/>
      <c r="M233" s="75"/>
      <c r="N233" s="75"/>
      <c r="O233" s="369"/>
      <c r="P233" s="108">
        <f>P234</f>
        <v>80000</v>
      </c>
      <c r="Q233" s="75">
        <f>Q234</f>
        <v>13332</v>
      </c>
      <c r="R233" s="432">
        <f t="shared" si="23"/>
        <v>16.665</v>
      </c>
    </row>
    <row r="234" spans="1:18" ht="20.25" customHeight="1">
      <c r="A234" s="131">
        <v>4300</v>
      </c>
      <c r="B234" s="132" t="s">
        <v>489</v>
      </c>
      <c r="C234" s="133">
        <v>80000</v>
      </c>
      <c r="D234" s="134">
        <f t="shared" si="24"/>
        <v>80000</v>
      </c>
      <c r="E234" s="136">
        <f>SUM(H234+K234+N234+Q234)</f>
        <v>13332</v>
      </c>
      <c r="F234" s="451">
        <f t="shared" si="19"/>
        <v>16.665</v>
      </c>
      <c r="G234" s="133"/>
      <c r="H234" s="136"/>
      <c r="I234" s="369"/>
      <c r="J234" s="135"/>
      <c r="K234" s="136"/>
      <c r="L234" s="395"/>
      <c r="M234" s="136"/>
      <c r="N234" s="136"/>
      <c r="O234" s="369"/>
      <c r="P234" s="133">
        <v>80000</v>
      </c>
      <c r="Q234" s="136">
        <v>13332</v>
      </c>
      <c r="R234" s="432">
        <f t="shared" si="23"/>
        <v>16.665</v>
      </c>
    </row>
    <row r="235" spans="1:18" s="105" customFormat="1" ht="22.5" customHeight="1">
      <c r="A235" s="175">
        <v>71014</v>
      </c>
      <c r="B235" s="176" t="s">
        <v>555</v>
      </c>
      <c r="C235" s="177">
        <f>C236</f>
        <v>20000</v>
      </c>
      <c r="D235" s="109">
        <f t="shared" si="24"/>
        <v>20000</v>
      </c>
      <c r="E235" s="179">
        <f>E236</f>
        <v>0</v>
      </c>
      <c r="F235" s="453">
        <f t="shared" si="19"/>
        <v>0</v>
      </c>
      <c r="G235" s="177"/>
      <c r="H235" s="179"/>
      <c r="I235" s="375"/>
      <c r="J235" s="180"/>
      <c r="K235" s="179"/>
      <c r="L235" s="409"/>
      <c r="M235" s="179"/>
      <c r="N235" s="179"/>
      <c r="O235" s="375"/>
      <c r="P235" s="177">
        <f>P236</f>
        <v>20000</v>
      </c>
      <c r="Q235" s="179">
        <f>Q236</f>
        <v>0</v>
      </c>
      <c r="R235" s="446">
        <f t="shared" si="23"/>
        <v>0</v>
      </c>
    </row>
    <row r="236" spans="1:18" ht="18" customHeight="1">
      <c r="A236" s="145">
        <v>4300</v>
      </c>
      <c r="B236" s="146" t="s">
        <v>489</v>
      </c>
      <c r="C236" s="79">
        <v>20000</v>
      </c>
      <c r="D236" s="148">
        <f t="shared" si="24"/>
        <v>20000</v>
      </c>
      <c r="E236" s="80">
        <f>SUM(H236+K236+N236+Q236)</f>
        <v>0</v>
      </c>
      <c r="F236" s="451">
        <f t="shared" si="19"/>
        <v>0</v>
      </c>
      <c r="G236" s="147"/>
      <c r="H236" s="142"/>
      <c r="I236" s="375"/>
      <c r="J236" s="149"/>
      <c r="K236" s="142"/>
      <c r="L236" s="404"/>
      <c r="M236" s="142"/>
      <c r="N236" s="142"/>
      <c r="O236" s="375"/>
      <c r="P236" s="147">
        <v>20000</v>
      </c>
      <c r="Q236" s="142"/>
      <c r="R236" s="446">
        <f t="shared" si="23"/>
        <v>0</v>
      </c>
    </row>
    <row r="237" spans="1:18" ht="12.75">
      <c r="A237" s="106">
        <v>71015</v>
      </c>
      <c r="B237" s="172" t="s">
        <v>556</v>
      </c>
      <c r="C237" s="108">
        <f>SUM(C238:C260)</f>
        <v>538100</v>
      </c>
      <c r="D237" s="109">
        <f t="shared" si="24"/>
        <v>538100</v>
      </c>
      <c r="E237" s="86">
        <f>H237+K237+Q237+N237</f>
        <v>220662</v>
      </c>
      <c r="F237" s="451">
        <f t="shared" si="19"/>
        <v>41.00761940159822</v>
      </c>
      <c r="G237" s="108"/>
      <c r="H237" s="75"/>
      <c r="I237" s="369"/>
      <c r="J237" s="110"/>
      <c r="K237" s="75"/>
      <c r="L237" s="406"/>
      <c r="M237" s="75">
        <f>SUM(M238:M260)</f>
        <v>200000</v>
      </c>
      <c r="N237" s="75">
        <f>SUM(N238:N260)</f>
        <v>66960</v>
      </c>
      <c r="O237" s="259">
        <f aca="true" t="shared" si="25" ref="O237:O249">N237/M237*100</f>
        <v>33.48</v>
      </c>
      <c r="P237" s="108">
        <f>SUM(P238:P260)</f>
        <v>338100</v>
      </c>
      <c r="Q237" s="75">
        <f>SUM(Q238:Q260)</f>
        <v>153702</v>
      </c>
      <c r="R237" s="446">
        <f t="shared" si="23"/>
        <v>45.46051464063886</v>
      </c>
    </row>
    <row r="238" spans="1:18" ht="22.5" customHeight="1">
      <c r="A238" s="111">
        <v>4010</v>
      </c>
      <c r="B238" s="115" t="s">
        <v>471</v>
      </c>
      <c r="C238" s="79">
        <v>350800</v>
      </c>
      <c r="D238" s="65">
        <f t="shared" si="24"/>
        <v>350800</v>
      </c>
      <c r="E238" s="80">
        <f aca="true" t="shared" si="26" ref="E238:E261">SUM(H238+K238+N238+Q238)</f>
        <v>145627</v>
      </c>
      <c r="F238" s="452">
        <f t="shared" si="19"/>
        <v>41.51282782212087</v>
      </c>
      <c r="G238" s="79"/>
      <c r="H238" s="80"/>
      <c r="I238" s="356"/>
      <c r="J238" s="113"/>
      <c r="K238" s="80"/>
      <c r="L238" s="379"/>
      <c r="M238" s="80">
        <v>126200</v>
      </c>
      <c r="N238" s="80">
        <v>37442</v>
      </c>
      <c r="O238" s="211">
        <f t="shared" si="25"/>
        <v>29.66877971473851</v>
      </c>
      <c r="P238" s="79">
        <v>224600</v>
      </c>
      <c r="Q238" s="80">
        <v>108185</v>
      </c>
      <c r="R238" s="426">
        <f t="shared" si="23"/>
        <v>48.16785396260018</v>
      </c>
    </row>
    <row r="239" spans="1:18" ht="22.5" customHeight="1">
      <c r="A239" s="111">
        <v>3020</v>
      </c>
      <c r="B239" s="115" t="s">
        <v>390</v>
      </c>
      <c r="C239" s="79">
        <v>2300</v>
      </c>
      <c r="D239" s="65">
        <f t="shared" si="24"/>
        <v>2300</v>
      </c>
      <c r="E239" s="80">
        <f>SUM(H239+K239+N239+Q239)</f>
        <v>106</v>
      </c>
      <c r="F239" s="452">
        <f>E239/D239*100</f>
        <v>4.608695652173913</v>
      </c>
      <c r="G239" s="79"/>
      <c r="H239" s="80"/>
      <c r="I239" s="356"/>
      <c r="J239" s="113"/>
      <c r="K239" s="80"/>
      <c r="L239" s="379"/>
      <c r="M239" s="80"/>
      <c r="N239" s="80"/>
      <c r="O239" s="426"/>
      <c r="P239" s="79">
        <v>2300</v>
      </c>
      <c r="Q239" s="80">
        <v>106</v>
      </c>
      <c r="R239" s="426">
        <f t="shared" si="23"/>
        <v>4.608695652173913</v>
      </c>
    </row>
    <row r="240" spans="1:18" ht="24">
      <c r="A240" s="111">
        <v>4040</v>
      </c>
      <c r="B240" s="115" t="s">
        <v>516</v>
      </c>
      <c r="C240" s="79">
        <v>25950</v>
      </c>
      <c r="D240" s="65">
        <f t="shared" si="24"/>
        <v>25950</v>
      </c>
      <c r="E240" s="80">
        <f t="shared" si="26"/>
        <v>25215</v>
      </c>
      <c r="F240" s="452">
        <f t="shared" si="19"/>
        <v>97.16763005780346</v>
      </c>
      <c r="G240" s="79"/>
      <c r="H240" s="80"/>
      <c r="I240" s="356"/>
      <c r="J240" s="113"/>
      <c r="K240" s="80"/>
      <c r="L240" s="379"/>
      <c r="M240" s="80">
        <v>8500</v>
      </c>
      <c r="N240" s="80">
        <v>8201</v>
      </c>
      <c r="O240" s="426">
        <f t="shared" si="25"/>
        <v>96.48235294117647</v>
      </c>
      <c r="P240" s="79">
        <v>17450</v>
      </c>
      <c r="Q240" s="80">
        <v>17014</v>
      </c>
      <c r="R240" s="426">
        <f t="shared" si="23"/>
        <v>97.50143266475645</v>
      </c>
    </row>
    <row r="241" spans="1:18" ht="24">
      <c r="A241" s="111">
        <v>4110</v>
      </c>
      <c r="B241" s="192" t="s">
        <v>477</v>
      </c>
      <c r="C241" s="79">
        <v>60470</v>
      </c>
      <c r="D241" s="65">
        <f t="shared" si="24"/>
        <v>60470</v>
      </c>
      <c r="E241" s="80">
        <f t="shared" si="26"/>
        <v>24301</v>
      </c>
      <c r="F241" s="452">
        <f t="shared" si="19"/>
        <v>40.18686952207706</v>
      </c>
      <c r="G241" s="79"/>
      <c r="H241" s="80"/>
      <c r="I241" s="356"/>
      <c r="J241" s="113"/>
      <c r="K241" s="80"/>
      <c r="L241" s="379"/>
      <c r="M241" s="80">
        <v>21600</v>
      </c>
      <c r="N241" s="80">
        <f>12591-1</f>
        <v>12590</v>
      </c>
      <c r="O241" s="426">
        <f t="shared" si="25"/>
        <v>58.28703703703704</v>
      </c>
      <c r="P241" s="79">
        <v>38870</v>
      </c>
      <c r="Q241" s="80">
        <v>11711</v>
      </c>
      <c r="R241" s="426">
        <f t="shared" si="23"/>
        <v>30.128633907898124</v>
      </c>
    </row>
    <row r="242" spans="1:18" ht="13.5" customHeight="1">
      <c r="A242" s="111">
        <v>4120</v>
      </c>
      <c r="B242" s="115" t="s">
        <v>553</v>
      </c>
      <c r="C242" s="79">
        <v>9230</v>
      </c>
      <c r="D242" s="65">
        <f t="shared" si="24"/>
        <v>9230</v>
      </c>
      <c r="E242" s="80">
        <f t="shared" si="26"/>
        <v>3717</v>
      </c>
      <c r="F242" s="452">
        <f t="shared" si="19"/>
        <v>40.27085590465872</v>
      </c>
      <c r="G242" s="79"/>
      <c r="H242" s="80"/>
      <c r="I242" s="356"/>
      <c r="J242" s="113"/>
      <c r="K242" s="80"/>
      <c r="L242" s="379"/>
      <c r="M242" s="80">
        <v>3300</v>
      </c>
      <c r="N242" s="80">
        <v>1922</v>
      </c>
      <c r="O242" s="426">
        <f t="shared" si="25"/>
        <v>58.24242424242424</v>
      </c>
      <c r="P242" s="79">
        <v>5930</v>
      </c>
      <c r="Q242" s="80">
        <v>1795</v>
      </c>
      <c r="R242" s="426">
        <f t="shared" si="23"/>
        <v>30.269814502529513</v>
      </c>
    </row>
    <row r="243" spans="1:18" ht="24" hidden="1">
      <c r="A243" s="111">
        <v>4170</v>
      </c>
      <c r="B243" s="115" t="s">
        <v>511</v>
      </c>
      <c r="C243" s="79"/>
      <c r="D243" s="65">
        <f t="shared" si="24"/>
        <v>0</v>
      </c>
      <c r="E243" s="80">
        <f>SUM(H243+K243+N243+Q243)</f>
        <v>0</v>
      </c>
      <c r="F243" s="452" t="e">
        <f>E243/D243*100</f>
        <v>#DIV/0!</v>
      </c>
      <c r="G243" s="79"/>
      <c r="H243" s="80"/>
      <c r="I243" s="356"/>
      <c r="J243" s="113"/>
      <c r="K243" s="80"/>
      <c r="L243" s="379"/>
      <c r="M243" s="113"/>
      <c r="N243" s="113"/>
      <c r="O243" s="426" t="e">
        <f t="shared" si="25"/>
        <v>#DIV/0!</v>
      </c>
      <c r="P243" s="79"/>
      <c r="Q243" s="80"/>
      <c r="R243" s="426" t="e">
        <f t="shared" si="23"/>
        <v>#DIV/0!</v>
      </c>
    </row>
    <row r="244" spans="1:18" ht="22.5" customHeight="1">
      <c r="A244" s="111">
        <v>4210</v>
      </c>
      <c r="B244" s="115" t="s">
        <v>481</v>
      </c>
      <c r="C244" s="79">
        <v>15000</v>
      </c>
      <c r="D244" s="65">
        <f t="shared" si="24"/>
        <v>11320</v>
      </c>
      <c r="E244" s="80">
        <f t="shared" si="26"/>
        <v>621</v>
      </c>
      <c r="F244" s="452">
        <f t="shared" si="19"/>
        <v>5.485865724381625</v>
      </c>
      <c r="G244" s="79"/>
      <c r="H244" s="80"/>
      <c r="I244" s="356"/>
      <c r="J244" s="113"/>
      <c r="K244" s="80"/>
      <c r="L244" s="379"/>
      <c r="M244" s="113">
        <f>12000-3680</f>
        <v>8320</v>
      </c>
      <c r="N244" s="113">
        <v>327</v>
      </c>
      <c r="O244" s="426">
        <f t="shared" si="25"/>
        <v>3.9302884615384617</v>
      </c>
      <c r="P244" s="79">
        <v>3000</v>
      </c>
      <c r="Q244" s="80">
        <v>294</v>
      </c>
      <c r="R244" s="426">
        <f t="shared" si="23"/>
        <v>9.8</v>
      </c>
    </row>
    <row r="245" spans="1:18" ht="22.5" customHeight="1" hidden="1">
      <c r="A245" s="111">
        <v>4270</v>
      </c>
      <c r="B245" s="115" t="s">
        <v>487</v>
      </c>
      <c r="C245" s="79"/>
      <c r="D245" s="65">
        <f t="shared" si="24"/>
        <v>0</v>
      </c>
      <c r="E245" s="80">
        <f>SUM(H245+K245+N245+Q245)</f>
        <v>0</v>
      </c>
      <c r="F245" s="452" t="e">
        <f>E245/D245*100</f>
        <v>#DIV/0!</v>
      </c>
      <c r="G245" s="79"/>
      <c r="H245" s="80"/>
      <c r="I245" s="356"/>
      <c r="J245" s="113"/>
      <c r="K245" s="80"/>
      <c r="L245" s="379"/>
      <c r="M245" s="113"/>
      <c r="N245" s="113"/>
      <c r="O245" s="426" t="e">
        <f t="shared" si="25"/>
        <v>#DIV/0!</v>
      </c>
      <c r="P245" s="79"/>
      <c r="Q245" s="80"/>
      <c r="R245" s="426" t="e">
        <f t="shared" si="23"/>
        <v>#DIV/0!</v>
      </c>
    </row>
    <row r="246" spans="1:18" ht="22.5" customHeight="1">
      <c r="A246" s="111">
        <v>4280</v>
      </c>
      <c r="B246" s="115" t="s">
        <v>520</v>
      </c>
      <c r="C246" s="79">
        <v>300</v>
      </c>
      <c r="D246" s="65">
        <f t="shared" si="24"/>
        <v>500</v>
      </c>
      <c r="E246" s="80">
        <f>SUM(H246+K246+N246+Q246)</f>
        <v>0</v>
      </c>
      <c r="F246" s="452">
        <f>E246/D246*100</f>
        <v>0</v>
      </c>
      <c r="G246" s="79"/>
      <c r="H246" s="80"/>
      <c r="I246" s="356"/>
      <c r="J246" s="113"/>
      <c r="K246" s="80"/>
      <c r="L246" s="379"/>
      <c r="M246" s="113">
        <v>200</v>
      </c>
      <c r="N246" s="113"/>
      <c r="O246" s="426">
        <f t="shared" si="25"/>
        <v>0</v>
      </c>
      <c r="P246" s="79">
        <v>300</v>
      </c>
      <c r="Q246" s="80"/>
      <c r="R246" s="426">
        <f t="shared" si="23"/>
        <v>0</v>
      </c>
    </row>
    <row r="247" spans="1:18" ht="18.75" customHeight="1">
      <c r="A247" s="111">
        <v>4300</v>
      </c>
      <c r="B247" s="276" t="s">
        <v>489</v>
      </c>
      <c r="C247" s="79">
        <v>28000</v>
      </c>
      <c r="D247" s="65">
        <f t="shared" si="24"/>
        <v>16710</v>
      </c>
      <c r="E247" s="80">
        <f t="shared" si="26"/>
        <v>3637</v>
      </c>
      <c r="F247" s="452">
        <f t="shared" si="19"/>
        <v>21.765409934171153</v>
      </c>
      <c r="G247" s="79"/>
      <c r="H247" s="80"/>
      <c r="I247" s="356"/>
      <c r="J247" s="113"/>
      <c r="K247" s="80"/>
      <c r="L247" s="379"/>
      <c r="M247" s="113">
        <f>18000-11290</f>
        <v>6710</v>
      </c>
      <c r="N247" s="113">
        <v>1115</v>
      </c>
      <c r="O247" s="426">
        <f t="shared" si="25"/>
        <v>16.61698956780924</v>
      </c>
      <c r="P247" s="79">
        <v>10000</v>
      </c>
      <c r="Q247" s="80">
        <v>2522</v>
      </c>
      <c r="R247" s="426">
        <f t="shared" si="23"/>
        <v>25.22</v>
      </c>
    </row>
    <row r="248" spans="1:18" ht="24">
      <c r="A248" s="159">
        <v>4350</v>
      </c>
      <c r="B248" s="326" t="s">
        <v>7</v>
      </c>
      <c r="C248" s="79">
        <v>800</v>
      </c>
      <c r="D248" s="65">
        <f t="shared" si="24"/>
        <v>1250</v>
      </c>
      <c r="E248" s="80">
        <f t="shared" si="26"/>
        <v>336</v>
      </c>
      <c r="F248" s="452">
        <f t="shared" si="19"/>
        <v>26.88</v>
      </c>
      <c r="G248" s="79"/>
      <c r="H248" s="80"/>
      <c r="I248" s="356"/>
      <c r="J248" s="113"/>
      <c r="K248" s="80"/>
      <c r="L248" s="379"/>
      <c r="M248" s="113">
        <v>450</v>
      </c>
      <c r="N248" s="113">
        <v>56</v>
      </c>
      <c r="O248" s="426">
        <f t="shared" si="25"/>
        <v>12.444444444444445</v>
      </c>
      <c r="P248" s="79">
        <v>800</v>
      </c>
      <c r="Q248" s="80">
        <v>280</v>
      </c>
      <c r="R248" s="426">
        <f t="shared" si="23"/>
        <v>35</v>
      </c>
    </row>
    <row r="249" spans="1:18" ht="39.75" customHeight="1">
      <c r="A249" s="159">
        <v>4360</v>
      </c>
      <c r="B249" s="326" t="s">
        <v>285</v>
      </c>
      <c r="C249" s="79">
        <v>1200</v>
      </c>
      <c r="D249" s="65">
        <f t="shared" si="24"/>
        <v>2000</v>
      </c>
      <c r="E249" s="80">
        <f t="shared" si="26"/>
        <v>383</v>
      </c>
      <c r="F249" s="452">
        <f t="shared" si="19"/>
        <v>19.15</v>
      </c>
      <c r="G249" s="79"/>
      <c r="H249" s="80"/>
      <c r="I249" s="356"/>
      <c r="J249" s="113"/>
      <c r="K249" s="80"/>
      <c r="L249" s="379"/>
      <c r="M249" s="113">
        <v>800</v>
      </c>
      <c r="N249" s="113">
        <v>100</v>
      </c>
      <c r="O249" s="426">
        <f t="shared" si="25"/>
        <v>12.5</v>
      </c>
      <c r="P249" s="79">
        <v>1200</v>
      </c>
      <c r="Q249" s="80">
        <v>283</v>
      </c>
      <c r="R249" s="426">
        <f t="shared" si="23"/>
        <v>23.583333333333336</v>
      </c>
    </row>
    <row r="250" spans="1:18" ht="39.75" customHeight="1">
      <c r="A250" s="184">
        <v>4370</v>
      </c>
      <c r="B250" s="185" t="s">
        <v>286</v>
      </c>
      <c r="C250" s="147">
        <v>2500</v>
      </c>
      <c r="D250" s="148">
        <f t="shared" si="24"/>
        <v>3250</v>
      </c>
      <c r="E250" s="142">
        <f t="shared" si="26"/>
        <v>1166</v>
      </c>
      <c r="F250" s="453">
        <f t="shared" si="19"/>
        <v>35.87692307692308</v>
      </c>
      <c r="G250" s="147"/>
      <c r="H250" s="142"/>
      <c r="I250" s="375"/>
      <c r="J250" s="149"/>
      <c r="K250" s="142"/>
      <c r="L250" s="404"/>
      <c r="M250" s="149">
        <f>1000+750</f>
        <v>1750</v>
      </c>
      <c r="N250" s="149">
        <v>390</v>
      </c>
      <c r="O250" s="446">
        <f aca="true" t="shared" si="27" ref="O250:O260">N250/M250*100</f>
        <v>22.285714285714285</v>
      </c>
      <c r="P250" s="147">
        <v>1500</v>
      </c>
      <c r="Q250" s="142">
        <v>776</v>
      </c>
      <c r="R250" s="446">
        <f t="shared" si="23"/>
        <v>51.733333333333334</v>
      </c>
    </row>
    <row r="251" spans="1:18" ht="24">
      <c r="A251" s="159">
        <v>4400</v>
      </c>
      <c r="B251" s="326" t="s">
        <v>287</v>
      </c>
      <c r="C251" s="79">
        <v>3600</v>
      </c>
      <c r="D251" s="65">
        <f t="shared" si="24"/>
        <v>5270</v>
      </c>
      <c r="E251" s="80">
        <f t="shared" si="26"/>
        <v>1725</v>
      </c>
      <c r="F251" s="452">
        <f t="shared" si="19"/>
        <v>32.732447817836814</v>
      </c>
      <c r="G251" s="79"/>
      <c r="H251" s="80"/>
      <c r="I251" s="356"/>
      <c r="J251" s="113"/>
      <c r="K251" s="80"/>
      <c r="L251" s="379"/>
      <c r="M251" s="113">
        <f>600+1670</f>
        <v>2270</v>
      </c>
      <c r="N251" s="113">
        <v>542</v>
      </c>
      <c r="O251" s="426">
        <f t="shared" si="27"/>
        <v>23.876651982378856</v>
      </c>
      <c r="P251" s="79">
        <v>3000</v>
      </c>
      <c r="Q251" s="80">
        <v>1183</v>
      </c>
      <c r="R251" s="426">
        <f t="shared" si="23"/>
        <v>39.43333333333333</v>
      </c>
    </row>
    <row r="252" spans="1:18" ht="14.25" customHeight="1">
      <c r="A252" s="111">
        <v>4410</v>
      </c>
      <c r="B252" s="276" t="s">
        <v>557</v>
      </c>
      <c r="C252" s="79">
        <v>1800</v>
      </c>
      <c r="D252" s="65">
        <f t="shared" si="24"/>
        <v>1800</v>
      </c>
      <c r="E252" s="80">
        <f t="shared" si="26"/>
        <v>0</v>
      </c>
      <c r="F252" s="452">
        <f t="shared" si="19"/>
        <v>0</v>
      </c>
      <c r="G252" s="79"/>
      <c r="H252" s="80"/>
      <c r="I252" s="356"/>
      <c r="J252" s="113"/>
      <c r="K252" s="80"/>
      <c r="L252" s="379"/>
      <c r="M252" s="113">
        <v>1000</v>
      </c>
      <c r="N252" s="113"/>
      <c r="O252" s="426">
        <f t="shared" si="27"/>
        <v>0</v>
      </c>
      <c r="P252" s="79">
        <v>800</v>
      </c>
      <c r="Q252" s="80"/>
      <c r="R252" s="426">
        <f t="shared" si="23"/>
        <v>0</v>
      </c>
    </row>
    <row r="253" spans="1:18" ht="14.25" customHeight="1">
      <c r="A253" s="111">
        <v>4430</v>
      </c>
      <c r="B253" s="276" t="s">
        <v>491</v>
      </c>
      <c r="C253" s="79">
        <v>2100</v>
      </c>
      <c r="D253" s="65">
        <f>G253+J253+P253+M253</f>
        <v>1699</v>
      </c>
      <c r="E253" s="80">
        <f>SUM(H253+K253+N253+Q253)</f>
        <v>1589</v>
      </c>
      <c r="F253" s="452">
        <f aca="true" t="shared" si="28" ref="F253:F316">E253/D253*100</f>
        <v>93.5256032960565</v>
      </c>
      <c r="G253" s="79"/>
      <c r="H253" s="80"/>
      <c r="I253" s="356"/>
      <c r="J253" s="113"/>
      <c r="K253" s="80"/>
      <c r="L253" s="379"/>
      <c r="M253" s="113"/>
      <c r="N253" s="113"/>
      <c r="O253" s="211"/>
      <c r="P253" s="79">
        <f>2100-401</f>
        <v>1699</v>
      </c>
      <c r="Q253" s="80">
        <v>1589</v>
      </c>
      <c r="R253" s="426">
        <f t="shared" si="23"/>
        <v>93.5256032960565</v>
      </c>
    </row>
    <row r="254" spans="1:18" ht="14.25" customHeight="1">
      <c r="A254" s="111">
        <v>4440</v>
      </c>
      <c r="B254" s="276" t="s">
        <v>493</v>
      </c>
      <c r="C254" s="79">
        <v>9100</v>
      </c>
      <c r="D254" s="65">
        <f t="shared" si="24"/>
        <v>9501</v>
      </c>
      <c r="E254" s="80">
        <f t="shared" si="26"/>
        <v>9501</v>
      </c>
      <c r="F254" s="452">
        <f t="shared" si="28"/>
        <v>100</v>
      </c>
      <c r="G254" s="79"/>
      <c r="H254" s="80"/>
      <c r="I254" s="356"/>
      <c r="J254" s="113"/>
      <c r="K254" s="80"/>
      <c r="L254" s="379"/>
      <c r="M254" s="113">
        <v>3800</v>
      </c>
      <c r="N254" s="113">
        <v>3800</v>
      </c>
      <c r="O254" s="426">
        <f t="shared" si="27"/>
        <v>100</v>
      </c>
      <c r="P254" s="79">
        <f>5300+401</f>
        <v>5701</v>
      </c>
      <c r="Q254" s="80">
        <v>5701</v>
      </c>
      <c r="R254" s="426">
        <f t="shared" si="23"/>
        <v>100</v>
      </c>
    </row>
    <row r="255" spans="1:18" ht="24">
      <c r="A255" s="111">
        <v>4490</v>
      </c>
      <c r="B255" s="276" t="s">
        <v>267</v>
      </c>
      <c r="C255" s="79">
        <v>150</v>
      </c>
      <c r="D255" s="65">
        <f>G255+J255+P255+M255</f>
        <v>250</v>
      </c>
      <c r="E255" s="80">
        <f>SUM(H255+K255+N255+Q255)</f>
        <v>0</v>
      </c>
      <c r="F255" s="452">
        <f t="shared" si="28"/>
        <v>0</v>
      </c>
      <c r="G255" s="79"/>
      <c r="H255" s="80"/>
      <c r="I255" s="356"/>
      <c r="J255" s="113"/>
      <c r="K255" s="80"/>
      <c r="L255" s="379"/>
      <c r="M255" s="113">
        <v>100</v>
      </c>
      <c r="N255" s="113"/>
      <c r="O255" s="426">
        <f t="shared" si="27"/>
        <v>0</v>
      </c>
      <c r="P255" s="79">
        <v>150</v>
      </c>
      <c r="Q255" s="80"/>
      <c r="R255" s="426">
        <f t="shared" si="23"/>
        <v>0</v>
      </c>
    </row>
    <row r="256" spans="1:18" ht="24">
      <c r="A256" s="111">
        <v>4550</v>
      </c>
      <c r="B256" s="276" t="s">
        <v>497</v>
      </c>
      <c r="C256" s="79">
        <v>4000</v>
      </c>
      <c r="D256" s="65">
        <f>G256+J256+P256+M256</f>
        <v>7000</v>
      </c>
      <c r="E256" s="80">
        <f>SUM(H256+K256+N256+Q256)</f>
        <v>1377</v>
      </c>
      <c r="F256" s="452">
        <f t="shared" si="28"/>
        <v>19.67142857142857</v>
      </c>
      <c r="G256" s="79"/>
      <c r="H256" s="80"/>
      <c r="I256" s="356"/>
      <c r="J256" s="113"/>
      <c r="K256" s="80"/>
      <c r="L256" s="379"/>
      <c r="M256" s="113">
        <v>3000</v>
      </c>
      <c r="N256" s="113"/>
      <c r="O256" s="426">
        <f t="shared" si="27"/>
        <v>0</v>
      </c>
      <c r="P256" s="79">
        <v>4000</v>
      </c>
      <c r="Q256" s="80">
        <v>1377</v>
      </c>
      <c r="R256" s="426">
        <f t="shared" si="23"/>
        <v>34.425</v>
      </c>
    </row>
    <row r="257" spans="1:18" ht="36">
      <c r="A257" s="159">
        <v>4700</v>
      </c>
      <c r="B257" s="326" t="s">
        <v>284</v>
      </c>
      <c r="C257" s="79">
        <v>1500</v>
      </c>
      <c r="D257" s="65">
        <f t="shared" si="24"/>
        <v>2700</v>
      </c>
      <c r="E257" s="80">
        <f t="shared" si="26"/>
        <v>459</v>
      </c>
      <c r="F257" s="452">
        <f t="shared" si="28"/>
        <v>17</v>
      </c>
      <c r="G257" s="79"/>
      <c r="H257" s="80"/>
      <c r="I257" s="356"/>
      <c r="J257" s="113"/>
      <c r="K257" s="80"/>
      <c r="L257" s="379"/>
      <c r="M257" s="113">
        <v>1200</v>
      </c>
      <c r="N257" s="113"/>
      <c r="O257" s="426">
        <f t="shared" si="27"/>
        <v>0</v>
      </c>
      <c r="P257" s="79">
        <v>1500</v>
      </c>
      <c r="Q257" s="80">
        <v>459</v>
      </c>
      <c r="R257" s="426">
        <f t="shared" si="23"/>
        <v>30.599999999999998</v>
      </c>
    </row>
    <row r="258" spans="1:18" ht="51" customHeight="1">
      <c r="A258" s="159">
        <v>4740</v>
      </c>
      <c r="B258" s="326" t="s">
        <v>288</v>
      </c>
      <c r="C258" s="79">
        <v>1000</v>
      </c>
      <c r="D258" s="65">
        <f>G258+J258+P258+M258</f>
        <v>1500</v>
      </c>
      <c r="E258" s="80">
        <f>SUM(H258+K258+N258+Q258)</f>
        <v>0</v>
      </c>
      <c r="F258" s="452">
        <f t="shared" si="28"/>
        <v>0</v>
      </c>
      <c r="G258" s="79"/>
      <c r="H258" s="80"/>
      <c r="I258" s="356"/>
      <c r="J258" s="113"/>
      <c r="K258" s="583"/>
      <c r="L258" s="584"/>
      <c r="M258" s="113">
        <f>500+500</f>
        <v>1000</v>
      </c>
      <c r="N258" s="113"/>
      <c r="O258" s="211">
        <f t="shared" si="27"/>
        <v>0</v>
      </c>
      <c r="P258" s="79">
        <v>500</v>
      </c>
      <c r="Q258" s="80"/>
      <c r="R258" s="426">
        <f t="shared" si="23"/>
        <v>0</v>
      </c>
    </row>
    <row r="259" spans="1:18" ht="36">
      <c r="A259" s="159">
        <v>6060</v>
      </c>
      <c r="B259" s="115" t="s">
        <v>8</v>
      </c>
      <c r="C259" s="79">
        <v>8000</v>
      </c>
      <c r="D259" s="65">
        <f>G259+J259+P259+M259</f>
        <v>8000</v>
      </c>
      <c r="E259" s="80">
        <f>SUM(H259+K259+N259+Q259)</f>
        <v>0</v>
      </c>
      <c r="F259" s="452">
        <f t="shared" si="28"/>
        <v>0</v>
      </c>
      <c r="G259" s="79"/>
      <c r="H259" s="80"/>
      <c r="I259" s="356"/>
      <c r="J259" s="113"/>
      <c r="K259" s="80"/>
      <c r="L259" s="379"/>
      <c r="M259" s="113"/>
      <c r="N259" s="113"/>
      <c r="O259" s="426"/>
      <c r="P259" s="79">
        <v>8000</v>
      </c>
      <c r="Q259" s="80"/>
      <c r="R259" s="426">
        <f t="shared" si="23"/>
        <v>0</v>
      </c>
    </row>
    <row r="260" spans="1:18" ht="36">
      <c r="A260" s="184">
        <v>4750</v>
      </c>
      <c r="B260" s="185" t="s">
        <v>289</v>
      </c>
      <c r="C260" s="147">
        <v>10300</v>
      </c>
      <c r="D260" s="148">
        <f aca="true" t="shared" si="29" ref="D260:E300">G260+J260+P260+M260</f>
        <v>16600</v>
      </c>
      <c r="E260" s="142">
        <f t="shared" si="26"/>
        <v>902</v>
      </c>
      <c r="F260" s="453">
        <f t="shared" si="28"/>
        <v>5.433734939759036</v>
      </c>
      <c r="G260" s="147"/>
      <c r="H260" s="142"/>
      <c r="I260" s="375"/>
      <c r="J260" s="149"/>
      <c r="K260" s="142"/>
      <c r="L260" s="404"/>
      <c r="M260" s="149">
        <f>3500+6300</f>
        <v>9800</v>
      </c>
      <c r="N260" s="149">
        <v>475</v>
      </c>
      <c r="O260" s="211">
        <f t="shared" si="27"/>
        <v>4.846938775510204</v>
      </c>
      <c r="P260" s="147">
        <v>6800</v>
      </c>
      <c r="Q260" s="142">
        <v>427</v>
      </c>
      <c r="R260" s="446">
        <f t="shared" si="23"/>
        <v>6.279411764705882</v>
      </c>
    </row>
    <row r="261" spans="1:18" s="130" customFormat="1" ht="13.5" customHeight="1">
      <c r="A261" s="137">
        <v>71035</v>
      </c>
      <c r="B261" s="174" t="s">
        <v>558</v>
      </c>
      <c r="C261" s="85">
        <f>SUM(C262:C265)</f>
        <v>1905600</v>
      </c>
      <c r="D261" s="86">
        <f t="shared" si="29"/>
        <v>1905600</v>
      </c>
      <c r="E261" s="86">
        <f t="shared" si="26"/>
        <v>575479</v>
      </c>
      <c r="F261" s="460">
        <f t="shared" si="28"/>
        <v>30.199359781696057</v>
      </c>
      <c r="G261" s="85">
        <f>SUM(G262:G265)</f>
        <v>1889000</v>
      </c>
      <c r="H261" s="86">
        <f>SUM(H262:H265)</f>
        <v>574586</v>
      </c>
      <c r="I261" s="301">
        <f aca="true" t="shared" si="30" ref="I261:I273">H261/G261*100</f>
        <v>30.41746956061408</v>
      </c>
      <c r="J261" s="158">
        <f>SUM(J263:J265)</f>
        <v>16600</v>
      </c>
      <c r="K261" s="86">
        <f>SUM(K263:K265)</f>
        <v>893</v>
      </c>
      <c r="L261" s="406">
        <f>K261/J261*100</f>
        <v>5.379518072289156</v>
      </c>
      <c r="M261" s="158"/>
      <c r="N261" s="158"/>
      <c r="O261" s="391"/>
      <c r="P261" s="85"/>
      <c r="Q261" s="86"/>
      <c r="R261" s="256"/>
    </row>
    <row r="262" spans="1:18" s="12" customFormat="1" ht="16.5" customHeight="1" hidden="1">
      <c r="A262" s="159">
        <v>4270</v>
      </c>
      <c r="B262" s="193" t="s">
        <v>487</v>
      </c>
      <c r="C262" s="161"/>
      <c r="D262" s="65">
        <f t="shared" si="29"/>
        <v>0</v>
      </c>
      <c r="E262" s="65">
        <f t="shared" si="29"/>
        <v>0</v>
      </c>
      <c r="F262" s="452"/>
      <c r="G262" s="161"/>
      <c r="H262" s="65"/>
      <c r="I262" s="211"/>
      <c r="J262" s="162"/>
      <c r="K262" s="65"/>
      <c r="L262" s="379"/>
      <c r="M262" s="162"/>
      <c r="N262" s="162"/>
      <c r="O262" s="356"/>
      <c r="P262" s="161"/>
      <c r="Q262" s="65"/>
      <c r="R262" s="211"/>
    </row>
    <row r="263" spans="1:18" ht="24.75" customHeight="1">
      <c r="A263" s="111">
        <v>4300</v>
      </c>
      <c r="B263" s="115" t="s">
        <v>559</v>
      </c>
      <c r="C263" s="79">
        <v>16600</v>
      </c>
      <c r="D263" s="65">
        <f t="shared" si="29"/>
        <v>16600</v>
      </c>
      <c r="E263" s="65">
        <f t="shared" si="29"/>
        <v>893</v>
      </c>
      <c r="F263" s="452">
        <f t="shared" si="28"/>
        <v>5.379518072289156</v>
      </c>
      <c r="G263" s="79"/>
      <c r="H263" s="80"/>
      <c r="I263" s="211"/>
      <c r="J263" s="113">
        <v>16600</v>
      </c>
      <c r="K263" s="80">
        <v>893</v>
      </c>
      <c r="L263" s="379">
        <f>K263/J263*100</f>
        <v>5.379518072289156</v>
      </c>
      <c r="M263" s="113"/>
      <c r="N263" s="113"/>
      <c r="O263" s="356"/>
      <c r="P263" s="79"/>
      <c r="Q263" s="80"/>
      <c r="R263" s="211"/>
    </row>
    <row r="264" spans="1:18" ht="27" customHeight="1">
      <c r="A264" s="111">
        <v>4300</v>
      </c>
      <c r="B264" s="115" t="s">
        <v>560</v>
      </c>
      <c r="C264" s="79">
        <v>1389000</v>
      </c>
      <c r="D264" s="65">
        <f t="shared" si="29"/>
        <v>1389000</v>
      </c>
      <c r="E264" s="65">
        <f t="shared" si="29"/>
        <v>569340</v>
      </c>
      <c r="F264" s="452">
        <f t="shared" si="28"/>
        <v>40.98920086393088</v>
      </c>
      <c r="G264" s="161">
        <v>1389000</v>
      </c>
      <c r="H264" s="65">
        <v>569340</v>
      </c>
      <c r="I264" s="211">
        <f t="shared" si="30"/>
        <v>40.98920086393088</v>
      </c>
      <c r="J264" s="113"/>
      <c r="K264" s="80"/>
      <c r="L264" s="379"/>
      <c r="M264" s="113"/>
      <c r="N264" s="113"/>
      <c r="O264" s="356"/>
      <c r="P264" s="79"/>
      <c r="Q264" s="80"/>
      <c r="R264" s="211"/>
    </row>
    <row r="265" spans="1:18" ht="24.75" thickBot="1">
      <c r="A265" s="111">
        <v>6050</v>
      </c>
      <c r="B265" s="115" t="s">
        <v>549</v>
      </c>
      <c r="C265" s="79">
        <v>500000</v>
      </c>
      <c r="D265" s="65">
        <f>G265+J265+P265+M265</f>
        <v>500000</v>
      </c>
      <c r="E265" s="65">
        <f>H265+K265+Q265+N265</f>
        <v>5246</v>
      </c>
      <c r="F265" s="452">
        <f>E265/D265*100</f>
        <v>1.0492</v>
      </c>
      <c r="G265" s="161">
        <v>500000</v>
      </c>
      <c r="H265" s="65">
        <v>5246</v>
      </c>
      <c r="I265" s="211">
        <f t="shared" si="30"/>
        <v>1.0492</v>
      </c>
      <c r="J265" s="113"/>
      <c r="K265" s="80"/>
      <c r="L265" s="379"/>
      <c r="M265" s="207"/>
      <c r="N265" s="142"/>
      <c r="O265" s="356"/>
      <c r="P265" s="79"/>
      <c r="Q265" s="80"/>
      <c r="R265" s="211"/>
    </row>
    <row r="266" spans="1:18" ht="15.75" customHeight="1" hidden="1">
      <c r="A266" s="137">
        <v>71095</v>
      </c>
      <c r="B266" s="174" t="s">
        <v>504</v>
      </c>
      <c r="C266" s="85"/>
      <c r="D266" s="86">
        <f t="shared" si="29"/>
        <v>0</v>
      </c>
      <c r="E266" s="86">
        <f t="shared" si="29"/>
        <v>0</v>
      </c>
      <c r="F266" s="451" t="e">
        <f t="shared" si="28"/>
        <v>#DIV/0!</v>
      </c>
      <c r="G266" s="85">
        <f>G267</f>
        <v>0</v>
      </c>
      <c r="H266" s="86">
        <f>H267</f>
        <v>0</v>
      </c>
      <c r="I266" s="259" t="e">
        <f t="shared" si="30"/>
        <v>#DIV/0!</v>
      </c>
      <c r="J266" s="158"/>
      <c r="K266" s="86"/>
      <c r="L266" s="406"/>
      <c r="M266" s="206"/>
      <c r="N266" s="86"/>
      <c r="O266" s="391"/>
      <c r="P266" s="85"/>
      <c r="Q266" s="86"/>
      <c r="R266" s="256"/>
    </row>
    <row r="267" spans="1:18" ht="17.25" customHeight="1" hidden="1">
      <c r="A267" s="111">
        <v>4300</v>
      </c>
      <c r="B267" s="115" t="s">
        <v>489</v>
      </c>
      <c r="C267" s="79"/>
      <c r="D267" s="65">
        <f t="shared" si="29"/>
        <v>0</v>
      </c>
      <c r="E267" s="65">
        <f t="shared" si="29"/>
        <v>0</v>
      </c>
      <c r="F267" s="452" t="e">
        <f t="shared" si="28"/>
        <v>#DIV/0!</v>
      </c>
      <c r="G267" s="161"/>
      <c r="H267" s="65"/>
      <c r="I267" s="211" t="e">
        <f t="shared" si="30"/>
        <v>#DIV/0!</v>
      </c>
      <c r="J267" s="113"/>
      <c r="K267" s="80"/>
      <c r="L267" s="379"/>
      <c r="M267" s="207"/>
      <c r="N267" s="208"/>
      <c r="O267" s="356"/>
      <c r="P267" s="79"/>
      <c r="Q267" s="80"/>
      <c r="R267" s="211"/>
    </row>
    <row r="268" spans="1:18" s="105" customFormat="1" ht="29.25" customHeight="1" thickBot="1" thickTop="1">
      <c r="A268" s="101">
        <v>750</v>
      </c>
      <c r="B268" s="102" t="s">
        <v>561</v>
      </c>
      <c r="C268" s="103">
        <f>C269+C280+C296+C310+C432+C445+C378+C394</f>
        <v>35491335</v>
      </c>
      <c r="D268" s="51">
        <f t="shared" si="29"/>
        <v>36423635</v>
      </c>
      <c r="E268" s="98">
        <f t="shared" si="29"/>
        <v>16456822</v>
      </c>
      <c r="F268" s="480">
        <f t="shared" si="28"/>
        <v>45.18171236890552</v>
      </c>
      <c r="G268" s="103">
        <f>G269+G296+G310+G378+G432+G445+G280+G394</f>
        <v>30412455</v>
      </c>
      <c r="H268" s="98">
        <f>H269+H296+H310+H378+H432+H445+H280+H394</f>
        <v>13694453</v>
      </c>
      <c r="I268" s="343">
        <f t="shared" si="30"/>
        <v>45.02909416553185</v>
      </c>
      <c r="J268" s="98">
        <f>J269+J296+J310+J378+J432+J445+J280+J394</f>
        <v>757900</v>
      </c>
      <c r="K268" s="98">
        <f>K269+K296+K310+K378+K432+K445+K280+K394</f>
        <v>384697</v>
      </c>
      <c r="L268" s="471">
        <f aca="true" t="shared" si="31" ref="L268:L273">K268/J268*100</f>
        <v>50.758279456392664</v>
      </c>
      <c r="M268" s="209">
        <f>M269+M296+M310+M378+M432+M445+M280</f>
        <v>4972580</v>
      </c>
      <c r="N268" s="98">
        <f>N269+N296+N310+N378+N432+N445+N280</f>
        <v>2220636</v>
      </c>
      <c r="O268" s="343">
        <f>N268/M268*100</f>
        <v>44.657622401248446</v>
      </c>
      <c r="P268" s="103">
        <f>P269+P296+P310+P378+P432+P445+P280</f>
        <v>280700</v>
      </c>
      <c r="Q268" s="98">
        <f>Q269+Q296+Q310+Q378+Q432+Q445+Q280</f>
        <v>157036</v>
      </c>
      <c r="R268" s="447">
        <f aca="true" t="shared" si="32" ref="R268:R274">Q268/P268*100</f>
        <v>55.94442465265408</v>
      </c>
    </row>
    <row r="269" spans="1:18" ht="15" customHeight="1" thickTop="1">
      <c r="A269" s="106">
        <v>75011</v>
      </c>
      <c r="B269" s="172" t="s">
        <v>562</v>
      </c>
      <c r="C269" s="108">
        <f>SUM(C270:C279)</f>
        <v>1536700</v>
      </c>
      <c r="D269" s="109">
        <f t="shared" si="29"/>
        <v>1553700</v>
      </c>
      <c r="E269" s="179">
        <f t="shared" si="29"/>
        <v>780077</v>
      </c>
      <c r="F269" s="453">
        <f t="shared" si="28"/>
        <v>50.207697753749116</v>
      </c>
      <c r="G269" s="108">
        <f>SUM(G270:G279)</f>
        <v>554600</v>
      </c>
      <c r="H269" s="75">
        <f>SUM(H270:H279)</f>
        <v>275818</v>
      </c>
      <c r="I269" s="259">
        <f t="shared" si="30"/>
        <v>49.73278038225749</v>
      </c>
      <c r="J269" s="110">
        <f>SUM(J270:J279)</f>
        <v>757900</v>
      </c>
      <c r="K269" s="75">
        <f>SUM(K270:K279)</f>
        <v>384697</v>
      </c>
      <c r="L269" s="472">
        <f t="shared" si="31"/>
        <v>50.758279456392664</v>
      </c>
      <c r="M269" s="75"/>
      <c r="N269" s="75"/>
      <c r="O269" s="369"/>
      <c r="P269" s="108">
        <f>SUM(P270:P279)</f>
        <v>241200</v>
      </c>
      <c r="Q269" s="75">
        <f>SUM(Q270:Q279)</f>
        <v>119562</v>
      </c>
      <c r="R269" s="446">
        <f t="shared" si="32"/>
        <v>49.56965174129353</v>
      </c>
    </row>
    <row r="270" spans="1:18" ht="24" customHeight="1">
      <c r="A270" s="99">
        <v>4010</v>
      </c>
      <c r="B270" s="186" t="s">
        <v>471</v>
      </c>
      <c r="C270" s="81">
        <v>951100</v>
      </c>
      <c r="D270" s="94">
        <f t="shared" si="29"/>
        <v>951100</v>
      </c>
      <c r="E270" s="95">
        <f aca="true" t="shared" si="33" ref="E270:E279">SUM(H270+K270+N270+Q270)</f>
        <v>428361</v>
      </c>
      <c r="F270" s="454">
        <f t="shared" si="28"/>
        <v>45.03848175796446</v>
      </c>
      <c r="G270" s="81">
        <v>165600</v>
      </c>
      <c r="H270" s="95">
        <v>82800</v>
      </c>
      <c r="I270" s="448">
        <f t="shared" si="30"/>
        <v>50</v>
      </c>
      <c r="J270" s="187">
        <v>595800</v>
      </c>
      <c r="K270" s="95">
        <v>271283</v>
      </c>
      <c r="L270" s="448">
        <f t="shared" si="31"/>
        <v>45.532561262168514</v>
      </c>
      <c r="M270" s="95"/>
      <c r="N270" s="95"/>
      <c r="O270" s="376"/>
      <c r="P270" s="81">
        <v>189700</v>
      </c>
      <c r="Q270" s="95">
        <v>74278</v>
      </c>
      <c r="R270" s="448">
        <f t="shared" si="32"/>
        <v>39.15550869794412</v>
      </c>
    </row>
    <row r="271" spans="1:18" ht="24">
      <c r="A271" s="111">
        <v>4040</v>
      </c>
      <c r="B271" s="115" t="s">
        <v>516</v>
      </c>
      <c r="C271" s="79">
        <v>77200</v>
      </c>
      <c r="D271" s="65">
        <f t="shared" si="29"/>
        <v>77200</v>
      </c>
      <c r="E271" s="80">
        <f t="shared" si="33"/>
        <v>77200</v>
      </c>
      <c r="F271" s="452">
        <f t="shared" si="28"/>
        <v>100</v>
      </c>
      <c r="G271" s="79">
        <v>13400</v>
      </c>
      <c r="H271" s="80">
        <v>13400</v>
      </c>
      <c r="I271" s="426">
        <f t="shared" si="30"/>
        <v>100</v>
      </c>
      <c r="J271" s="113">
        <v>48400</v>
      </c>
      <c r="K271" s="80">
        <v>48400</v>
      </c>
      <c r="L271" s="426">
        <f t="shared" si="31"/>
        <v>100</v>
      </c>
      <c r="M271" s="80"/>
      <c r="N271" s="80"/>
      <c r="O271" s="356"/>
      <c r="P271" s="79">
        <v>15400</v>
      </c>
      <c r="Q271" s="80">
        <v>15400</v>
      </c>
      <c r="R271" s="426">
        <f t="shared" si="32"/>
        <v>100</v>
      </c>
    </row>
    <row r="272" spans="1:18" ht="24.75" customHeight="1">
      <c r="A272" s="111">
        <v>4110</v>
      </c>
      <c r="B272" s="192" t="s">
        <v>477</v>
      </c>
      <c r="C272" s="79">
        <v>156200</v>
      </c>
      <c r="D272" s="65">
        <f t="shared" si="29"/>
        <v>156200</v>
      </c>
      <c r="E272" s="80">
        <f t="shared" si="33"/>
        <v>95208</v>
      </c>
      <c r="F272" s="452">
        <f t="shared" si="28"/>
        <v>60.95262483994879</v>
      </c>
      <c r="G272" s="79">
        <v>27200</v>
      </c>
      <c r="H272" s="80">
        <v>13089</v>
      </c>
      <c r="I272" s="426">
        <f t="shared" si="30"/>
        <v>48.12132352941176</v>
      </c>
      <c r="J272" s="113">
        <v>97900</v>
      </c>
      <c r="K272" s="80">
        <v>56326</v>
      </c>
      <c r="L272" s="426">
        <f t="shared" si="31"/>
        <v>57.53421859039837</v>
      </c>
      <c r="M272" s="80"/>
      <c r="N272" s="80"/>
      <c r="O272" s="356"/>
      <c r="P272" s="79">
        <v>31100</v>
      </c>
      <c r="Q272" s="80">
        <v>25793</v>
      </c>
      <c r="R272" s="426">
        <f t="shared" si="32"/>
        <v>82.93569131832797</v>
      </c>
    </row>
    <row r="273" spans="1:18" ht="11.25" customHeight="1">
      <c r="A273" s="145">
        <v>4120</v>
      </c>
      <c r="B273" s="146" t="s">
        <v>553</v>
      </c>
      <c r="C273" s="147">
        <v>25200</v>
      </c>
      <c r="D273" s="148">
        <f t="shared" si="29"/>
        <v>25200</v>
      </c>
      <c r="E273" s="142">
        <f t="shared" si="33"/>
        <v>14898</v>
      </c>
      <c r="F273" s="453">
        <f t="shared" si="28"/>
        <v>59.11904761904761</v>
      </c>
      <c r="G273" s="147">
        <v>4400</v>
      </c>
      <c r="H273" s="142">
        <v>2119</v>
      </c>
      <c r="I273" s="446">
        <f t="shared" si="30"/>
        <v>48.15909090909091</v>
      </c>
      <c r="J273" s="149">
        <v>15800</v>
      </c>
      <c r="K273" s="142">
        <v>8688</v>
      </c>
      <c r="L273" s="446">
        <f t="shared" si="31"/>
        <v>54.9873417721519</v>
      </c>
      <c r="M273" s="142"/>
      <c r="N273" s="142"/>
      <c r="O273" s="375"/>
      <c r="P273" s="147">
        <v>5000</v>
      </c>
      <c r="Q273" s="142">
        <v>4091</v>
      </c>
      <c r="R273" s="446">
        <f t="shared" si="32"/>
        <v>81.82000000000001</v>
      </c>
    </row>
    <row r="274" spans="1:18" ht="24" hidden="1">
      <c r="A274" s="111">
        <v>4170</v>
      </c>
      <c r="B274" s="115" t="s">
        <v>511</v>
      </c>
      <c r="C274" s="79"/>
      <c r="D274" s="65">
        <f>G274+J274+P274+M274</f>
        <v>0</v>
      </c>
      <c r="E274" s="80">
        <f>SUM(H274+K274+N274+Q274)</f>
        <v>0</v>
      </c>
      <c r="F274" s="452" t="e">
        <f>E274/D274*100</f>
        <v>#DIV/0!</v>
      </c>
      <c r="G274" s="79"/>
      <c r="H274" s="80"/>
      <c r="I274" s="426"/>
      <c r="J274" s="113"/>
      <c r="K274" s="80"/>
      <c r="L274" s="426"/>
      <c r="M274" s="80"/>
      <c r="N274" s="80"/>
      <c r="O274" s="356"/>
      <c r="P274" s="79"/>
      <c r="Q274" s="80"/>
      <c r="R274" s="426" t="e">
        <f t="shared" si="32"/>
        <v>#DIV/0!</v>
      </c>
    </row>
    <row r="275" spans="1:18" ht="24">
      <c r="A275" s="111">
        <v>4210</v>
      </c>
      <c r="B275" s="115" t="s">
        <v>481</v>
      </c>
      <c r="C275" s="79">
        <v>126000</v>
      </c>
      <c r="D275" s="65">
        <f t="shared" si="29"/>
        <v>143000</v>
      </c>
      <c r="E275" s="80">
        <f t="shared" si="33"/>
        <v>81364</v>
      </c>
      <c r="F275" s="452">
        <f t="shared" si="28"/>
        <v>56.8979020979021</v>
      </c>
      <c r="G275" s="79">
        <f>126000+17000</f>
        <v>143000</v>
      </c>
      <c r="H275" s="80">
        <v>81364</v>
      </c>
      <c r="I275" s="426">
        <f>H275/G275*100</f>
        <v>56.8979020979021</v>
      </c>
      <c r="J275" s="113"/>
      <c r="K275" s="80"/>
      <c r="L275" s="466"/>
      <c r="M275" s="80"/>
      <c r="N275" s="80"/>
      <c r="O275" s="356"/>
      <c r="P275" s="79"/>
      <c r="Q275" s="80"/>
      <c r="R275" s="211"/>
    </row>
    <row r="276" spans="1:18" ht="12.75">
      <c r="A276" s="111">
        <v>4260</v>
      </c>
      <c r="B276" s="115" t="s">
        <v>485</v>
      </c>
      <c r="C276" s="79">
        <v>36000</v>
      </c>
      <c r="D276" s="65">
        <f t="shared" si="29"/>
        <v>36000</v>
      </c>
      <c r="E276" s="80">
        <f t="shared" si="33"/>
        <v>22569</v>
      </c>
      <c r="F276" s="452">
        <f t="shared" si="28"/>
        <v>62.69166666666667</v>
      </c>
      <c r="G276" s="79">
        <v>36000</v>
      </c>
      <c r="H276" s="80">
        <v>22569</v>
      </c>
      <c r="I276" s="426">
        <f>H276/G276*100</f>
        <v>62.69166666666667</v>
      </c>
      <c r="J276" s="113"/>
      <c r="K276" s="80"/>
      <c r="L276" s="379"/>
      <c r="M276" s="80"/>
      <c r="N276" s="80"/>
      <c r="O276" s="356"/>
      <c r="P276" s="79"/>
      <c r="Q276" s="80"/>
      <c r="R276" s="265"/>
    </row>
    <row r="277" spans="1:18" ht="16.5" customHeight="1">
      <c r="A277" s="111">
        <v>4300</v>
      </c>
      <c r="B277" s="115" t="s">
        <v>489</v>
      </c>
      <c r="C277" s="79">
        <v>109000</v>
      </c>
      <c r="D277" s="65">
        <f t="shared" si="29"/>
        <v>109000</v>
      </c>
      <c r="E277" s="80">
        <f>SUM(H277+K277+N277+Q277)</f>
        <v>43911</v>
      </c>
      <c r="F277" s="452">
        <f>E277/D277*100</f>
        <v>40.28532110091743</v>
      </c>
      <c r="G277" s="79">
        <v>109000</v>
      </c>
      <c r="H277" s="80">
        <v>43911</v>
      </c>
      <c r="I277" s="211">
        <f>H277/G277*100</f>
        <v>40.28532110091743</v>
      </c>
      <c r="J277" s="113"/>
      <c r="K277" s="80"/>
      <c r="L277" s="379"/>
      <c r="M277" s="80"/>
      <c r="N277" s="80"/>
      <c r="O277" s="356"/>
      <c r="P277" s="79"/>
      <c r="Q277" s="80"/>
      <c r="R277" s="265"/>
    </row>
    <row r="278" spans="1:18" ht="39.75" customHeight="1">
      <c r="A278" s="159">
        <v>4360</v>
      </c>
      <c r="B278" s="326" t="s">
        <v>285</v>
      </c>
      <c r="C278" s="79">
        <v>22000</v>
      </c>
      <c r="D278" s="65">
        <f t="shared" si="29"/>
        <v>22000</v>
      </c>
      <c r="E278" s="80">
        <f>SUM(H278+K278+N278+Q278)</f>
        <v>4618</v>
      </c>
      <c r="F278" s="452">
        <f>E278/D278*100</f>
        <v>20.990909090909092</v>
      </c>
      <c r="G278" s="79">
        <v>22000</v>
      </c>
      <c r="H278" s="80">
        <v>4618</v>
      </c>
      <c r="I278" s="211">
        <f>H278/G278*100</f>
        <v>20.990909090909092</v>
      </c>
      <c r="J278" s="113"/>
      <c r="K278" s="80"/>
      <c r="L278" s="379"/>
      <c r="M278" s="80"/>
      <c r="N278" s="80"/>
      <c r="O278" s="356"/>
      <c r="P278" s="79"/>
      <c r="Q278" s="80"/>
      <c r="R278" s="265"/>
    </row>
    <row r="279" spans="1:18" ht="52.5" customHeight="1">
      <c r="A279" s="159">
        <v>4740</v>
      </c>
      <c r="B279" s="326" t="s">
        <v>288</v>
      </c>
      <c r="C279" s="79">
        <v>34000</v>
      </c>
      <c r="D279" s="65">
        <f t="shared" si="29"/>
        <v>34000</v>
      </c>
      <c r="E279" s="80">
        <f t="shared" si="33"/>
        <v>11948</v>
      </c>
      <c r="F279" s="452">
        <f t="shared" si="28"/>
        <v>35.141176470588235</v>
      </c>
      <c r="G279" s="79">
        <v>34000</v>
      </c>
      <c r="H279" s="80">
        <v>11948</v>
      </c>
      <c r="I279" s="211">
        <f>H279/G279*100</f>
        <v>35.141176470588235</v>
      </c>
      <c r="J279" s="113"/>
      <c r="K279" s="80"/>
      <c r="L279" s="211" t="s">
        <v>563</v>
      </c>
      <c r="M279" s="80"/>
      <c r="N279" s="80"/>
      <c r="O279" s="356"/>
      <c r="P279" s="79"/>
      <c r="Q279" s="80"/>
      <c r="R279" s="350"/>
    </row>
    <row r="280" spans="1:18" ht="12.75" customHeight="1">
      <c r="A280" s="106">
        <v>75020</v>
      </c>
      <c r="B280" s="172" t="s">
        <v>564</v>
      </c>
      <c r="C280" s="108">
        <f>SUM(C281:C295)</f>
        <v>4969580</v>
      </c>
      <c r="D280" s="86">
        <f t="shared" si="29"/>
        <v>4969580</v>
      </c>
      <c r="E280" s="75">
        <f>H280+K280+Q280+N280</f>
        <v>2220636</v>
      </c>
      <c r="F280" s="451">
        <f t="shared" si="28"/>
        <v>44.684580990747705</v>
      </c>
      <c r="G280" s="133"/>
      <c r="H280" s="136"/>
      <c r="I280" s="369"/>
      <c r="J280" s="135"/>
      <c r="K280" s="136"/>
      <c r="L280" s="395"/>
      <c r="M280" s="75">
        <f>SUM(M281:M295)</f>
        <v>4969580</v>
      </c>
      <c r="N280" s="75">
        <f>SUM(N281:N295)</f>
        <v>2220636</v>
      </c>
      <c r="O280" s="432">
        <f aca="true" t="shared" si="34" ref="O280:O295">N280/M280*100</f>
        <v>44.684580990747705</v>
      </c>
      <c r="P280" s="108"/>
      <c r="Q280" s="75"/>
      <c r="R280" s="360"/>
    </row>
    <row r="281" spans="1:18" s="12" customFormat="1" ht="63" customHeight="1">
      <c r="A281" s="181">
        <v>2320</v>
      </c>
      <c r="B281" s="182" t="s">
        <v>569</v>
      </c>
      <c r="C281" s="93">
        <f>15000+1662180+300000</f>
        <v>1977180</v>
      </c>
      <c r="D281" s="94">
        <f t="shared" si="29"/>
        <v>1977180</v>
      </c>
      <c r="E281" s="95">
        <f aca="true" t="shared" si="35" ref="E281:E295">SUM(H281+K281+N281+Q281)</f>
        <v>838590</v>
      </c>
      <c r="F281" s="454">
        <f t="shared" si="28"/>
        <v>42.41343731981914</v>
      </c>
      <c r="G281" s="93"/>
      <c r="H281" s="94"/>
      <c r="I281" s="376"/>
      <c r="J281" s="183"/>
      <c r="K281" s="94"/>
      <c r="L281" s="403"/>
      <c r="M281" s="524">
        <f>15000+1662180+300000</f>
        <v>1977180</v>
      </c>
      <c r="N281" s="94">
        <v>838590</v>
      </c>
      <c r="O281" s="448">
        <f t="shared" si="34"/>
        <v>42.41343731981914</v>
      </c>
      <c r="P281" s="93"/>
      <c r="Q281" s="94"/>
      <c r="R281" s="353"/>
    </row>
    <row r="282" spans="1:18" ht="12.75">
      <c r="A282" s="111">
        <v>4010</v>
      </c>
      <c r="B282" s="115" t="s">
        <v>570</v>
      </c>
      <c r="C282" s="79">
        <v>1034300</v>
      </c>
      <c r="D282" s="65">
        <f t="shared" si="29"/>
        <v>1034300</v>
      </c>
      <c r="E282" s="80">
        <f t="shared" si="35"/>
        <v>517152</v>
      </c>
      <c r="F282" s="452">
        <f t="shared" si="28"/>
        <v>50.00019336749493</v>
      </c>
      <c r="G282" s="79"/>
      <c r="H282" s="80"/>
      <c r="I282" s="356"/>
      <c r="J282" s="113"/>
      <c r="K282" s="80"/>
      <c r="L282" s="379"/>
      <c r="M282" s="141">
        <v>1034300</v>
      </c>
      <c r="N282" s="80">
        <v>517152</v>
      </c>
      <c r="O282" s="426">
        <f t="shared" si="34"/>
        <v>50.00019336749493</v>
      </c>
      <c r="P282" s="79"/>
      <c r="Q282" s="80"/>
      <c r="R282" s="350"/>
    </row>
    <row r="283" spans="1:18" ht="24">
      <c r="A283" s="111">
        <v>4040</v>
      </c>
      <c r="B283" s="115" t="s">
        <v>516</v>
      </c>
      <c r="C283" s="79">
        <v>84300</v>
      </c>
      <c r="D283" s="65">
        <f t="shared" si="29"/>
        <v>84300</v>
      </c>
      <c r="E283" s="80">
        <f t="shared" si="35"/>
        <v>84300</v>
      </c>
      <c r="F283" s="452">
        <f t="shared" si="28"/>
        <v>100</v>
      </c>
      <c r="G283" s="79"/>
      <c r="H283" s="80"/>
      <c r="I283" s="356"/>
      <c r="J283" s="113"/>
      <c r="K283" s="80"/>
      <c r="L283" s="379"/>
      <c r="M283" s="141">
        <v>84300</v>
      </c>
      <c r="N283" s="80">
        <v>84300</v>
      </c>
      <c r="O283" s="426">
        <f t="shared" si="34"/>
        <v>100</v>
      </c>
      <c r="P283" s="79"/>
      <c r="Q283" s="80"/>
      <c r="R283" s="350"/>
    </row>
    <row r="284" spans="1:18" ht="24">
      <c r="A284" s="111">
        <v>4110</v>
      </c>
      <c r="B284" s="115" t="s">
        <v>477</v>
      </c>
      <c r="C284" s="79">
        <v>169900</v>
      </c>
      <c r="D284" s="65">
        <f t="shared" si="29"/>
        <v>169900</v>
      </c>
      <c r="E284" s="80">
        <f t="shared" si="35"/>
        <v>91351</v>
      </c>
      <c r="F284" s="452">
        <f t="shared" si="28"/>
        <v>53.76751030017658</v>
      </c>
      <c r="G284" s="79"/>
      <c r="H284" s="80"/>
      <c r="I284" s="356"/>
      <c r="J284" s="113"/>
      <c r="K284" s="80"/>
      <c r="L284" s="379"/>
      <c r="M284" s="141">
        <v>169900</v>
      </c>
      <c r="N284" s="80">
        <v>91351</v>
      </c>
      <c r="O284" s="426">
        <f t="shared" si="34"/>
        <v>53.76751030017658</v>
      </c>
      <c r="P284" s="79"/>
      <c r="Q284" s="80"/>
      <c r="R284" s="350"/>
    </row>
    <row r="285" spans="1:18" ht="16.5" customHeight="1">
      <c r="A285" s="111">
        <v>4120</v>
      </c>
      <c r="B285" s="115" t="s">
        <v>547</v>
      </c>
      <c r="C285" s="79">
        <v>27400</v>
      </c>
      <c r="D285" s="65">
        <f t="shared" si="29"/>
        <v>27400</v>
      </c>
      <c r="E285" s="80">
        <f t="shared" si="35"/>
        <v>14733</v>
      </c>
      <c r="F285" s="452">
        <f t="shared" si="28"/>
        <v>53.77007299270073</v>
      </c>
      <c r="G285" s="79"/>
      <c r="H285" s="80"/>
      <c r="I285" s="356"/>
      <c r="J285" s="113"/>
      <c r="K285" s="80"/>
      <c r="L285" s="379"/>
      <c r="M285" s="141">
        <v>27400</v>
      </c>
      <c r="N285" s="80">
        <v>14733</v>
      </c>
      <c r="O285" s="426">
        <f t="shared" si="34"/>
        <v>53.77007299270073</v>
      </c>
      <c r="P285" s="79"/>
      <c r="Q285" s="80"/>
      <c r="R285" s="350"/>
    </row>
    <row r="286" spans="1:18" ht="24">
      <c r="A286" s="111">
        <v>4210</v>
      </c>
      <c r="B286" s="115" t="s">
        <v>481</v>
      </c>
      <c r="C286" s="79">
        <v>94000</v>
      </c>
      <c r="D286" s="65">
        <f t="shared" si="29"/>
        <v>94000</v>
      </c>
      <c r="E286" s="80">
        <f t="shared" si="35"/>
        <v>35385</v>
      </c>
      <c r="F286" s="452">
        <f t="shared" si="28"/>
        <v>37.64361702127659</v>
      </c>
      <c r="G286" s="79"/>
      <c r="H286" s="80"/>
      <c r="I286" s="356"/>
      <c r="J286" s="113"/>
      <c r="K286" s="80"/>
      <c r="L286" s="379"/>
      <c r="M286" s="141">
        <v>94000</v>
      </c>
      <c r="N286" s="80">
        <v>35385</v>
      </c>
      <c r="O286" s="426">
        <f t="shared" si="34"/>
        <v>37.64361702127659</v>
      </c>
      <c r="P286" s="79"/>
      <c r="Q286" s="80"/>
      <c r="R286" s="350"/>
    </row>
    <row r="287" spans="1:18" ht="24" customHeight="1">
      <c r="A287" s="111">
        <v>4210</v>
      </c>
      <c r="B287" s="115" t="s">
        <v>231</v>
      </c>
      <c r="C287" s="79">
        <v>100000</v>
      </c>
      <c r="D287" s="65">
        <f t="shared" si="29"/>
        <v>100000</v>
      </c>
      <c r="E287" s="80">
        <f t="shared" si="35"/>
        <v>17618</v>
      </c>
      <c r="F287" s="452">
        <f t="shared" si="28"/>
        <v>17.618000000000002</v>
      </c>
      <c r="G287" s="79"/>
      <c r="H287" s="80"/>
      <c r="I287" s="356"/>
      <c r="J287" s="113"/>
      <c r="K287" s="80"/>
      <c r="L287" s="379"/>
      <c r="M287" s="141">
        <v>100000</v>
      </c>
      <c r="N287" s="80">
        <v>17618</v>
      </c>
      <c r="O287" s="211">
        <f t="shared" si="34"/>
        <v>17.618000000000002</v>
      </c>
      <c r="P287" s="79"/>
      <c r="Q287" s="80"/>
      <c r="R287" s="350"/>
    </row>
    <row r="288" spans="1:18" ht="12.75">
      <c r="A288" s="111">
        <v>4260</v>
      </c>
      <c r="B288" s="115" t="s">
        <v>485</v>
      </c>
      <c r="C288" s="79">
        <v>12500</v>
      </c>
      <c r="D288" s="65">
        <f t="shared" si="29"/>
        <v>12500</v>
      </c>
      <c r="E288" s="80">
        <f t="shared" si="35"/>
        <v>9365</v>
      </c>
      <c r="F288" s="452">
        <f t="shared" si="28"/>
        <v>74.92</v>
      </c>
      <c r="G288" s="79"/>
      <c r="H288" s="80"/>
      <c r="I288" s="356"/>
      <c r="J288" s="113"/>
      <c r="K288" s="80"/>
      <c r="L288" s="379"/>
      <c r="M288" s="141">
        <v>12500</v>
      </c>
      <c r="N288" s="80">
        <v>9365</v>
      </c>
      <c r="O288" s="211">
        <f t="shared" si="34"/>
        <v>74.92</v>
      </c>
      <c r="P288" s="79"/>
      <c r="Q288" s="80"/>
      <c r="R288" s="350"/>
    </row>
    <row r="289" spans="1:18" ht="24">
      <c r="A289" s="111">
        <v>4300</v>
      </c>
      <c r="B289" s="115" t="s">
        <v>489</v>
      </c>
      <c r="C289" s="79">
        <v>220000</v>
      </c>
      <c r="D289" s="65">
        <f t="shared" si="29"/>
        <v>231000</v>
      </c>
      <c r="E289" s="80">
        <f>SUM(H289+K289+N289+Q289)</f>
        <v>118226</v>
      </c>
      <c r="F289" s="452">
        <f>E289/D289*100</f>
        <v>51.18008658008658</v>
      </c>
      <c r="G289" s="79"/>
      <c r="H289" s="80"/>
      <c r="I289" s="356"/>
      <c r="J289" s="113"/>
      <c r="K289" s="80"/>
      <c r="L289" s="379"/>
      <c r="M289" s="141">
        <f>220000+11000</f>
        <v>231000</v>
      </c>
      <c r="N289" s="80">
        <v>118226</v>
      </c>
      <c r="O289" s="211">
        <f t="shared" si="34"/>
        <v>51.18008658008658</v>
      </c>
      <c r="P289" s="79"/>
      <c r="Q289" s="80"/>
      <c r="R289" s="350"/>
    </row>
    <row r="290" spans="1:18" ht="24">
      <c r="A290" s="111">
        <v>4300</v>
      </c>
      <c r="B290" s="115" t="s">
        <v>232</v>
      </c>
      <c r="C290" s="79">
        <v>1130000</v>
      </c>
      <c r="D290" s="65">
        <f t="shared" si="29"/>
        <v>1129515</v>
      </c>
      <c r="E290" s="80">
        <f t="shared" si="35"/>
        <v>443034</v>
      </c>
      <c r="F290" s="452">
        <f t="shared" si="28"/>
        <v>39.22338348760309</v>
      </c>
      <c r="G290" s="79"/>
      <c r="H290" s="80"/>
      <c r="I290" s="356"/>
      <c r="J290" s="113"/>
      <c r="K290" s="80"/>
      <c r="L290" s="379"/>
      <c r="M290" s="141">
        <f>1130000-485</f>
        <v>1129515</v>
      </c>
      <c r="N290" s="80">
        <v>443034</v>
      </c>
      <c r="O290" s="211">
        <f t="shared" si="34"/>
        <v>39.22338348760309</v>
      </c>
      <c r="P290" s="79"/>
      <c r="Q290" s="80"/>
      <c r="R290" s="350"/>
    </row>
    <row r="291" spans="1:18" ht="39.75" customHeight="1">
      <c r="A291" s="159">
        <v>4370</v>
      </c>
      <c r="B291" s="326" t="s">
        <v>286</v>
      </c>
      <c r="C291" s="79">
        <v>52000</v>
      </c>
      <c r="D291" s="65">
        <f t="shared" si="29"/>
        <v>41000</v>
      </c>
      <c r="E291" s="80">
        <f>SUM(H291+K291+N291+Q291)</f>
        <v>20344</v>
      </c>
      <c r="F291" s="452">
        <f>E291/D291*100</f>
        <v>49.61951219512195</v>
      </c>
      <c r="G291" s="79"/>
      <c r="H291" s="80"/>
      <c r="I291" s="356"/>
      <c r="J291" s="113"/>
      <c r="K291" s="80"/>
      <c r="L291" s="379"/>
      <c r="M291" s="207">
        <f>52000-11000</f>
        <v>41000</v>
      </c>
      <c r="N291" s="80">
        <f>20345-1</f>
        <v>20344</v>
      </c>
      <c r="O291" s="211">
        <f t="shared" si="34"/>
        <v>49.61951219512195</v>
      </c>
      <c r="P291" s="79"/>
      <c r="Q291" s="80"/>
      <c r="R291" s="350"/>
    </row>
    <row r="292" spans="1:18" ht="12.75">
      <c r="A292" s="159">
        <v>4580</v>
      </c>
      <c r="B292" s="326" t="s">
        <v>566</v>
      </c>
      <c r="C292" s="79"/>
      <c r="D292" s="65">
        <f>G292+J292+P292+M292</f>
        <v>30</v>
      </c>
      <c r="E292" s="80">
        <f>SUM(H292+K292+N292+Q292)</f>
        <v>30</v>
      </c>
      <c r="F292" s="452">
        <f>E292/D292*100</f>
        <v>100</v>
      </c>
      <c r="G292" s="79"/>
      <c r="H292" s="80"/>
      <c r="I292" s="356"/>
      <c r="J292" s="113"/>
      <c r="K292" s="80"/>
      <c r="L292" s="379"/>
      <c r="M292" s="207">
        <v>30</v>
      </c>
      <c r="N292" s="80">
        <v>30</v>
      </c>
      <c r="O292" s="426">
        <f t="shared" si="34"/>
        <v>100</v>
      </c>
      <c r="P292" s="79"/>
      <c r="Q292" s="80"/>
      <c r="R292" s="350"/>
    </row>
    <row r="293" spans="1:18" ht="36">
      <c r="A293" s="145">
        <v>4590</v>
      </c>
      <c r="B293" s="146" t="s">
        <v>567</v>
      </c>
      <c r="C293" s="147"/>
      <c r="D293" s="148">
        <f>G293+J293+P293+M293</f>
        <v>425</v>
      </c>
      <c r="E293" s="142">
        <f>SUM(H293+K293+N293+Q293)</f>
        <v>425</v>
      </c>
      <c r="F293" s="453">
        <f>E293/D293*100</f>
        <v>100</v>
      </c>
      <c r="G293" s="147"/>
      <c r="H293" s="142"/>
      <c r="I293" s="375"/>
      <c r="J293" s="149"/>
      <c r="K293" s="142"/>
      <c r="L293" s="404"/>
      <c r="M293" s="231">
        <v>425</v>
      </c>
      <c r="N293" s="142">
        <v>425</v>
      </c>
      <c r="O293" s="446">
        <f t="shared" si="34"/>
        <v>100</v>
      </c>
      <c r="P293" s="147"/>
      <c r="Q293" s="142"/>
      <c r="R293" s="354"/>
    </row>
    <row r="294" spans="1:18" ht="36">
      <c r="A294" s="111">
        <v>4610</v>
      </c>
      <c r="B294" s="115" t="s">
        <v>568</v>
      </c>
      <c r="C294" s="79"/>
      <c r="D294" s="65">
        <f>G294+J294+P294+M294</f>
        <v>30</v>
      </c>
      <c r="E294" s="80">
        <f>SUM(H294+K294+N294+Q294)</f>
        <v>30</v>
      </c>
      <c r="F294" s="452">
        <f>E294/D294*100</f>
        <v>100</v>
      </c>
      <c r="G294" s="79"/>
      <c r="H294" s="80"/>
      <c r="I294" s="356"/>
      <c r="J294" s="113"/>
      <c r="K294" s="80"/>
      <c r="L294" s="379"/>
      <c r="M294" s="207">
        <v>30</v>
      </c>
      <c r="N294" s="80">
        <v>30</v>
      </c>
      <c r="O294" s="426">
        <f t="shared" si="34"/>
        <v>100</v>
      </c>
      <c r="P294" s="79"/>
      <c r="Q294" s="80"/>
      <c r="R294" s="350"/>
    </row>
    <row r="295" spans="1:18" ht="36">
      <c r="A295" s="184">
        <v>4750</v>
      </c>
      <c r="B295" s="185" t="s">
        <v>289</v>
      </c>
      <c r="C295" s="147">
        <v>68000</v>
      </c>
      <c r="D295" s="148">
        <f t="shared" si="29"/>
        <v>68000</v>
      </c>
      <c r="E295" s="142">
        <f t="shared" si="35"/>
        <v>30053</v>
      </c>
      <c r="F295" s="453">
        <f t="shared" si="28"/>
        <v>44.19558823529412</v>
      </c>
      <c r="G295" s="147"/>
      <c r="H295" s="142"/>
      <c r="I295" s="375"/>
      <c r="J295" s="149"/>
      <c r="K295" s="142"/>
      <c r="L295" s="404"/>
      <c r="M295" s="142">
        <v>68000</v>
      </c>
      <c r="N295" s="142">
        <v>30053</v>
      </c>
      <c r="O295" s="259">
        <f t="shared" si="34"/>
        <v>44.19558823529412</v>
      </c>
      <c r="P295" s="147"/>
      <c r="Q295" s="142"/>
      <c r="R295" s="354"/>
    </row>
    <row r="296" spans="1:18" ht="12.75">
      <c r="A296" s="106">
        <v>75022</v>
      </c>
      <c r="B296" s="172" t="s">
        <v>571</v>
      </c>
      <c r="C296" s="108">
        <f>SUM(C298:C304)</f>
        <v>521000</v>
      </c>
      <c r="D296" s="86">
        <f t="shared" si="29"/>
        <v>776000</v>
      </c>
      <c r="E296" s="75">
        <f>H296+K296+Q296+N296</f>
        <v>329069</v>
      </c>
      <c r="F296" s="451">
        <f t="shared" si="28"/>
        <v>42.405798969072166</v>
      </c>
      <c r="G296" s="108">
        <f>SUM(G298:G304)</f>
        <v>776000</v>
      </c>
      <c r="H296" s="75">
        <f>SUM(H298:H304)</f>
        <v>329069</v>
      </c>
      <c r="I296" s="301">
        <f>H296/G296*100</f>
        <v>42.405798969072166</v>
      </c>
      <c r="J296" s="110"/>
      <c r="K296" s="75"/>
      <c r="L296" s="406"/>
      <c r="M296" s="75"/>
      <c r="N296" s="75"/>
      <c r="O296" s="301"/>
      <c r="P296" s="108"/>
      <c r="Q296" s="75"/>
      <c r="R296" s="360"/>
    </row>
    <row r="297" spans="1:18" s="11" customFormat="1" ht="10.5" customHeight="1">
      <c r="A297" s="212"/>
      <c r="B297" s="213" t="s">
        <v>572</v>
      </c>
      <c r="C297" s="214">
        <f>SUM(C298:C303)</f>
        <v>505000</v>
      </c>
      <c r="D297" s="215">
        <f t="shared" si="29"/>
        <v>760000</v>
      </c>
      <c r="E297" s="215">
        <f>H297+K297+Q297+N297</f>
        <v>328268</v>
      </c>
      <c r="F297" s="454">
        <f t="shared" si="28"/>
        <v>43.19315789473684</v>
      </c>
      <c r="G297" s="214">
        <f>SUM(G298:G303)</f>
        <v>760000</v>
      </c>
      <c r="H297" s="215">
        <f>SUM(H298:H303)</f>
        <v>328268</v>
      </c>
      <c r="I297" s="289">
        <f>H297/G297*100</f>
        <v>43.19315789473684</v>
      </c>
      <c r="J297" s="216"/>
      <c r="K297" s="215"/>
      <c r="L297" s="392"/>
      <c r="M297" s="215"/>
      <c r="N297" s="215"/>
      <c r="O297" s="379"/>
      <c r="P297" s="214"/>
      <c r="Q297" s="215"/>
      <c r="R297" s="357"/>
    </row>
    <row r="298" spans="1:18" ht="21.75" customHeight="1">
      <c r="A298" s="111">
        <v>3030</v>
      </c>
      <c r="B298" s="115" t="s">
        <v>469</v>
      </c>
      <c r="C298" s="79">
        <v>474000</v>
      </c>
      <c r="D298" s="65">
        <f t="shared" si="29"/>
        <v>729000</v>
      </c>
      <c r="E298" s="80">
        <f aca="true" t="shared" si="36" ref="E298:E303">SUM(H298+K298+N298+Q298)</f>
        <v>324522</v>
      </c>
      <c r="F298" s="452">
        <f t="shared" si="28"/>
        <v>44.51604938271605</v>
      </c>
      <c r="G298" s="79">
        <f>474000+255000</f>
        <v>729000</v>
      </c>
      <c r="H298" s="80">
        <v>324522</v>
      </c>
      <c r="I298" s="211">
        <f aca="true" t="shared" si="37" ref="I298:I361">H298/G298*100</f>
        <v>44.51604938271605</v>
      </c>
      <c r="J298" s="113"/>
      <c r="K298" s="80"/>
      <c r="L298" s="379"/>
      <c r="M298" s="80"/>
      <c r="N298" s="80"/>
      <c r="O298" s="356"/>
      <c r="P298" s="79"/>
      <c r="Q298" s="80"/>
      <c r="R298" s="350"/>
    </row>
    <row r="299" spans="1:18" ht="48" hidden="1">
      <c r="A299" s="111">
        <v>3040</v>
      </c>
      <c r="B299" s="115" t="s">
        <v>573</v>
      </c>
      <c r="C299" s="79"/>
      <c r="D299" s="65">
        <f t="shared" si="29"/>
        <v>0</v>
      </c>
      <c r="E299" s="80">
        <f t="shared" si="36"/>
        <v>0</v>
      </c>
      <c r="F299" s="452" t="e">
        <f t="shared" si="28"/>
        <v>#DIV/0!</v>
      </c>
      <c r="G299" s="79"/>
      <c r="H299" s="80"/>
      <c r="I299" s="211" t="e">
        <f t="shared" si="37"/>
        <v>#DIV/0!</v>
      </c>
      <c r="J299" s="113"/>
      <c r="K299" s="80"/>
      <c r="L299" s="379"/>
      <c r="M299" s="80"/>
      <c r="N299" s="80"/>
      <c r="O299" s="356"/>
      <c r="P299" s="79"/>
      <c r="Q299" s="80"/>
      <c r="R299" s="350"/>
    </row>
    <row r="300" spans="1:18" ht="24.75" customHeight="1">
      <c r="A300" s="111">
        <v>4210</v>
      </c>
      <c r="B300" s="115" t="s">
        <v>481</v>
      </c>
      <c r="C300" s="79">
        <v>10000</v>
      </c>
      <c r="D300" s="65">
        <f t="shared" si="29"/>
        <v>10000</v>
      </c>
      <c r="E300" s="80">
        <f t="shared" si="36"/>
        <v>2898</v>
      </c>
      <c r="F300" s="452">
        <f t="shared" si="28"/>
        <v>28.98</v>
      </c>
      <c r="G300" s="79">
        <v>10000</v>
      </c>
      <c r="H300" s="80">
        <v>2898</v>
      </c>
      <c r="I300" s="211">
        <f t="shared" si="37"/>
        <v>28.98</v>
      </c>
      <c r="J300" s="113"/>
      <c r="K300" s="80"/>
      <c r="L300" s="379"/>
      <c r="M300" s="80"/>
      <c r="N300" s="80"/>
      <c r="O300" s="356"/>
      <c r="P300" s="79"/>
      <c r="Q300" s="80"/>
      <c r="R300" s="350"/>
    </row>
    <row r="301" spans="1:18" ht="15.75" customHeight="1">
      <c r="A301" s="111">
        <v>4300</v>
      </c>
      <c r="B301" s="115" t="s">
        <v>489</v>
      </c>
      <c r="C301" s="79">
        <v>10000</v>
      </c>
      <c r="D301" s="65">
        <f aca="true" t="shared" si="38" ref="D301:D368">G301+J301+P301+M301</f>
        <v>10000</v>
      </c>
      <c r="E301" s="80">
        <f t="shared" si="36"/>
        <v>848</v>
      </c>
      <c r="F301" s="452">
        <f t="shared" si="28"/>
        <v>8.48</v>
      </c>
      <c r="G301" s="79">
        <v>10000</v>
      </c>
      <c r="H301" s="80">
        <v>848</v>
      </c>
      <c r="I301" s="211">
        <f t="shared" si="37"/>
        <v>8.48</v>
      </c>
      <c r="J301" s="113"/>
      <c r="K301" s="80"/>
      <c r="L301" s="379"/>
      <c r="M301" s="80"/>
      <c r="N301" s="80"/>
      <c r="O301" s="356"/>
      <c r="P301" s="79"/>
      <c r="Q301" s="80"/>
      <c r="R301" s="350"/>
    </row>
    <row r="302" spans="1:18" ht="24">
      <c r="A302" s="111">
        <v>4410</v>
      </c>
      <c r="B302" s="115" t="s">
        <v>463</v>
      </c>
      <c r="C302" s="79">
        <v>7000</v>
      </c>
      <c r="D302" s="65">
        <f t="shared" si="38"/>
        <v>7000</v>
      </c>
      <c r="E302" s="80">
        <f t="shared" si="36"/>
        <v>0</v>
      </c>
      <c r="F302" s="452">
        <f t="shared" si="28"/>
        <v>0</v>
      </c>
      <c r="G302" s="79">
        <v>7000</v>
      </c>
      <c r="H302" s="80"/>
      <c r="I302" s="211">
        <f t="shared" si="37"/>
        <v>0</v>
      </c>
      <c r="J302" s="113"/>
      <c r="K302" s="80"/>
      <c r="L302" s="379"/>
      <c r="M302" s="80"/>
      <c r="N302" s="80"/>
      <c r="O302" s="356"/>
      <c r="P302" s="79"/>
      <c r="Q302" s="80"/>
      <c r="R302" s="350"/>
    </row>
    <row r="303" spans="1:18" ht="21.75" customHeight="1">
      <c r="A303" s="111">
        <v>4420</v>
      </c>
      <c r="B303" s="115" t="s">
        <v>532</v>
      </c>
      <c r="C303" s="79">
        <v>4000</v>
      </c>
      <c r="D303" s="65">
        <f t="shared" si="38"/>
        <v>4000</v>
      </c>
      <c r="E303" s="80">
        <f t="shared" si="36"/>
        <v>0</v>
      </c>
      <c r="F303" s="452">
        <f t="shared" si="28"/>
        <v>0</v>
      </c>
      <c r="G303" s="79">
        <v>4000</v>
      </c>
      <c r="H303" s="80"/>
      <c r="I303" s="211">
        <f t="shared" si="37"/>
        <v>0</v>
      </c>
      <c r="J303" s="113"/>
      <c r="K303" s="80"/>
      <c r="L303" s="379"/>
      <c r="M303" s="80"/>
      <c r="N303" s="80"/>
      <c r="O303" s="356"/>
      <c r="P303" s="79"/>
      <c r="Q303" s="80"/>
      <c r="R303" s="350"/>
    </row>
    <row r="304" spans="1:18" s="11" customFormat="1" ht="16.5" customHeight="1">
      <c r="A304" s="212"/>
      <c r="B304" s="213" t="s">
        <v>574</v>
      </c>
      <c r="C304" s="214">
        <f>SUM(C306:C309)</f>
        <v>16000</v>
      </c>
      <c r="D304" s="215">
        <f t="shared" si="38"/>
        <v>16000</v>
      </c>
      <c r="E304" s="215">
        <f>H304+K304+Q304+N304</f>
        <v>801</v>
      </c>
      <c r="F304" s="452">
        <f t="shared" si="28"/>
        <v>5.0062500000000005</v>
      </c>
      <c r="G304" s="214">
        <f>SUM(G305:G309)</f>
        <v>16000</v>
      </c>
      <c r="H304" s="215">
        <f>SUM(H305:H309)</f>
        <v>801</v>
      </c>
      <c r="I304" s="211">
        <f t="shared" si="37"/>
        <v>5.0062500000000005</v>
      </c>
      <c r="J304" s="216"/>
      <c r="K304" s="216"/>
      <c r="L304" s="392"/>
      <c r="M304" s="215"/>
      <c r="N304" s="215"/>
      <c r="O304" s="379"/>
      <c r="P304" s="214"/>
      <c r="Q304" s="215"/>
      <c r="R304" s="357"/>
    </row>
    <row r="305" spans="1:18" s="12" customFormat="1" ht="48" hidden="1">
      <c r="A305" s="159">
        <v>3040</v>
      </c>
      <c r="B305" s="193" t="s">
        <v>573</v>
      </c>
      <c r="C305" s="161"/>
      <c r="D305" s="65">
        <f t="shared" si="38"/>
        <v>0</v>
      </c>
      <c r="E305" s="80">
        <f>SUM(H305+K305+N305+Q305)</f>
        <v>0</v>
      </c>
      <c r="F305" s="452" t="e">
        <f t="shared" si="28"/>
        <v>#DIV/0!</v>
      </c>
      <c r="G305" s="161"/>
      <c r="H305" s="65"/>
      <c r="I305" s="211" t="e">
        <f t="shared" si="37"/>
        <v>#DIV/0!</v>
      </c>
      <c r="J305" s="162"/>
      <c r="K305" s="162"/>
      <c r="L305" s="379"/>
      <c r="M305" s="65"/>
      <c r="N305" s="65"/>
      <c r="O305" s="356"/>
      <c r="P305" s="161"/>
      <c r="Q305" s="65"/>
      <c r="R305" s="350"/>
    </row>
    <row r="306" spans="1:18" ht="23.25" customHeight="1">
      <c r="A306" s="111">
        <v>4210</v>
      </c>
      <c r="B306" s="115" t="s">
        <v>481</v>
      </c>
      <c r="C306" s="79">
        <v>10000</v>
      </c>
      <c r="D306" s="65">
        <f t="shared" si="38"/>
        <v>10000</v>
      </c>
      <c r="E306" s="80">
        <f>SUM(H306+K306+N306+Q306)</f>
        <v>353</v>
      </c>
      <c r="F306" s="452">
        <f t="shared" si="28"/>
        <v>3.53</v>
      </c>
      <c r="G306" s="79">
        <v>10000</v>
      </c>
      <c r="H306" s="80">
        <v>353</v>
      </c>
      <c r="I306" s="211">
        <f t="shared" si="37"/>
        <v>3.53</v>
      </c>
      <c r="J306" s="113"/>
      <c r="K306" s="80"/>
      <c r="L306" s="379"/>
      <c r="M306" s="80"/>
      <c r="N306" s="80"/>
      <c r="O306" s="356"/>
      <c r="P306" s="79"/>
      <c r="Q306" s="80"/>
      <c r="R306" s="350"/>
    </row>
    <row r="307" spans="1:18" ht="12.75" customHeight="1">
      <c r="A307" s="111">
        <v>4300</v>
      </c>
      <c r="B307" s="115" t="s">
        <v>489</v>
      </c>
      <c r="C307" s="79">
        <v>4900</v>
      </c>
      <c r="D307" s="65">
        <f t="shared" si="38"/>
        <v>4778</v>
      </c>
      <c r="E307" s="80">
        <f>SUM(H307+K307+N307+Q307)</f>
        <v>448</v>
      </c>
      <c r="F307" s="452">
        <f t="shared" si="28"/>
        <v>9.376308078694013</v>
      </c>
      <c r="G307" s="79">
        <f>4900-122</f>
        <v>4778</v>
      </c>
      <c r="H307" s="80">
        <v>448</v>
      </c>
      <c r="I307" s="211">
        <f t="shared" si="37"/>
        <v>9.376308078694013</v>
      </c>
      <c r="J307" s="113"/>
      <c r="K307" s="80"/>
      <c r="L307" s="379"/>
      <c r="M307" s="80"/>
      <c r="N307" s="80"/>
      <c r="O307" s="356"/>
      <c r="P307" s="79"/>
      <c r="Q307" s="80"/>
      <c r="R307" s="350"/>
    </row>
    <row r="308" spans="1:18" ht="60" hidden="1">
      <c r="A308" s="111">
        <v>4740</v>
      </c>
      <c r="B308" s="326" t="s">
        <v>288</v>
      </c>
      <c r="C308" s="79"/>
      <c r="D308" s="65">
        <f t="shared" si="38"/>
        <v>0</v>
      </c>
      <c r="E308" s="80">
        <f>SUM(H308+K308+N308+Q308)</f>
        <v>0</v>
      </c>
      <c r="F308" s="452" t="e">
        <f t="shared" si="28"/>
        <v>#DIV/0!</v>
      </c>
      <c r="G308" s="79"/>
      <c r="H308" s="80"/>
      <c r="I308" s="211" t="e">
        <f t="shared" si="37"/>
        <v>#DIV/0!</v>
      </c>
      <c r="J308" s="113"/>
      <c r="K308" s="80"/>
      <c r="L308" s="379"/>
      <c r="M308" s="80"/>
      <c r="N308" s="80"/>
      <c r="O308" s="356"/>
      <c r="P308" s="79"/>
      <c r="Q308" s="80"/>
      <c r="R308" s="350"/>
    </row>
    <row r="309" spans="1:18" ht="15" customHeight="1">
      <c r="A309" s="145">
        <v>4430</v>
      </c>
      <c r="B309" s="146" t="s">
        <v>491</v>
      </c>
      <c r="C309" s="147">
        <v>1100</v>
      </c>
      <c r="D309" s="148">
        <f t="shared" si="38"/>
        <v>1222</v>
      </c>
      <c r="E309" s="142">
        <f>SUM(H309+K309+N309+Q309)</f>
        <v>0</v>
      </c>
      <c r="F309" s="453">
        <f t="shared" si="28"/>
        <v>0</v>
      </c>
      <c r="G309" s="147">
        <f>1100+122</f>
        <v>1222</v>
      </c>
      <c r="H309" s="217"/>
      <c r="I309" s="446">
        <f t="shared" si="37"/>
        <v>0</v>
      </c>
      <c r="J309" s="218"/>
      <c r="K309" s="142"/>
      <c r="L309" s="404"/>
      <c r="M309" s="217"/>
      <c r="N309" s="217"/>
      <c r="O309" s="394"/>
      <c r="P309" s="489"/>
      <c r="Q309" s="217"/>
      <c r="R309" s="363"/>
    </row>
    <row r="310" spans="1:18" ht="12.75">
      <c r="A310" s="106">
        <v>75023</v>
      </c>
      <c r="B310" s="219" t="s">
        <v>575</v>
      </c>
      <c r="C310" s="108">
        <f>SUM(C317:C374)-SUM(C343:C349)+C311-SUM(C331:C335)-SUM(C339:C340)</f>
        <v>24228605</v>
      </c>
      <c r="D310" s="86">
        <f t="shared" si="38"/>
        <v>24848905</v>
      </c>
      <c r="E310" s="75">
        <f>H310+K310+Q310+N310</f>
        <v>10718230</v>
      </c>
      <c r="F310" s="451">
        <f t="shared" si="28"/>
        <v>43.13361091766418</v>
      </c>
      <c r="G310" s="108">
        <f>G311+SUM(G317:G330)+SUM(G336:G338)+SUM(G341:G342)+SUM(G352:G374)</f>
        <v>24848905</v>
      </c>
      <c r="H310" s="75">
        <f>H311+SUM(H317:H330)+SUM(H336:H338)+SUM(H341:H342)+SUM(H352:H374)</f>
        <v>10718230</v>
      </c>
      <c r="I310" s="301">
        <f t="shared" si="37"/>
        <v>43.13361091766418</v>
      </c>
      <c r="J310" s="110"/>
      <c r="K310" s="75"/>
      <c r="L310" s="406"/>
      <c r="M310" s="75"/>
      <c r="N310" s="75"/>
      <c r="O310" s="369"/>
      <c r="P310" s="108"/>
      <c r="Q310" s="75"/>
      <c r="R310" s="360"/>
    </row>
    <row r="311" spans="1:18" s="12" customFormat="1" ht="36">
      <c r="A311" s="159">
        <v>3020</v>
      </c>
      <c r="B311" s="193" t="s">
        <v>538</v>
      </c>
      <c r="C311" s="93">
        <f>SUM(C312:C316)</f>
        <v>184000</v>
      </c>
      <c r="D311" s="65">
        <f t="shared" si="38"/>
        <v>184000</v>
      </c>
      <c r="E311" s="65">
        <f aca="true" t="shared" si="39" ref="E311:E341">SUM(H311+K311+N311+Q311)</f>
        <v>98743</v>
      </c>
      <c r="F311" s="452">
        <f t="shared" si="28"/>
        <v>53.66467391304348</v>
      </c>
      <c r="G311" s="93">
        <f>SUM(G312:G316)</f>
        <v>184000</v>
      </c>
      <c r="H311" s="94">
        <f>SUM(H312:H316)</f>
        <v>98743</v>
      </c>
      <c r="I311" s="211">
        <f t="shared" si="37"/>
        <v>53.66467391304348</v>
      </c>
      <c r="J311" s="183"/>
      <c r="K311" s="94"/>
      <c r="L311" s="403"/>
      <c r="M311" s="94"/>
      <c r="N311" s="94"/>
      <c r="O311" s="376"/>
      <c r="P311" s="93"/>
      <c r="Q311" s="94"/>
      <c r="R311" s="353"/>
    </row>
    <row r="312" spans="1:18" s="11" customFormat="1" ht="15" customHeight="1">
      <c r="A312" s="151"/>
      <c r="B312" s="220" t="s">
        <v>151</v>
      </c>
      <c r="C312" s="153">
        <v>19000</v>
      </c>
      <c r="D312" s="154">
        <f t="shared" si="38"/>
        <v>19000</v>
      </c>
      <c r="E312" s="154">
        <f t="shared" si="39"/>
        <v>8036</v>
      </c>
      <c r="F312" s="452">
        <f t="shared" si="28"/>
        <v>42.294736842105266</v>
      </c>
      <c r="G312" s="153">
        <v>19000</v>
      </c>
      <c r="H312" s="154">
        <v>8036</v>
      </c>
      <c r="I312" s="211">
        <f t="shared" si="37"/>
        <v>42.294736842105266</v>
      </c>
      <c r="J312" s="155"/>
      <c r="K312" s="154"/>
      <c r="L312" s="379"/>
      <c r="M312" s="154"/>
      <c r="N312" s="154"/>
      <c r="O312" s="379"/>
      <c r="P312" s="153"/>
      <c r="Q312" s="154"/>
      <c r="R312" s="357"/>
    </row>
    <row r="313" spans="1:18" s="11" customFormat="1" ht="12.75">
      <c r="A313" s="151"/>
      <c r="B313" s="220" t="s">
        <v>576</v>
      </c>
      <c r="C313" s="153">
        <v>75000</v>
      </c>
      <c r="D313" s="154">
        <f t="shared" si="38"/>
        <v>75000</v>
      </c>
      <c r="E313" s="154">
        <f t="shared" si="39"/>
        <v>60029</v>
      </c>
      <c r="F313" s="452">
        <f t="shared" si="28"/>
        <v>80.03866666666667</v>
      </c>
      <c r="G313" s="153">
        <v>75000</v>
      </c>
      <c r="H313" s="154">
        <v>60029</v>
      </c>
      <c r="I313" s="211">
        <f t="shared" si="37"/>
        <v>80.03866666666667</v>
      </c>
      <c r="J313" s="155"/>
      <c r="K313" s="154"/>
      <c r="L313" s="379"/>
      <c r="M313" s="154"/>
      <c r="N313" s="154"/>
      <c r="O313" s="379"/>
      <c r="P313" s="153"/>
      <c r="Q313" s="154"/>
      <c r="R313" s="357"/>
    </row>
    <row r="314" spans="1:18" s="11" customFormat="1" ht="12.75">
      <c r="A314" s="151"/>
      <c r="B314" s="220" t="s">
        <v>577</v>
      </c>
      <c r="C314" s="153">
        <v>60000</v>
      </c>
      <c r="D314" s="154">
        <f t="shared" si="38"/>
        <v>60000</v>
      </c>
      <c r="E314" s="154">
        <f t="shared" si="39"/>
        <v>23088</v>
      </c>
      <c r="F314" s="452">
        <f t="shared" si="28"/>
        <v>38.48</v>
      </c>
      <c r="G314" s="153">
        <v>60000</v>
      </c>
      <c r="H314" s="154">
        <v>23088</v>
      </c>
      <c r="I314" s="211">
        <f t="shared" si="37"/>
        <v>38.48</v>
      </c>
      <c r="J314" s="155"/>
      <c r="K314" s="154"/>
      <c r="L314" s="379"/>
      <c r="M314" s="154"/>
      <c r="N314" s="154"/>
      <c r="O314" s="379"/>
      <c r="P314" s="153"/>
      <c r="Q314" s="154"/>
      <c r="R314" s="357"/>
    </row>
    <row r="315" spans="1:18" s="11" customFormat="1" ht="12.75" hidden="1">
      <c r="A315" s="151"/>
      <c r="B315" s="220" t="s">
        <v>314</v>
      </c>
      <c r="C315" s="153"/>
      <c r="D315" s="154">
        <f t="shared" si="38"/>
        <v>0</v>
      </c>
      <c r="E315" s="154">
        <f>SUM(H315+K315+N315+Q315)</f>
        <v>0</v>
      </c>
      <c r="F315" s="452" t="e">
        <f>E315/D315*100</f>
        <v>#DIV/0!</v>
      </c>
      <c r="G315" s="153"/>
      <c r="H315" s="154"/>
      <c r="I315" s="211" t="e">
        <f t="shared" si="37"/>
        <v>#DIV/0!</v>
      </c>
      <c r="J315" s="155"/>
      <c r="K315" s="154"/>
      <c r="L315" s="379"/>
      <c r="M315" s="154"/>
      <c r="N315" s="154"/>
      <c r="O315" s="379"/>
      <c r="P315" s="153"/>
      <c r="Q315" s="154"/>
      <c r="R315" s="357"/>
    </row>
    <row r="316" spans="1:18" s="11" customFormat="1" ht="12.75">
      <c r="A316" s="151"/>
      <c r="B316" s="220" t="s">
        <v>578</v>
      </c>
      <c r="C316" s="153">
        <v>30000</v>
      </c>
      <c r="D316" s="154">
        <f t="shared" si="38"/>
        <v>30000</v>
      </c>
      <c r="E316" s="154">
        <f t="shared" si="39"/>
        <v>7590</v>
      </c>
      <c r="F316" s="452">
        <f t="shared" si="28"/>
        <v>25.3</v>
      </c>
      <c r="G316" s="153">
        <v>30000</v>
      </c>
      <c r="H316" s="154">
        <v>7590</v>
      </c>
      <c r="I316" s="211">
        <f t="shared" si="37"/>
        <v>25.3</v>
      </c>
      <c r="J316" s="155"/>
      <c r="K316" s="154"/>
      <c r="L316" s="379"/>
      <c r="M316" s="154"/>
      <c r="N316" s="154"/>
      <c r="O316" s="379"/>
      <c r="P316" s="153"/>
      <c r="Q316" s="154"/>
      <c r="R316" s="357"/>
    </row>
    <row r="317" spans="1:18" ht="24">
      <c r="A317" s="111">
        <v>3030</v>
      </c>
      <c r="B317" s="115" t="s">
        <v>579</v>
      </c>
      <c r="C317" s="79">
        <v>2000</v>
      </c>
      <c r="D317" s="65">
        <f t="shared" si="38"/>
        <v>2000</v>
      </c>
      <c r="E317" s="80">
        <f t="shared" si="39"/>
        <v>0</v>
      </c>
      <c r="F317" s="452">
        <f>E317/D317*100</f>
        <v>0</v>
      </c>
      <c r="G317" s="79">
        <v>2000</v>
      </c>
      <c r="H317" s="80"/>
      <c r="I317" s="211">
        <f t="shared" si="37"/>
        <v>0</v>
      </c>
      <c r="J317" s="113"/>
      <c r="K317" s="80"/>
      <c r="L317" s="379"/>
      <c r="M317" s="80"/>
      <c r="N317" s="80"/>
      <c r="O317" s="356"/>
      <c r="P317" s="79"/>
      <c r="Q317" s="80"/>
      <c r="R317" s="350"/>
    </row>
    <row r="318" spans="1:18" ht="42" customHeight="1">
      <c r="A318" s="111">
        <v>3040</v>
      </c>
      <c r="B318" s="115" t="s">
        <v>313</v>
      </c>
      <c r="C318" s="79">
        <v>7000</v>
      </c>
      <c r="D318" s="65">
        <f>G318+J318+P318+M318</f>
        <v>7000</v>
      </c>
      <c r="E318" s="80">
        <f>SUM(H318+K318+N318+Q318)</f>
        <v>2440</v>
      </c>
      <c r="F318" s="452">
        <f>E318/D318*100</f>
        <v>34.85714285714286</v>
      </c>
      <c r="G318" s="79">
        <v>7000</v>
      </c>
      <c r="H318" s="80">
        <v>2440</v>
      </c>
      <c r="I318" s="211">
        <f t="shared" si="37"/>
        <v>34.85714285714286</v>
      </c>
      <c r="J318" s="113"/>
      <c r="K318" s="80"/>
      <c r="L318" s="379"/>
      <c r="M318" s="80"/>
      <c r="N318" s="80"/>
      <c r="O318" s="356"/>
      <c r="P318" s="79"/>
      <c r="Q318" s="80"/>
      <c r="R318" s="350"/>
    </row>
    <row r="319" spans="1:18" ht="24">
      <c r="A319" s="111">
        <v>4010</v>
      </c>
      <c r="B319" s="115" t="s">
        <v>471</v>
      </c>
      <c r="C319" s="79">
        <v>13555500</v>
      </c>
      <c r="D319" s="65">
        <f t="shared" si="38"/>
        <v>13555500</v>
      </c>
      <c r="E319" s="80">
        <f t="shared" si="39"/>
        <v>6097756</v>
      </c>
      <c r="F319" s="452">
        <f>E319/D319*100</f>
        <v>44.983630260779755</v>
      </c>
      <c r="G319" s="79">
        <v>13555500</v>
      </c>
      <c r="H319" s="80">
        <v>6097756</v>
      </c>
      <c r="I319" s="211">
        <f t="shared" si="37"/>
        <v>44.983630260779755</v>
      </c>
      <c r="J319" s="113"/>
      <c r="K319" s="80"/>
      <c r="L319" s="379"/>
      <c r="M319" s="80"/>
      <c r="N319" s="80"/>
      <c r="O319" s="356"/>
      <c r="P319" s="79"/>
      <c r="Q319" s="80"/>
      <c r="R319" s="350"/>
    </row>
    <row r="320" spans="1:18" ht="24">
      <c r="A320" s="607">
        <v>4040</v>
      </c>
      <c r="B320" s="146" t="s">
        <v>516</v>
      </c>
      <c r="C320" s="147">
        <v>1035500</v>
      </c>
      <c r="D320" s="148">
        <f t="shared" si="38"/>
        <v>1035500</v>
      </c>
      <c r="E320" s="142">
        <f t="shared" si="39"/>
        <v>954141</v>
      </c>
      <c r="F320" s="453">
        <f>E320/D320*100</f>
        <v>92.14302269435055</v>
      </c>
      <c r="G320" s="147">
        <v>1035500</v>
      </c>
      <c r="H320" s="142">
        <v>954141</v>
      </c>
      <c r="I320" s="259">
        <f t="shared" si="37"/>
        <v>92.14302269435055</v>
      </c>
      <c r="J320" s="149"/>
      <c r="K320" s="142"/>
      <c r="L320" s="404"/>
      <c r="M320" s="142"/>
      <c r="N320" s="142"/>
      <c r="O320" s="375"/>
      <c r="P320" s="147"/>
      <c r="Q320" s="142"/>
      <c r="R320" s="354"/>
    </row>
    <row r="321" spans="1:18" ht="24" hidden="1">
      <c r="A321" s="171">
        <v>4100</v>
      </c>
      <c r="B321" s="115" t="s">
        <v>580</v>
      </c>
      <c r="C321" s="79"/>
      <c r="D321" s="65">
        <f t="shared" si="38"/>
        <v>0</v>
      </c>
      <c r="E321" s="80">
        <f t="shared" si="39"/>
        <v>0</v>
      </c>
      <c r="F321" s="452" t="e">
        <f>E321/D321*100</f>
        <v>#DIV/0!</v>
      </c>
      <c r="G321" s="79"/>
      <c r="H321" s="80"/>
      <c r="I321" s="211" t="e">
        <f t="shared" si="37"/>
        <v>#DIV/0!</v>
      </c>
      <c r="J321" s="113"/>
      <c r="K321" s="80"/>
      <c r="L321" s="379"/>
      <c r="M321" s="80"/>
      <c r="N321" s="80"/>
      <c r="O321" s="356"/>
      <c r="P321" s="79"/>
      <c r="Q321" s="80"/>
      <c r="R321" s="350"/>
    </row>
    <row r="322" spans="1:18" ht="36" hidden="1">
      <c r="A322" s="171">
        <v>4100</v>
      </c>
      <c r="B322" s="115" t="s">
        <v>581</v>
      </c>
      <c r="C322" s="79"/>
      <c r="D322" s="65">
        <f t="shared" si="38"/>
        <v>0</v>
      </c>
      <c r="E322" s="80">
        <f t="shared" si="39"/>
        <v>0</v>
      </c>
      <c r="F322" s="452"/>
      <c r="G322" s="79"/>
      <c r="H322" s="80"/>
      <c r="I322" s="211"/>
      <c r="J322" s="113"/>
      <c r="K322" s="80"/>
      <c r="L322" s="379"/>
      <c r="M322" s="80"/>
      <c r="N322" s="80"/>
      <c r="O322" s="356"/>
      <c r="P322" s="79"/>
      <c r="Q322" s="80"/>
      <c r="R322" s="350"/>
    </row>
    <row r="323" spans="1:18" ht="24">
      <c r="A323" s="111">
        <v>4110</v>
      </c>
      <c r="B323" s="115" t="s">
        <v>214</v>
      </c>
      <c r="C323" s="79">
        <v>2179465</v>
      </c>
      <c r="D323" s="65">
        <f t="shared" si="38"/>
        <v>2152865</v>
      </c>
      <c r="E323" s="80">
        <f t="shared" si="39"/>
        <v>913298</v>
      </c>
      <c r="F323" s="452">
        <f aca="true" t="shared" si="40" ref="F323:F342">E323/D323*100</f>
        <v>42.42244636797942</v>
      </c>
      <c r="G323" s="79">
        <f>2179465-23000-3600</f>
        <v>2152865</v>
      </c>
      <c r="H323" s="80">
        <v>913298</v>
      </c>
      <c r="I323" s="211">
        <f t="shared" si="37"/>
        <v>42.42244636797942</v>
      </c>
      <c r="J323" s="113"/>
      <c r="K323" s="80"/>
      <c r="L323" s="379"/>
      <c r="M323" s="80"/>
      <c r="N323" s="80"/>
      <c r="O323" s="356"/>
      <c r="P323" s="79"/>
      <c r="Q323" s="80"/>
      <c r="R323" s="350"/>
    </row>
    <row r="324" spans="1:18" ht="24" hidden="1">
      <c r="A324" s="111">
        <v>4110</v>
      </c>
      <c r="B324" s="115" t="s">
        <v>582</v>
      </c>
      <c r="C324" s="79"/>
      <c r="D324" s="65">
        <f t="shared" si="38"/>
        <v>0</v>
      </c>
      <c r="E324" s="80">
        <f t="shared" si="39"/>
        <v>0</v>
      </c>
      <c r="F324" s="452" t="e">
        <f t="shared" si="40"/>
        <v>#DIV/0!</v>
      </c>
      <c r="G324" s="79"/>
      <c r="H324" s="80"/>
      <c r="I324" s="211" t="e">
        <f t="shared" si="37"/>
        <v>#DIV/0!</v>
      </c>
      <c r="J324" s="113"/>
      <c r="K324" s="80"/>
      <c r="L324" s="379"/>
      <c r="M324" s="80"/>
      <c r="N324" s="80"/>
      <c r="O324" s="356"/>
      <c r="P324" s="79"/>
      <c r="Q324" s="80"/>
      <c r="R324" s="350"/>
    </row>
    <row r="325" spans="1:18" ht="12.75">
      <c r="A325" s="111">
        <v>4120</v>
      </c>
      <c r="B325" s="115" t="s">
        <v>583</v>
      </c>
      <c r="C325" s="79">
        <v>351400</v>
      </c>
      <c r="D325" s="65">
        <f t="shared" si="38"/>
        <v>351400</v>
      </c>
      <c r="E325" s="80">
        <f t="shared" si="39"/>
        <v>145243</v>
      </c>
      <c r="F325" s="452">
        <f t="shared" si="40"/>
        <v>41.332669322709165</v>
      </c>
      <c r="G325" s="79">
        <v>351400</v>
      </c>
      <c r="H325" s="80">
        <v>145243</v>
      </c>
      <c r="I325" s="211">
        <f t="shared" si="37"/>
        <v>41.332669322709165</v>
      </c>
      <c r="J325" s="113"/>
      <c r="K325" s="80"/>
      <c r="L325" s="379"/>
      <c r="M325" s="80"/>
      <c r="N325" s="80"/>
      <c r="O325" s="356"/>
      <c r="P325" s="79"/>
      <c r="Q325" s="80"/>
      <c r="R325" s="350"/>
    </row>
    <row r="326" spans="1:18" ht="12.75" hidden="1">
      <c r="A326" s="111">
        <v>4120</v>
      </c>
      <c r="B326" s="115" t="s">
        <v>584</v>
      </c>
      <c r="C326" s="79"/>
      <c r="D326" s="65">
        <f t="shared" si="38"/>
        <v>0</v>
      </c>
      <c r="E326" s="80">
        <f t="shared" si="39"/>
        <v>0</v>
      </c>
      <c r="F326" s="452" t="e">
        <f t="shared" si="40"/>
        <v>#DIV/0!</v>
      </c>
      <c r="G326" s="79"/>
      <c r="H326" s="80"/>
      <c r="I326" s="211" t="e">
        <f t="shared" si="37"/>
        <v>#DIV/0!</v>
      </c>
      <c r="J326" s="113"/>
      <c r="K326" s="80"/>
      <c r="L326" s="379"/>
      <c r="M326" s="80"/>
      <c r="N326" s="80"/>
      <c r="O326" s="356"/>
      <c r="P326" s="79"/>
      <c r="Q326" s="80"/>
      <c r="R326" s="350"/>
    </row>
    <row r="327" spans="1:18" ht="12.75">
      <c r="A327" s="111">
        <v>4140</v>
      </c>
      <c r="B327" s="115" t="s">
        <v>519</v>
      </c>
      <c r="C327" s="79">
        <v>150000</v>
      </c>
      <c r="D327" s="65">
        <f t="shared" si="38"/>
        <v>150000</v>
      </c>
      <c r="E327" s="80">
        <f t="shared" si="39"/>
        <v>41873</v>
      </c>
      <c r="F327" s="452">
        <f t="shared" si="40"/>
        <v>27.91533333333333</v>
      </c>
      <c r="G327" s="79">
        <v>150000</v>
      </c>
      <c r="H327" s="80">
        <v>41873</v>
      </c>
      <c r="I327" s="211">
        <f t="shared" si="37"/>
        <v>27.91533333333333</v>
      </c>
      <c r="J327" s="113"/>
      <c r="K327" s="80"/>
      <c r="L327" s="379"/>
      <c r="M327" s="80"/>
      <c r="N327" s="80"/>
      <c r="O327" s="356"/>
      <c r="P327" s="79"/>
      <c r="Q327" s="80"/>
      <c r="R327" s="350"/>
    </row>
    <row r="328" spans="1:18" ht="24">
      <c r="A328" s="111">
        <v>4170</v>
      </c>
      <c r="B328" s="115" t="s">
        <v>511</v>
      </c>
      <c r="C328" s="79">
        <v>130000</v>
      </c>
      <c r="D328" s="65">
        <f t="shared" si="38"/>
        <v>130000</v>
      </c>
      <c r="E328" s="80">
        <f t="shared" si="39"/>
        <v>51938</v>
      </c>
      <c r="F328" s="452">
        <f t="shared" si="40"/>
        <v>39.95230769230769</v>
      </c>
      <c r="G328" s="79">
        <v>130000</v>
      </c>
      <c r="H328" s="80">
        <v>51938</v>
      </c>
      <c r="I328" s="211">
        <f t="shared" si="37"/>
        <v>39.95230769230769</v>
      </c>
      <c r="J328" s="113"/>
      <c r="K328" s="80"/>
      <c r="L328" s="379"/>
      <c r="M328" s="80"/>
      <c r="N328" s="80"/>
      <c r="O328" s="356"/>
      <c r="P328" s="79"/>
      <c r="Q328" s="80"/>
      <c r="R328" s="350"/>
    </row>
    <row r="329" spans="1:18" ht="24" hidden="1">
      <c r="A329" s="111">
        <v>4170</v>
      </c>
      <c r="B329" s="115" t="s">
        <v>585</v>
      </c>
      <c r="C329" s="79"/>
      <c r="D329" s="65">
        <f t="shared" si="38"/>
        <v>0</v>
      </c>
      <c r="E329" s="80">
        <f t="shared" si="39"/>
        <v>0</v>
      </c>
      <c r="F329" s="452" t="e">
        <f t="shared" si="40"/>
        <v>#DIV/0!</v>
      </c>
      <c r="G329" s="79"/>
      <c r="H329" s="80"/>
      <c r="I329" s="211" t="e">
        <f t="shared" si="37"/>
        <v>#DIV/0!</v>
      </c>
      <c r="J329" s="113"/>
      <c r="K329" s="80"/>
      <c r="L329" s="379"/>
      <c r="M329" s="80"/>
      <c r="N329" s="80"/>
      <c r="O329" s="356"/>
      <c r="P329" s="79"/>
      <c r="Q329" s="80"/>
      <c r="R329" s="350"/>
    </row>
    <row r="330" spans="1:18" ht="24">
      <c r="A330" s="111">
        <v>4210</v>
      </c>
      <c r="B330" s="115" t="s">
        <v>586</v>
      </c>
      <c r="C330" s="79">
        <f>SUM(C331:C335)</f>
        <v>603000</v>
      </c>
      <c r="D330" s="65">
        <f t="shared" si="38"/>
        <v>723500</v>
      </c>
      <c r="E330" s="65">
        <f t="shared" si="39"/>
        <v>328058</v>
      </c>
      <c r="F330" s="452">
        <f t="shared" si="40"/>
        <v>45.34319281271596</v>
      </c>
      <c r="G330" s="141">
        <f>SUM(G331:G335)</f>
        <v>723500</v>
      </c>
      <c r="H330" s="80">
        <f>SUM(H331:H335)</f>
        <v>328058</v>
      </c>
      <c r="I330" s="211">
        <f t="shared" si="37"/>
        <v>45.34319281271596</v>
      </c>
      <c r="J330" s="113"/>
      <c r="K330" s="80"/>
      <c r="L330" s="379"/>
      <c r="M330" s="80"/>
      <c r="N330" s="80"/>
      <c r="O330" s="356"/>
      <c r="P330" s="79"/>
      <c r="Q330" s="80"/>
      <c r="R330" s="350"/>
    </row>
    <row r="331" spans="1:18" s="11" customFormat="1" ht="17.25" customHeight="1">
      <c r="A331" s="151"/>
      <c r="B331" s="220" t="s">
        <v>151</v>
      </c>
      <c r="C331" s="153">
        <v>450000</v>
      </c>
      <c r="D331" s="154">
        <f t="shared" si="38"/>
        <v>531000</v>
      </c>
      <c r="E331" s="154">
        <f t="shared" si="39"/>
        <v>290342</v>
      </c>
      <c r="F331" s="452">
        <f t="shared" si="40"/>
        <v>54.678342749529186</v>
      </c>
      <c r="G331" s="153">
        <f>450000+55000+26000</f>
        <v>531000</v>
      </c>
      <c r="H331" s="154">
        <v>290342</v>
      </c>
      <c r="I331" s="211">
        <f t="shared" si="37"/>
        <v>54.678342749529186</v>
      </c>
      <c r="J331" s="155"/>
      <c r="K331" s="154"/>
      <c r="L331" s="379"/>
      <c r="M331" s="154"/>
      <c r="N331" s="154"/>
      <c r="O331" s="379"/>
      <c r="P331" s="153"/>
      <c r="Q331" s="154"/>
      <c r="R331" s="357"/>
    </row>
    <row r="332" spans="1:18" s="11" customFormat="1" ht="12.75">
      <c r="A332" s="151"/>
      <c r="B332" s="220" t="s">
        <v>587</v>
      </c>
      <c r="C332" s="153">
        <v>6000</v>
      </c>
      <c r="D332" s="154">
        <f t="shared" si="38"/>
        <v>6000</v>
      </c>
      <c r="E332" s="154">
        <f t="shared" si="39"/>
        <v>1679</v>
      </c>
      <c r="F332" s="452">
        <f t="shared" si="40"/>
        <v>27.98333333333333</v>
      </c>
      <c r="G332" s="153">
        <v>6000</v>
      </c>
      <c r="H332" s="154">
        <v>1679</v>
      </c>
      <c r="I332" s="211">
        <f t="shared" si="37"/>
        <v>27.98333333333333</v>
      </c>
      <c r="J332" s="155"/>
      <c r="K332" s="154"/>
      <c r="L332" s="379"/>
      <c r="M332" s="154"/>
      <c r="N332" s="154"/>
      <c r="O332" s="379"/>
      <c r="P332" s="153"/>
      <c r="Q332" s="154"/>
      <c r="R332" s="357"/>
    </row>
    <row r="333" spans="1:18" s="11" customFormat="1" ht="12.75">
      <c r="A333" s="151"/>
      <c r="B333" s="220" t="s">
        <v>588</v>
      </c>
      <c r="C333" s="153">
        <v>1000</v>
      </c>
      <c r="D333" s="154">
        <f t="shared" si="38"/>
        <v>1000</v>
      </c>
      <c r="E333" s="154">
        <f t="shared" si="39"/>
        <v>854</v>
      </c>
      <c r="F333" s="452">
        <f t="shared" si="40"/>
        <v>85.39999999999999</v>
      </c>
      <c r="G333" s="153">
        <v>1000</v>
      </c>
      <c r="H333" s="154">
        <v>854</v>
      </c>
      <c r="I333" s="211">
        <f t="shared" si="37"/>
        <v>85.39999999999999</v>
      </c>
      <c r="J333" s="155"/>
      <c r="K333" s="154"/>
      <c r="L333" s="379"/>
      <c r="M333" s="154"/>
      <c r="N333" s="154"/>
      <c r="O333" s="379"/>
      <c r="P333" s="153"/>
      <c r="Q333" s="154"/>
      <c r="R333" s="357"/>
    </row>
    <row r="334" spans="1:18" s="11" customFormat="1" ht="12.75">
      <c r="A334" s="151"/>
      <c r="B334" s="220" t="s">
        <v>589</v>
      </c>
      <c r="C334" s="153">
        <v>140000</v>
      </c>
      <c r="D334" s="154">
        <f t="shared" si="38"/>
        <v>180000</v>
      </c>
      <c r="E334" s="154">
        <f t="shared" si="39"/>
        <v>34625</v>
      </c>
      <c r="F334" s="452">
        <f t="shared" si="40"/>
        <v>19.23611111111111</v>
      </c>
      <c r="G334" s="153">
        <f>140000+40000</f>
        <v>180000</v>
      </c>
      <c r="H334" s="154">
        <v>34625</v>
      </c>
      <c r="I334" s="211">
        <f t="shared" si="37"/>
        <v>19.23611111111111</v>
      </c>
      <c r="J334" s="155"/>
      <c r="K334" s="154"/>
      <c r="L334" s="379"/>
      <c r="M334" s="154"/>
      <c r="N334" s="154"/>
      <c r="O334" s="379"/>
      <c r="P334" s="153"/>
      <c r="Q334" s="154"/>
      <c r="R334" s="357"/>
    </row>
    <row r="335" spans="1:18" s="11" customFormat="1" ht="12.75">
      <c r="A335" s="151"/>
      <c r="B335" s="220" t="s">
        <v>590</v>
      </c>
      <c r="C335" s="153">
        <v>6000</v>
      </c>
      <c r="D335" s="154">
        <f t="shared" si="38"/>
        <v>5500</v>
      </c>
      <c r="E335" s="154">
        <f t="shared" si="39"/>
        <v>558</v>
      </c>
      <c r="F335" s="452">
        <f t="shared" si="40"/>
        <v>10.145454545454545</v>
      </c>
      <c r="G335" s="153">
        <f>6000-500</f>
        <v>5500</v>
      </c>
      <c r="H335" s="154">
        <v>558</v>
      </c>
      <c r="I335" s="211">
        <f t="shared" si="37"/>
        <v>10.145454545454545</v>
      </c>
      <c r="J335" s="155"/>
      <c r="K335" s="154"/>
      <c r="L335" s="379"/>
      <c r="M335" s="154"/>
      <c r="N335" s="154"/>
      <c r="O335" s="379"/>
      <c r="P335" s="153"/>
      <c r="Q335" s="154"/>
      <c r="R335" s="357"/>
    </row>
    <row r="336" spans="1:18" ht="27.75" customHeight="1">
      <c r="A336" s="111">
        <v>4240</v>
      </c>
      <c r="B336" s="115" t="s">
        <v>539</v>
      </c>
      <c r="C336" s="79">
        <v>5000</v>
      </c>
      <c r="D336" s="65">
        <f t="shared" si="38"/>
        <v>5000</v>
      </c>
      <c r="E336" s="80">
        <f t="shared" si="39"/>
        <v>2419</v>
      </c>
      <c r="F336" s="452">
        <f t="shared" si="40"/>
        <v>48.38</v>
      </c>
      <c r="G336" s="79">
        <v>5000</v>
      </c>
      <c r="H336" s="80">
        <v>2419</v>
      </c>
      <c r="I336" s="211">
        <f t="shared" si="37"/>
        <v>48.38</v>
      </c>
      <c r="J336" s="113"/>
      <c r="K336" s="80"/>
      <c r="L336" s="379"/>
      <c r="M336" s="80"/>
      <c r="N336" s="80"/>
      <c r="O336" s="356"/>
      <c r="P336" s="79"/>
      <c r="Q336" s="80"/>
      <c r="R336" s="350"/>
    </row>
    <row r="337" spans="1:18" ht="12.75">
      <c r="A337" s="111">
        <v>4260</v>
      </c>
      <c r="B337" s="115" t="s">
        <v>485</v>
      </c>
      <c r="C337" s="79">
        <v>429000</v>
      </c>
      <c r="D337" s="65">
        <f t="shared" si="38"/>
        <v>429000</v>
      </c>
      <c r="E337" s="80">
        <f t="shared" si="39"/>
        <v>278589</v>
      </c>
      <c r="F337" s="452">
        <f t="shared" si="40"/>
        <v>64.93916083916083</v>
      </c>
      <c r="G337" s="79">
        <v>429000</v>
      </c>
      <c r="H337" s="80">
        <v>278589</v>
      </c>
      <c r="I337" s="211">
        <f t="shared" si="37"/>
        <v>64.93916083916083</v>
      </c>
      <c r="J337" s="113"/>
      <c r="K337" s="80"/>
      <c r="L337" s="379"/>
      <c r="M337" s="80"/>
      <c r="N337" s="80"/>
      <c r="O337" s="356"/>
      <c r="P337" s="79"/>
      <c r="Q337" s="80"/>
      <c r="R337" s="350"/>
    </row>
    <row r="338" spans="1:18" ht="15.75" customHeight="1">
      <c r="A338" s="111">
        <v>4270</v>
      </c>
      <c r="B338" s="115" t="s">
        <v>144</v>
      </c>
      <c r="C338" s="79">
        <f>SUM(C339:C340)</f>
        <v>776000</v>
      </c>
      <c r="D338" s="65">
        <f t="shared" si="38"/>
        <v>776000</v>
      </c>
      <c r="E338" s="80">
        <f t="shared" si="39"/>
        <v>113817</v>
      </c>
      <c r="F338" s="452">
        <f t="shared" si="40"/>
        <v>14.667139175257732</v>
      </c>
      <c r="G338" s="79">
        <f>SUM(G339:G340)</f>
        <v>776000</v>
      </c>
      <c r="H338" s="80">
        <f>SUM(H339:H340)</f>
        <v>113817</v>
      </c>
      <c r="I338" s="211">
        <f t="shared" si="37"/>
        <v>14.667139175257732</v>
      </c>
      <c r="J338" s="113"/>
      <c r="K338" s="80"/>
      <c r="L338" s="379"/>
      <c r="M338" s="80"/>
      <c r="N338" s="80"/>
      <c r="O338" s="356"/>
      <c r="P338" s="79"/>
      <c r="Q338" s="80"/>
      <c r="R338" s="350"/>
    </row>
    <row r="339" spans="1:18" s="11" customFormat="1" ht="12">
      <c r="A339" s="151"/>
      <c r="B339" s="220" t="s">
        <v>591</v>
      </c>
      <c r="C339" s="221">
        <v>740000</v>
      </c>
      <c r="D339" s="223">
        <f t="shared" si="38"/>
        <v>740000</v>
      </c>
      <c r="E339" s="223">
        <f t="shared" si="39"/>
        <v>98957</v>
      </c>
      <c r="F339" s="452">
        <f t="shared" si="40"/>
        <v>13.372567567567566</v>
      </c>
      <c r="G339" s="221">
        <v>740000</v>
      </c>
      <c r="H339" s="223">
        <v>98957</v>
      </c>
      <c r="I339" s="211">
        <f t="shared" si="37"/>
        <v>13.372567567567566</v>
      </c>
      <c r="J339" s="224"/>
      <c r="K339" s="223"/>
      <c r="L339" s="379"/>
      <c r="M339" s="223"/>
      <c r="N339" s="223"/>
      <c r="O339" s="379"/>
      <c r="P339" s="221"/>
      <c r="Q339" s="223"/>
      <c r="R339" s="357"/>
    </row>
    <row r="340" spans="1:18" s="11" customFormat="1" ht="12">
      <c r="A340" s="151"/>
      <c r="B340" s="220" t="s">
        <v>589</v>
      </c>
      <c r="C340" s="221">
        <v>36000</v>
      </c>
      <c r="D340" s="223">
        <f t="shared" si="38"/>
        <v>36000</v>
      </c>
      <c r="E340" s="223">
        <f t="shared" si="39"/>
        <v>14860</v>
      </c>
      <c r="F340" s="452">
        <f t="shared" si="40"/>
        <v>41.27777777777778</v>
      </c>
      <c r="G340" s="221">
        <v>36000</v>
      </c>
      <c r="H340" s="223">
        <v>14860</v>
      </c>
      <c r="I340" s="211">
        <f t="shared" si="37"/>
        <v>41.27777777777778</v>
      </c>
      <c r="J340" s="224"/>
      <c r="K340" s="223"/>
      <c r="L340" s="379"/>
      <c r="M340" s="223"/>
      <c r="N340" s="223"/>
      <c r="O340" s="379"/>
      <c r="P340" s="221"/>
      <c r="Q340" s="223"/>
      <c r="R340" s="357"/>
    </row>
    <row r="341" spans="1:18" s="12" customFormat="1" ht="24">
      <c r="A341" s="159">
        <v>4280</v>
      </c>
      <c r="B341" s="193" t="s">
        <v>180</v>
      </c>
      <c r="C341" s="161">
        <v>28000</v>
      </c>
      <c r="D341" s="65">
        <f t="shared" si="38"/>
        <v>28000</v>
      </c>
      <c r="E341" s="65">
        <f t="shared" si="39"/>
        <v>7712</v>
      </c>
      <c r="F341" s="452">
        <f t="shared" si="40"/>
        <v>27.54285714285714</v>
      </c>
      <c r="G341" s="161">
        <v>28000</v>
      </c>
      <c r="H341" s="65">
        <v>7712</v>
      </c>
      <c r="I341" s="211">
        <f t="shared" si="37"/>
        <v>27.54285714285714</v>
      </c>
      <c r="J341" s="162"/>
      <c r="K341" s="222"/>
      <c r="L341" s="379"/>
      <c r="M341" s="222"/>
      <c r="N341" s="222"/>
      <c r="O341" s="356"/>
      <c r="P341" s="225"/>
      <c r="Q341" s="222"/>
      <c r="R341" s="350"/>
    </row>
    <row r="342" spans="1:18" ht="24">
      <c r="A342" s="111">
        <v>4300</v>
      </c>
      <c r="B342" s="115" t="s">
        <v>152</v>
      </c>
      <c r="C342" s="79">
        <f>SUM(C343:C349)</f>
        <v>1133000</v>
      </c>
      <c r="D342" s="65">
        <f t="shared" si="38"/>
        <v>1219500</v>
      </c>
      <c r="E342" s="80">
        <f>H342+K342+Q342+N342</f>
        <v>560276</v>
      </c>
      <c r="F342" s="452">
        <f t="shared" si="40"/>
        <v>45.94309143091431</v>
      </c>
      <c r="G342" s="79">
        <f>SUM(G344:G351)</f>
        <v>1219500</v>
      </c>
      <c r="H342" s="80">
        <f>SUM(H344:H351)</f>
        <v>560276</v>
      </c>
      <c r="I342" s="211">
        <f t="shared" si="37"/>
        <v>45.94309143091431</v>
      </c>
      <c r="J342" s="113"/>
      <c r="K342" s="80"/>
      <c r="L342" s="379"/>
      <c r="M342" s="80"/>
      <c r="N342" s="80"/>
      <c r="O342" s="356"/>
      <c r="P342" s="79"/>
      <c r="Q342" s="80"/>
      <c r="R342" s="350"/>
    </row>
    <row r="343" spans="1:18" s="11" customFormat="1" ht="12.75" hidden="1">
      <c r="A343" s="151"/>
      <c r="B343" s="220" t="s">
        <v>592</v>
      </c>
      <c r="C343" s="221"/>
      <c r="D343" s="65">
        <f t="shared" si="38"/>
        <v>0</v>
      </c>
      <c r="E343" s="80">
        <f>H343+K343+Q343+N343</f>
        <v>0</v>
      </c>
      <c r="F343" s="452"/>
      <c r="G343" s="221"/>
      <c r="H343" s="223"/>
      <c r="I343" s="211"/>
      <c r="J343" s="224"/>
      <c r="K343" s="223"/>
      <c r="L343" s="379"/>
      <c r="M343" s="223"/>
      <c r="N343" s="223"/>
      <c r="O343" s="379"/>
      <c r="P343" s="221"/>
      <c r="Q343" s="223"/>
      <c r="R343" s="357"/>
    </row>
    <row r="344" spans="1:18" s="11" customFormat="1" ht="12">
      <c r="A344" s="151"/>
      <c r="B344" s="220" t="s">
        <v>591</v>
      </c>
      <c r="C344" s="221">
        <v>820000</v>
      </c>
      <c r="D344" s="223">
        <f t="shared" si="38"/>
        <v>905000</v>
      </c>
      <c r="E344" s="222">
        <f aca="true" t="shared" si="41" ref="E344:E389">SUM(H344+K344+N344+Q344)</f>
        <v>440167</v>
      </c>
      <c r="F344" s="452">
        <f>E344/D344*100</f>
        <v>48.63723756906077</v>
      </c>
      <c r="G344" s="221">
        <f>820000+65000+20000</f>
        <v>905000</v>
      </c>
      <c r="H344" s="223">
        <v>440167</v>
      </c>
      <c r="I344" s="211">
        <f t="shared" si="37"/>
        <v>48.63723756906077</v>
      </c>
      <c r="J344" s="224"/>
      <c r="K344" s="223"/>
      <c r="L344" s="379"/>
      <c r="M344" s="223"/>
      <c r="N344" s="223"/>
      <c r="O344" s="379"/>
      <c r="P344" s="221"/>
      <c r="Q344" s="223"/>
      <c r="R344" s="357"/>
    </row>
    <row r="345" spans="1:18" s="11" customFormat="1" ht="12" hidden="1">
      <c r="A345" s="151"/>
      <c r="B345" s="220" t="s">
        <v>576</v>
      </c>
      <c r="C345" s="221"/>
      <c r="D345" s="223">
        <f t="shared" si="38"/>
        <v>0</v>
      </c>
      <c r="E345" s="222">
        <f t="shared" si="41"/>
        <v>0</v>
      </c>
      <c r="F345" s="452" t="e">
        <f>E345/D345*100</f>
        <v>#DIV/0!</v>
      </c>
      <c r="G345" s="221"/>
      <c r="H345" s="223"/>
      <c r="I345" s="211" t="e">
        <f t="shared" si="37"/>
        <v>#DIV/0!</v>
      </c>
      <c r="J345" s="224"/>
      <c r="K345" s="223"/>
      <c r="L345" s="379"/>
      <c r="M345" s="223"/>
      <c r="N345" s="223"/>
      <c r="O345" s="379"/>
      <c r="P345" s="221"/>
      <c r="Q345" s="223"/>
      <c r="R345" s="357"/>
    </row>
    <row r="346" spans="1:18" s="11" customFormat="1" ht="11.25" customHeight="1">
      <c r="A346" s="151"/>
      <c r="B346" s="220" t="s">
        <v>593</v>
      </c>
      <c r="C346" s="221">
        <v>30000</v>
      </c>
      <c r="D346" s="223">
        <f t="shared" si="38"/>
        <v>30000</v>
      </c>
      <c r="E346" s="222">
        <f t="shared" si="41"/>
        <v>1050</v>
      </c>
      <c r="F346" s="452">
        <f>E346/D346*100</f>
        <v>3.5000000000000004</v>
      </c>
      <c r="G346" s="221">
        <v>30000</v>
      </c>
      <c r="H346" s="223">
        <v>1050</v>
      </c>
      <c r="I346" s="211">
        <f t="shared" si="37"/>
        <v>3.5000000000000004</v>
      </c>
      <c r="J346" s="224"/>
      <c r="K346" s="223"/>
      <c r="L346" s="379"/>
      <c r="M346" s="223"/>
      <c r="N346" s="223"/>
      <c r="O346" s="379"/>
      <c r="P346" s="221"/>
      <c r="Q346" s="223"/>
      <c r="R346" s="357"/>
    </row>
    <row r="347" spans="1:18" s="11" customFormat="1" ht="24" hidden="1">
      <c r="A347" s="151"/>
      <c r="B347" s="220" t="s">
        <v>594</v>
      </c>
      <c r="C347" s="221"/>
      <c r="D347" s="223">
        <f t="shared" si="38"/>
        <v>0</v>
      </c>
      <c r="E347" s="222">
        <f t="shared" si="41"/>
        <v>0</v>
      </c>
      <c r="F347" s="452"/>
      <c r="G347" s="221"/>
      <c r="H347" s="223"/>
      <c r="I347" s="211"/>
      <c r="J347" s="224"/>
      <c r="K347" s="223"/>
      <c r="L347" s="379"/>
      <c r="M347" s="223"/>
      <c r="N347" s="223"/>
      <c r="O347" s="379"/>
      <c r="P347" s="221"/>
      <c r="Q347" s="223"/>
      <c r="R347" s="357"/>
    </row>
    <row r="348" spans="1:18" s="11" customFormat="1" ht="12">
      <c r="A348" s="151"/>
      <c r="B348" s="220" t="s">
        <v>578</v>
      </c>
      <c r="C348" s="221"/>
      <c r="D348" s="223">
        <f t="shared" si="38"/>
        <v>500</v>
      </c>
      <c r="E348" s="223">
        <f t="shared" si="41"/>
        <v>24</v>
      </c>
      <c r="F348" s="452">
        <f aca="true" t="shared" si="42" ref="F348:F378">E348/D348*100</f>
        <v>4.8</v>
      </c>
      <c r="G348" s="221">
        <v>500</v>
      </c>
      <c r="H348" s="223">
        <v>24</v>
      </c>
      <c r="I348" s="211">
        <f t="shared" si="37"/>
        <v>4.8</v>
      </c>
      <c r="J348" s="224"/>
      <c r="K348" s="223"/>
      <c r="L348" s="379"/>
      <c r="M348" s="223"/>
      <c r="N348" s="223"/>
      <c r="O348" s="379"/>
      <c r="P348" s="221"/>
      <c r="Q348" s="223"/>
      <c r="R348" s="357"/>
    </row>
    <row r="349" spans="1:18" s="11" customFormat="1" ht="12">
      <c r="A349" s="151"/>
      <c r="B349" s="220" t="s">
        <v>595</v>
      </c>
      <c r="C349" s="221">
        <v>283000</v>
      </c>
      <c r="D349" s="223">
        <f t="shared" si="38"/>
        <v>283000</v>
      </c>
      <c r="E349" s="223">
        <f t="shared" si="41"/>
        <v>119035</v>
      </c>
      <c r="F349" s="452">
        <f t="shared" si="42"/>
        <v>42.061837455830386</v>
      </c>
      <c r="G349" s="221">
        <v>283000</v>
      </c>
      <c r="H349" s="223">
        <v>119035</v>
      </c>
      <c r="I349" s="211">
        <f t="shared" si="37"/>
        <v>42.061837455830386</v>
      </c>
      <c r="J349" s="224"/>
      <c r="K349" s="223"/>
      <c r="L349" s="379"/>
      <c r="M349" s="223"/>
      <c r="N349" s="223"/>
      <c r="O349" s="379"/>
      <c r="P349" s="221"/>
      <c r="Q349" s="223"/>
      <c r="R349" s="357"/>
    </row>
    <row r="350" spans="1:18" s="12" customFormat="1" ht="33.75" customHeight="1" hidden="1">
      <c r="A350" s="159">
        <v>4390</v>
      </c>
      <c r="B350" s="220" t="s">
        <v>595</v>
      </c>
      <c r="C350" s="225"/>
      <c r="D350" s="223">
        <f t="shared" si="38"/>
        <v>0</v>
      </c>
      <c r="E350" s="80">
        <f t="shared" si="41"/>
        <v>0</v>
      </c>
      <c r="F350" s="452" t="e">
        <f t="shared" si="42"/>
        <v>#DIV/0!</v>
      </c>
      <c r="G350" s="221"/>
      <c r="H350" s="222"/>
      <c r="I350" s="211" t="e">
        <f t="shared" si="37"/>
        <v>#DIV/0!</v>
      </c>
      <c r="J350" s="226"/>
      <c r="K350" s="222"/>
      <c r="L350" s="379"/>
      <c r="M350" s="222"/>
      <c r="N350" s="222"/>
      <c r="O350" s="356"/>
      <c r="P350" s="226"/>
      <c r="Q350" s="222"/>
      <c r="R350" s="350"/>
    </row>
    <row r="351" spans="1:18" s="12" customFormat="1" ht="9.75" customHeight="1">
      <c r="A351" s="159"/>
      <c r="B351" s="220" t="s">
        <v>619</v>
      </c>
      <c r="C351" s="225">
        <v>1000</v>
      </c>
      <c r="D351" s="223">
        <f t="shared" si="38"/>
        <v>1000</v>
      </c>
      <c r="E351" s="80"/>
      <c r="F351" s="452">
        <f t="shared" si="42"/>
        <v>0</v>
      </c>
      <c r="G351" s="221">
        <v>1000</v>
      </c>
      <c r="H351" s="222"/>
      <c r="I351" s="211">
        <f t="shared" si="37"/>
        <v>0</v>
      </c>
      <c r="J351" s="226"/>
      <c r="K351" s="222"/>
      <c r="L351" s="379"/>
      <c r="M351" s="222"/>
      <c r="N351" s="222"/>
      <c r="O351" s="356"/>
      <c r="P351" s="226"/>
      <c r="Q351" s="222"/>
      <c r="R351" s="350"/>
    </row>
    <row r="352" spans="1:18" ht="24">
      <c r="A352" s="111">
        <v>4350</v>
      </c>
      <c r="B352" s="115" t="s">
        <v>252</v>
      </c>
      <c r="C352" s="79">
        <v>18000</v>
      </c>
      <c r="D352" s="65">
        <f t="shared" si="38"/>
        <v>18000</v>
      </c>
      <c r="E352" s="80">
        <f t="shared" si="41"/>
        <v>7744</v>
      </c>
      <c r="F352" s="452">
        <f t="shared" si="42"/>
        <v>43.022222222222226</v>
      </c>
      <c r="G352" s="79">
        <v>18000</v>
      </c>
      <c r="H352" s="80">
        <v>7744</v>
      </c>
      <c r="I352" s="211">
        <f t="shared" si="37"/>
        <v>43.022222222222226</v>
      </c>
      <c r="J352" s="113"/>
      <c r="K352" s="80"/>
      <c r="L352" s="379"/>
      <c r="M352" s="80"/>
      <c r="N352" s="80"/>
      <c r="O352" s="356"/>
      <c r="P352" s="80"/>
      <c r="Q352" s="80"/>
      <c r="R352" s="350"/>
    </row>
    <row r="353" spans="1:18" ht="22.5" customHeight="1" hidden="1">
      <c r="A353" s="111">
        <v>4350</v>
      </c>
      <c r="B353" s="115" t="s">
        <v>253</v>
      </c>
      <c r="C353" s="79"/>
      <c r="D353" s="65">
        <f t="shared" si="38"/>
        <v>0</v>
      </c>
      <c r="E353" s="80">
        <f t="shared" si="41"/>
        <v>0</v>
      </c>
      <c r="F353" s="452" t="e">
        <f t="shared" si="42"/>
        <v>#DIV/0!</v>
      </c>
      <c r="G353" s="79"/>
      <c r="H353" s="80"/>
      <c r="I353" s="426" t="e">
        <f t="shared" si="37"/>
        <v>#DIV/0!</v>
      </c>
      <c r="J353" s="113"/>
      <c r="K353" s="80"/>
      <c r="L353" s="379"/>
      <c r="M353" s="80"/>
      <c r="N353" s="80"/>
      <c r="O353" s="356"/>
      <c r="P353" s="80"/>
      <c r="Q353" s="80"/>
      <c r="R353" s="350"/>
    </row>
    <row r="354" spans="1:18" ht="40.5" customHeight="1">
      <c r="A354" s="159">
        <v>4360</v>
      </c>
      <c r="B354" s="326" t="s">
        <v>291</v>
      </c>
      <c r="C354" s="79">
        <v>76000</v>
      </c>
      <c r="D354" s="65">
        <f>G354+J354+P354+M354</f>
        <v>76000</v>
      </c>
      <c r="E354" s="80">
        <f>SUM(H354+K354+N354+Q354)</f>
        <v>25991</v>
      </c>
      <c r="F354" s="452">
        <f>E354/D354*100</f>
        <v>34.19868421052632</v>
      </c>
      <c r="G354" s="79">
        <v>76000</v>
      </c>
      <c r="H354" s="80">
        <v>25991</v>
      </c>
      <c r="I354" s="211">
        <f t="shared" si="37"/>
        <v>34.19868421052632</v>
      </c>
      <c r="J354" s="113"/>
      <c r="K354" s="80"/>
      <c r="L354" s="379"/>
      <c r="M354" s="80"/>
      <c r="N354" s="80"/>
      <c r="O354" s="356"/>
      <c r="P354" s="80"/>
      <c r="Q354" s="80"/>
      <c r="R354" s="350"/>
    </row>
    <row r="355" spans="1:18" ht="39.75" customHeight="1">
      <c r="A355" s="159">
        <v>4370</v>
      </c>
      <c r="B355" s="326" t="s">
        <v>292</v>
      </c>
      <c r="C355" s="79">
        <v>182000</v>
      </c>
      <c r="D355" s="65">
        <f>G355+J355+P355+M355</f>
        <v>162000</v>
      </c>
      <c r="E355" s="80">
        <f>SUM(H355+K355+N355+Q355)</f>
        <v>70728</v>
      </c>
      <c r="F355" s="452">
        <f>E355/D355*100</f>
        <v>43.65925925925926</v>
      </c>
      <c r="G355" s="79">
        <f>182000-20000</f>
        <v>162000</v>
      </c>
      <c r="H355" s="80">
        <v>70728</v>
      </c>
      <c r="I355" s="211">
        <f t="shared" si="37"/>
        <v>43.65925925925926</v>
      </c>
      <c r="J355" s="113"/>
      <c r="K355" s="80"/>
      <c r="L355" s="379"/>
      <c r="M355" s="80"/>
      <c r="N355" s="80"/>
      <c r="O355" s="356"/>
      <c r="P355" s="80"/>
      <c r="Q355" s="80"/>
      <c r="R355" s="350"/>
    </row>
    <row r="356" spans="1:18" ht="41.25" customHeight="1">
      <c r="A356" s="145">
        <v>4390</v>
      </c>
      <c r="B356" s="146" t="s">
        <v>408</v>
      </c>
      <c r="C356" s="147">
        <v>12200</v>
      </c>
      <c r="D356" s="148">
        <f>G356+J356+P356+M356</f>
        <v>12200</v>
      </c>
      <c r="E356" s="142">
        <f>SUM(H356+K356+N356+Q356)</f>
        <v>12200</v>
      </c>
      <c r="F356" s="453">
        <f>E356/D356*100</f>
        <v>100</v>
      </c>
      <c r="G356" s="147">
        <v>12200</v>
      </c>
      <c r="H356" s="142">
        <v>12200</v>
      </c>
      <c r="I356" s="446">
        <f t="shared" si="37"/>
        <v>100</v>
      </c>
      <c r="J356" s="149"/>
      <c r="K356" s="142"/>
      <c r="L356" s="404"/>
      <c r="M356" s="142"/>
      <c r="N356" s="142"/>
      <c r="O356" s="375"/>
      <c r="P356" s="142"/>
      <c r="Q356" s="142"/>
      <c r="R356" s="354"/>
    </row>
    <row r="357" spans="1:18" ht="39" customHeight="1">
      <c r="A357" s="111">
        <v>4390</v>
      </c>
      <c r="B357" s="115" t="s">
        <v>416</v>
      </c>
      <c r="C357" s="79">
        <v>12000</v>
      </c>
      <c r="D357" s="65">
        <f>G357+J357+P357+M357</f>
        <v>12000</v>
      </c>
      <c r="E357" s="80">
        <f>SUM(H357+K357+N357+Q357)</f>
        <v>0</v>
      </c>
      <c r="F357" s="452">
        <f>E357/D357*100</f>
        <v>0</v>
      </c>
      <c r="G357" s="79">
        <v>12000</v>
      </c>
      <c r="H357" s="80"/>
      <c r="I357" s="426">
        <f t="shared" si="37"/>
        <v>0</v>
      </c>
      <c r="J357" s="113"/>
      <c r="K357" s="80"/>
      <c r="L357" s="379"/>
      <c r="M357" s="80"/>
      <c r="N357" s="80"/>
      <c r="O357" s="356"/>
      <c r="P357" s="80"/>
      <c r="Q357" s="80"/>
      <c r="R357" s="350"/>
    </row>
    <row r="358" spans="1:18" ht="24">
      <c r="A358" s="111">
        <v>4400</v>
      </c>
      <c r="B358" s="115" t="s">
        <v>287</v>
      </c>
      <c r="C358" s="79">
        <v>11300</v>
      </c>
      <c r="D358" s="65">
        <f>G358+J358+P358+M358</f>
        <v>11300</v>
      </c>
      <c r="E358" s="80">
        <f>SUM(H358+K358+N358+Q358)</f>
        <v>3246</v>
      </c>
      <c r="F358" s="452">
        <f>E358/D358*100</f>
        <v>28.72566371681416</v>
      </c>
      <c r="G358" s="79">
        <v>11300</v>
      </c>
      <c r="H358" s="80">
        <v>3246</v>
      </c>
      <c r="I358" s="211">
        <f t="shared" si="37"/>
        <v>28.72566371681416</v>
      </c>
      <c r="J358" s="113"/>
      <c r="K358" s="80"/>
      <c r="L358" s="379"/>
      <c r="M358" s="80"/>
      <c r="N358" s="80"/>
      <c r="O358" s="356"/>
      <c r="P358" s="80"/>
      <c r="Q358" s="80"/>
      <c r="R358" s="350"/>
    </row>
    <row r="359" spans="1:18" ht="24">
      <c r="A359" s="111">
        <v>4410</v>
      </c>
      <c r="B359" s="115" t="s">
        <v>463</v>
      </c>
      <c r="C359" s="79">
        <v>181000</v>
      </c>
      <c r="D359" s="65">
        <f t="shared" si="38"/>
        <v>181000</v>
      </c>
      <c r="E359" s="80">
        <f t="shared" si="41"/>
        <v>116230</v>
      </c>
      <c r="F359" s="452">
        <f t="shared" si="42"/>
        <v>64.21546961325967</v>
      </c>
      <c r="G359" s="79">
        <v>181000</v>
      </c>
      <c r="H359" s="80">
        <v>116230</v>
      </c>
      <c r="I359" s="211">
        <f t="shared" si="37"/>
        <v>64.21546961325967</v>
      </c>
      <c r="J359" s="113"/>
      <c r="K359" s="80"/>
      <c r="L359" s="379"/>
      <c r="M359" s="80"/>
      <c r="N359" s="80"/>
      <c r="O359" s="356"/>
      <c r="P359" s="80"/>
      <c r="Q359" s="80"/>
      <c r="R359" s="350"/>
    </row>
    <row r="360" spans="1:18" ht="24">
      <c r="A360" s="111">
        <v>4420</v>
      </c>
      <c r="B360" s="115" t="s">
        <v>596</v>
      </c>
      <c r="C360" s="79">
        <v>90000</v>
      </c>
      <c r="D360" s="65">
        <f t="shared" si="38"/>
        <v>90000</v>
      </c>
      <c r="E360" s="80">
        <f t="shared" si="41"/>
        <v>40381</v>
      </c>
      <c r="F360" s="452">
        <f t="shared" si="42"/>
        <v>44.86777777777778</v>
      </c>
      <c r="G360" s="79">
        <v>90000</v>
      </c>
      <c r="H360" s="80">
        <v>40381</v>
      </c>
      <c r="I360" s="211">
        <f t="shared" si="37"/>
        <v>44.86777777777778</v>
      </c>
      <c r="J360" s="113"/>
      <c r="K360" s="80"/>
      <c r="L360" s="379"/>
      <c r="M360" s="80"/>
      <c r="N360" s="80"/>
      <c r="O360" s="356"/>
      <c r="P360" s="80"/>
      <c r="Q360" s="80"/>
      <c r="R360" s="350"/>
    </row>
    <row r="361" spans="1:18" ht="24" hidden="1">
      <c r="A361" s="111">
        <v>4430</v>
      </c>
      <c r="B361" s="115" t="s">
        <v>428</v>
      </c>
      <c r="C361" s="79"/>
      <c r="D361" s="65">
        <f>G361+J361+P361+M361</f>
        <v>0</v>
      </c>
      <c r="E361" s="80">
        <f>SUM(H361+K361+N361+Q361)</f>
        <v>0</v>
      </c>
      <c r="F361" s="452" t="e">
        <f>E361/D361*100</f>
        <v>#DIV/0!</v>
      </c>
      <c r="G361" s="79"/>
      <c r="H361" s="80"/>
      <c r="I361" s="211" t="e">
        <f t="shared" si="37"/>
        <v>#DIV/0!</v>
      </c>
      <c r="J361" s="113"/>
      <c r="K361" s="80"/>
      <c r="L361" s="379"/>
      <c r="M361" s="80"/>
      <c r="N361" s="80"/>
      <c r="O361" s="356"/>
      <c r="P361" s="80"/>
      <c r="Q361" s="80"/>
      <c r="R361" s="350"/>
    </row>
    <row r="362" spans="1:18" ht="17.25" customHeight="1">
      <c r="A362" s="111">
        <v>4430</v>
      </c>
      <c r="B362" s="115" t="s">
        <v>233</v>
      </c>
      <c r="C362" s="79">
        <v>131000</v>
      </c>
      <c r="D362" s="65">
        <f t="shared" si="38"/>
        <v>231000</v>
      </c>
      <c r="E362" s="80">
        <f t="shared" si="41"/>
        <v>99784</v>
      </c>
      <c r="F362" s="452">
        <f t="shared" si="42"/>
        <v>43.1965367965368</v>
      </c>
      <c r="G362" s="79">
        <f>131000+100000</f>
        <v>231000</v>
      </c>
      <c r="H362" s="80">
        <v>99784</v>
      </c>
      <c r="I362" s="211">
        <f aca="true" t="shared" si="43" ref="I362:I376">H362/G362*100</f>
        <v>43.1965367965368</v>
      </c>
      <c r="J362" s="113"/>
      <c r="K362" s="80"/>
      <c r="L362" s="379"/>
      <c r="M362" s="80"/>
      <c r="N362" s="80"/>
      <c r="O362" s="356"/>
      <c r="P362" s="80"/>
      <c r="Q362" s="80"/>
      <c r="R362" s="350"/>
    </row>
    <row r="363" spans="1:18" ht="20.25" customHeight="1">
      <c r="A363" s="111">
        <v>4430</v>
      </c>
      <c r="B363" s="115" t="s">
        <v>428</v>
      </c>
      <c r="C363" s="79">
        <v>3000</v>
      </c>
      <c r="D363" s="65">
        <f t="shared" si="38"/>
        <v>3000</v>
      </c>
      <c r="E363" s="80">
        <f>SUM(H363+K363+N363+Q363)</f>
        <v>40</v>
      </c>
      <c r="F363" s="452">
        <f t="shared" si="42"/>
        <v>1.3333333333333335</v>
      </c>
      <c r="G363" s="79">
        <v>3000</v>
      </c>
      <c r="H363" s="80">
        <v>40</v>
      </c>
      <c r="I363" s="211">
        <f t="shared" si="43"/>
        <v>1.3333333333333335</v>
      </c>
      <c r="J363" s="113"/>
      <c r="K363" s="80"/>
      <c r="L363" s="379"/>
      <c r="M363" s="80"/>
      <c r="N363" s="80"/>
      <c r="O363" s="356"/>
      <c r="P363" s="80"/>
      <c r="Q363" s="80"/>
      <c r="R363" s="350"/>
    </row>
    <row r="364" spans="1:18" ht="14.25" customHeight="1">
      <c r="A364" s="111">
        <v>4440</v>
      </c>
      <c r="B364" s="115" t="s">
        <v>493</v>
      </c>
      <c r="C364" s="79">
        <v>334240</v>
      </c>
      <c r="D364" s="65">
        <f t="shared" si="38"/>
        <v>334240</v>
      </c>
      <c r="E364" s="80">
        <f t="shared" si="41"/>
        <v>250680</v>
      </c>
      <c r="F364" s="452">
        <f t="shared" si="42"/>
        <v>75</v>
      </c>
      <c r="G364" s="79">
        <v>334240</v>
      </c>
      <c r="H364" s="80">
        <v>250680</v>
      </c>
      <c r="I364" s="426">
        <f t="shared" si="43"/>
        <v>75</v>
      </c>
      <c r="J364" s="113"/>
      <c r="K364" s="80"/>
      <c r="L364" s="379"/>
      <c r="M364" s="80"/>
      <c r="N364" s="80"/>
      <c r="O364" s="356"/>
      <c r="P364" s="80"/>
      <c r="Q364" s="80"/>
      <c r="R364" s="350"/>
    </row>
    <row r="365" spans="1:18" ht="14.25" customHeight="1" hidden="1">
      <c r="A365" s="111">
        <v>4580</v>
      </c>
      <c r="B365" s="115" t="s">
        <v>525</v>
      </c>
      <c r="C365" s="79"/>
      <c r="D365" s="65">
        <f>G365+J365+P365+M365</f>
        <v>0</v>
      </c>
      <c r="E365" s="80">
        <f>SUM(H365+K365+N365+Q365)</f>
        <v>0</v>
      </c>
      <c r="F365" s="452" t="e">
        <f t="shared" si="42"/>
        <v>#DIV/0!</v>
      </c>
      <c r="G365" s="79"/>
      <c r="H365" s="80"/>
      <c r="I365" s="426" t="e">
        <f t="shared" si="43"/>
        <v>#DIV/0!</v>
      </c>
      <c r="J365" s="113"/>
      <c r="K365" s="80"/>
      <c r="L365" s="379"/>
      <c r="M365" s="80"/>
      <c r="N365" s="80"/>
      <c r="O365" s="356"/>
      <c r="P365" s="80"/>
      <c r="Q365" s="80"/>
      <c r="R365" s="350"/>
    </row>
    <row r="366" spans="1:18" ht="36" hidden="1">
      <c r="A366" s="111">
        <v>4590</v>
      </c>
      <c r="B366" s="115" t="s">
        <v>331</v>
      </c>
      <c r="C366" s="79"/>
      <c r="D366" s="65">
        <f t="shared" si="38"/>
        <v>0</v>
      </c>
      <c r="E366" s="80">
        <f t="shared" si="41"/>
        <v>0</v>
      </c>
      <c r="F366" s="452" t="e">
        <f t="shared" si="42"/>
        <v>#DIV/0!</v>
      </c>
      <c r="G366" s="79"/>
      <c r="H366" s="80"/>
      <c r="I366" s="211" t="e">
        <f t="shared" si="43"/>
        <v>#DIV/0!</v>
      </c>
      <c r="J366" s="113"/>
      <c r="K366" s="80"/>
      <c r="L366" s="379"/>
      <c r="M366" s="80"/>
      <c r="N366" s="80"/>
      <c r="O366" s="356"/>
      <c r="P366" s="80"/>
      <c r="Q366" s="80"/>
      <c r="R366" s="350"/>
    </row>
    <row r="367" spans="1:18" ht="24" hidden="1">
      <c r="A367" s="111">
        <v>4610</v>
      </c>
      <c r="B367" s="115" t="s">
        <v>597</v>
      </c>
      <c r="C367" s="79"/>
      <c r="D367" s="65">
        <f t="shared" si="38"/>
        <v>0</v>
      </c>
      <c r="E367" s="80">
        <f t="shared" si="41"/>
        <v>0</v>
      </c>
      <c r="F367" s="452" t="e">
        <f t="shared" si="42"/>
        <v>#DIV/0!</v>
      </c>
      <c r="G367" s="79"/>
      <c r="H367" s="80"/>
      <c r="I367" s="211" t="e">
        <f t="shared" si="43"/>
        <v>#DIV/0!</v>
      </c>
      <c r="J367" s="113"/>
      <c r="K367" s="80"/>
      <c r="L367" s="379"/>
      <c r="M367" s="80"/>
      <c r="N367" s="80"/>
      <c r="O367" s="356"/>
      <c r="P367" s="80"/>
      <c r="Q367" s="80"/>
      <c r="R367" s="350"/>
    </row>
    <row r="368" spans="1:18" ht="24" hidden="1">
      <c r="A368" s="111">
        <v>4610</v>
      </c>
      <c r="B368" s="115" t="s">
        <v>290</v>
      </c>
      <c r="C368" s="79"/>
      <c r="D368" s="65">
        <f t="shared" si="38"/>
        <v>0</v>
      </c>
      <c r="E368" s="80">
        <f>SUM(H368+K368+N368+Q368)</f>
        <v>0</v>
      </c>
      <c r="F368" s="452" t="e">
        <f>E368/D368*100</f>
        <v>#DIV/0!</v>
      </c>
      <c r="G368" s="79"/>
      <c r="H368" s="80"/>
      <c r="I368" s="211" t="e">
        <f t="shared" si="43"/>
        <v>#DIV/0!</v>
      </c>
      <c r="J368" s="113"/>
      <c r="K368" s="80"/>
      <c r="L368" s="379"/>
      <c r="M368" s="80"/>
      <c r="N368" s="80"/>
      <c r="O368" s="356"/>
      <c r="P368" s="80"/>
      <c r="Q368" s="80"/>
      <c r="R368" s="350"/>
    </row>
    <row r="369" spans="1:18" ht="24" hidden="1">
      <c r="A369" s="111">
        <v>4610</v>
      </c>
      <c r="B369" s="115" t="s">
        <v>598</v>
      </c>
      <c r="C369" s="79"/>
      <c r="D369" s="65">
        <f aca="true" t="shared" si="44" ref="D369:E455">G369+J369+P369+M369</f>
        <v>0</v>
      </c>
      <c r="E369" s="80">
        <f t="shared" si="41"/>
        <v>0</v>
      </c>
      <c r="F369" s="452" t="e">
        <f t="shared" si="42"/>
        <v>#DIV/0!</v>
      </c>
      <c r="G369" s="79"/>
      <c r="H369" s="80"/>
      <c r="I369" s="211" t="e">
        <f t="shared" si="43"/>
        <v>#DIV/0!</v>
      </c>
      <c r="J369" s="113"/>
      <c r="K369" s="80"/>
      <c r="L369" s="379"/>
      <c r="M369" s="80"/>
      <c r="N369" s="80"/>
      <c r="O369" s="356"/>
      <c r="P369" s="80"/>
      <c r="Q369" s="80"/>
      <c r="R369" s="350"/>
    </row>
    <row r="370" spans="1:18" ht="36">
      <c r="A370" s="159">
        <v>4700</v>
      </c>
      <c r="B370" s="326" t="s">
        <v>284</v>
      </c>
      <c r="C370" s="79">
        <v>123000</v>
      </c>
      <c r="D370" s="65">
        <f t="shared" si="44"/>
        <v>123000</v>
      </c>
      <c r="E370" s="80">
        <f>SUM(H370+K370+N370+Q370)</f>
        <v>85056</v>
      </c>
      <c r="F370" s="452">
        <f>E370/D370*100</f>
        <v>69.15121951219511</v>
      </c>
      <c r="G370" s="79">
        <v>123000</v>
      </c>
      <c r="H370" s="80">
        <v>85056</v>
      </c>
      <c r="I370" s="211">
        <f t="shared" si="43"/>
        <v>69.15121951219511</v>
      </c>
      <c r="J370" s="113"/>
      <c r="K370" s="80"/>
      <c r="L370" s="379"/>
      <c r="M370" s="80"/>
      <c r="N370" s="80"/>
      <c r="O370" s="356"/>
      <c r="P370" s="80"/>
      <c r="Q370" s="80"/>
      <c r="R370" s="350"/>
    </row>
    <row r="371" spans="1:18" ht="54" customHeight="1">
      <c r="A371" s="159">
        <v>4740</v>
      </c>
      <c r="B371" s="326" t="s">
        <v>288</v>
      </c>
      <c r="C371" s="79">
        <v>73000</v>
      </c>
      <c r="D371" s="65">
        <f t="shared" si="44"/>
        <v>73000</v>
      </c>
      <c r="E371" s="80">
        <f>SUM(H371+K371+N371+Q371)</f>
        <v>25352</v>
      </c>
      <c r="F371" s="452">
        <f>E371/D371*100</f>
        <v>34.728767123287675</v>
      </c>
      <c r="G371" s="79">
        <v>73000</v>
      </c>
      <c r="H371" s="80">
        <v>25352</v>
      </c>
      <c r="I371" s="211">
        <f t="shared" si="43"/>
        <v>34.728767123287675</v>
      </c>
      <c r="J371" s="113"/>
      <c r="K371" s="80"/>
      <c r="L371" s="379"/>
      <c r="M371" s="80"/>
      <c r="N371" s="80"/>
      <c r="O371" s="356"/>
      <c r="P371" s="80"/>
      <c r="Q371" s="80"/>
      <c r="R371" s="350"/>
    </row>
    <row r="372" spans="1:18" ht="48">
      <c r="A372" s="159">
        <v>4750</v>
      </c>
      <c r="B372" s="326" t="s">
        <v>320</v>
      </c>
      <c r="C372" s="79">
        <v>240000</v>
      </c>
      <c r="D372" s="65">
        <f t="shared" si="44"/>
        <v>240000</v>
      </c>
      <c r="E372" s="80">
        <f>SUM(H372+K372+N372+Q372)</f>
        <v>81155</v>
      </c>
      <c r="F372" s="452">
        <f>E372/D372*100</f>
        <v>33.81458333333333</v>
      </c>
      <c r="G372" s="79">
        <v>240000</v>
      </c>
      <c r="H372" s="80">
        <v>81155</v>
      </c>
      <c r="I372" s="211">
        <f t="shared" si="43"/>
        <v>33.81458333333333</v>
      </c>
      <c r="J372" s="113"/>
      <c r="K372" s="80"/>
      <c r="L372" s="379"/>
      <c r="M372" s="80"/>
      <c r="N372" s="80"/>
      <c r="O372" s="356"/>
      <c r="P372" s="80"/>
      <c r="Q372" s="80"/>
      <c r="R372" s="350"/>
    </row>
    <row r="373" spans="1:18" ht="24">
      <c r="A373" s="111">
        <v>6050</v>
      </c>
      <c r="B373" s="115" t="s">
        <v>333</v>
      </c>
      <c r="C373" s="79">
        <v>835000</v>
      </c>
      <c r="D373" s="65">
        <f>G373+J373+P373+M373</f>
        <v>1143600</v>
      </c>
      <c r="E373" s="80">
        <f>SUM(H373+K373+N373+Q373)</f>
        <v>58547</v>
      </c>
      <c r="F373" s="452">
        <f>E373/D373*100</f>
        <v>5.119534802378454</v>
      </c>
      <c r="G373" s="79">
        <f>835000+58600+250000</f>
        <v>1143600</v>
      </c>
      <c r="H373" s="80">
        <v>58547</v>
      </c>
      <c r="I373" s="211">
        <f t="shared" si="43"/>
        <v>5.119534802378454</v>
      </c>
      <c r="J373" s="113"/>
      <c r="K373" s="80"/>
      <c r="L373" s="379"/>
      <c r="M373" s="80"/>
      <c r="N373" s="80"/>
      <c r="O373" s="356"/>
      <c r="P373" s="80"/>
      <c r="Q373" s="80"/>
      <c r="R373" s="350"/>
    </row>
    <row r="374" spans="1:18" ht="36">
      <c r="A374" s="111">
        <v>6060</v>
      </c>
      <c r="B374" s="115" t="s">
        <v>599</v>
      </c>
      <c r="C374" s="79">
        <f>SUM(C375:C377)</f>
        <v>1337000</v>
      </c>
      <c r="D374" s="65">
        <f t="shared" si="44"/>
        <v>1389300</v>
      </c>
      <c r="E374" s="80">
        <f t="shared" si="41"/>
        <v>244793</v>
      </c>
      <c r="F374" s="452">
        <f t="shared" si="42"/>
        <v>17.619880515367452</v>
      </c>
      <c r="G374" s="79">
        <f>SUM(G375:G377)</f>
        <v>1389300</v>
      </c>
      <c r="H374" s="80">
        <f>SUM(H375:H377)</f>
        <v>244793</v>
      </c>
      <c r="I374" s="211">
        <f t="shared" si="43"/>
        <v>17.619880515367452</v>
      </c>
      <c r="J374" s="113"/>
      <c r="K374" s="80"/>
      <c r="L374" s="379"/>
      <c r="M374" s="80"/>
      <c r="N374" s="80"/>
      <c r="O374" s="356"/>
      <c r="P374" s="80"/>
      <c r="Q374" s="80"/>
      <c r="R374" s="350"/>
    </row>
    <row r="375" spans="1:18" s="11" customFormat="1" ht="12.75">
      <c r="A375" s="151"/>
      <c r="B375" s="220" t="s">
        <v>591</v>
      </c>
      <c r="C375" s="153">
        <v>505000</v>
      </c>
      <c r="D375" s="154">
        <f>G375+J375+P375+M375</f>
        <v>557300</v>
      </c>
      <c r="E375" s="154">
        <f>SUM(H375+K375+N375+Q375)</f>
        <v>230251</v>
      </c>
      <c r="F375" s="452">
        <f>E375/D375*100</f>
        <v>41.31544948860578</v>
      </c>
      <c r="G375" s="153">
        <f>505000+95300-43000</f>
        <v>557300</v>
      </c>
      <c r="H375" s="154">
        <v>230251</v>
      </c>
      <c r="I375" s="211">
        <f t="shared" si="43"/>
        <v>41.31544948860578</v>
      </c>
      <c r="J375" s="155"/>
      <c r="K375" s="154"/>
      <c r="L375" s="379"/>
      <c r="M375" s="154"/>
      <c r="N375" s="154"/>
      <c r="O375" s="379"/>
      <c r="P375" s="155"/>
      <c r="Q375" s="154"/>
      <c r="R375" s="357"/>
    </row>
    <row r="376" spans="1:18" s="11" customFormat="1" ht="12.75" hidden="1">
      <c r="A376" s="151"/>
      <c r="B376" s="220" t="s">
        <v>576</v>
      </c>
      <c r="C376" s="153"/>
      <c r="D376" s="154">
        <f>G376+J376+P376+M376</f>
        <v>0</v>
      </c>
      <c r="E376" s="154">
        <f>SUM(H376+K376+N376+Q376)</f>
        <v>0</v>
      </c>
      <c r="F376" s="452" t="e">
        <f>E376/D376*100</f>
        <v>#DIV/0!</v>
      </c>
      <c r="G376" s="153"/>
      <c r="H376" s="154"/>
      <c r="I376" s="211" t="e">
        <f t="shared" si="43"/>
        <v>#DIV/0!</v>
      </c>
      <c r="J376" s="155"/>
      <c r="K376" s="154"/>
      <c r="L376" s="379"/>
      <c r="M376" s="154"/>
      <c r="N376" s="154"/>
      <c r="O376" s="379"/>
      <c r="P376" s="155"/>
      <c r="Q376" s="154"/>
      <c r="R376" s="357"/>
    </row>
    <row r="377" spans="1:18" s="11" customFormat="1" ht="12.75">
      <c r="A377" s="427"/>
      <c r="B377" s="428" t="s">
        <v>589</v>
      </c>
      <c r="C377" s="429">
        <v>832000</v>
      </c>
      <c r="D377" s="430">
        <f>G377+J377+P377+M377</f>
        <v>832000</v>
      </c>
      <c r="E377" s="430">
        <f>SUM(H377+K377+N377+Q377)</f>
        <v>14542</v>
      </c>
      <c r="F377" s="453">
        <f>E377/D377*100</f>
        <v>1.7478365384615384</v>
      </c>
      <c r="G377" s="429">
        <v>832000</v>
      </c>
      <c r="H377" s="430">
        <v>14542</v>
      </c>
      <c r="I377" s="259">
        <f>H377/G377*100</f>
        <v>1.7478365384615384</v>
      </c>
      <c r="J377" s="431"/>
      <c r="K377" s="430"/>
      <c r="L377" s="404"/>
      <c r="M377" s="430"/>
      <c r="N377" s="430"/>
      <c r="O377" s="404"/>
      <c r="P377" s="431"/>
      <c r="Q377" s="430"/>
      <c r="R377" s="416"/>
    </row>
    <row r="378" spans="1:18" s="228" customFormat="1" ht="16.5" customHeight="1">
      <c r="A378" s="227">
        <v>75045</v>
      </c>
      <c r="B378" s="172" t="s">
        <v>600</v>
      </c>
      <c r="C378" s="108">
        <f>SUM(C379:C393)</f>
        <v>42500</v>
      </c>
      <c r="D378" s="86">
        <f t="shared" si="44"/>
        <v>42500</v>
      </c>
      <c r="E378" s="86">
        <f>H378+K378+Q378+N378</f>
        <v>37474</v>
      </c>
      <c r="F378" s="451">
        <f t="shared" si="42"/>
        <v>88.17411764705882</v>
      </c>
      <c r="G378" s="108"/>
      <c r="H378" s="75"/>
      <c r="I378" s="369"/>
      <c r="J378" s="110"/>
      <c r="K378" s="75"/>
      <c r="L378" s="406"/>
      <c r="M378" s="75">
        <f>SUM(M379:M393)</f>
        <v>3000</v>
      </c>
      <c r="N378" s="75">
        <f>SUM(N379:N393)</f>
        <v>0</v>
      </c>
      <c r="O378" s="395">
        <f>N378/M378*100</f>
        <v>0</v>
      </c>
      <c r="P378" s="110">
        <f>SUM(P379:P393)</f>
        <v>39500</v>
      </c>
      <c r="Q378" s="75">
        <f>SUM(Q379:Q393)</f>
        <v>37474</v>
      </c>
      <c r="R378" s="432">
        <f aca="true" t="shared" si="45" ref="R378:R389">Q378/P378*100</f>
        <v>94.87088607594937</v>
      </c>
    </row>
    <row r="379" spans="1:18" s="228" customFormat="1" ht="24" customHeight="1" hidden="1">
      <c r="A379" s="229">
        <v>3030</v>
      </c>
      <c r="B379" s="115" t="s">
        <v>469</v>
      </c>
      <c r="C379" s="161"/>
      <c r="D379" s="65">
        <f t="shared" si="44"/>
        <v>0</v>
      </c>
      <c r="E379" s="80">
        <f t="shared" si="41"/>
        <v>0</v>
      </c>
      <c r="F379" s="452"/>
      <c r="G379" s="168"/>
      <c r="H379" s="169"/>
      <c r="I379" s="356"/>
      <c r="J379" s="170"/>
      <c r="K379" s="169"/>
      <c r="L379" s="392"/>
      <c r="M379" s="169"/>
      <c r="N379" s="169"/>
      <c r="O379" s="356"/>
      <c r="P379" s="205"/>
      <c r="Q379" s="80"/>
      <c r="R379" s="426"/>
    </row>
    <row r="380" spans="1:18" s="228" customFormat="1" ht="23.25" customHeight="1">
      <c r="A380" s="229">
        <v>4010</v>
      </c>
      <c r="B380" s="115" t="s">
        <v>471</v>
      </c>
      <c r="C380" s="79">
        <v>10000</v>
      </c>
      <c r="D380" s="65">
        <f t="shared" si="44"/>
        <v>11200</v>
      </c>
      <c r="E380" s="80">
        <f t="shared" si="41"/>
        <v>11001</v>
      </c>
      <c r="F380" s="452">
        <f aca="true" t="shared" si="46" ref="F380:F442">E380/D380*100</f>
        <v>98.22321428571429</v>
      </c>
      <c r="G380" s="79"/>
      <c r="H380" s="80"/>
      <c r="I380" s="356"/>
      <c r="J380" s="113"/>
      <c r="K380" s="80"/>
      <c r="L380" s="379"/>
      <c r="M380" s="80"/>
      <c r="N380" s="80"/>
      <c r="O380" s="356"/>
      <c r="P380" s="141">
        <f>10000+1200</f>
        <v>11200</v>
      </c>
      <c r="Q380" s="80">
        <f>11002-1</f>
        <v>11001</v>
      </c>
      <c r="R380" s="426">
        <f t="shared" si="45"/>
        <v>98.22321428571429</v>
      </c>
    </row>
    <row r="381" spans="1:18" s="228" customFormat="1" ht="24" customHeight="1">
      <c r="A381" s="229">
        <v>4110</v>
      </c>
      <c r="B381" s="115" t="s">
        <v>477</v>
      </c>
      <c r="C381" s="79">
        <v>1700</v>
      </c>
      <c r="D381" s="65">
        <f t="shared" si="44"/>
        <v>1800</v>
      </c>
      <c r="E381" s="80">
        <f t="shared" si="41"/>
        <v>1671</v>
      </c>
      <c r="F381" s="452">
        <f t="shared" si="46"/>
        <v>92.83333333333333</v>
      </c>
      <c r="G381" s="79"/>
      <c r="H381" s="80"/>
      <c r="I381" s="356"/>
      <c r="J381" s="113"/>
      <c r="K381" s="80"/>
      <c r="L381" s="379"/>
      <c r="M381" s="80"/>
      <c r="N381" s="80"/>
      <c r="O381" s="356"/>
      <c r="P381" s="141">
        <f>1700+100</f>
        <v>1800</v>
      </c>
      <c r="Q381" s="80">
        <v>1671</v>
      </c>
      <c r="R381" s="426">
        <f t="shared" si="45"/>
        <v>92.83333333333333</v>
      </c>
    </row>
    <row r="382" spans="1:18" s="228" customFormat="1" ht="12" customHeight="1">
      <c r="A382" s="229">
        <v>4120</v>
      </c>
      <c r="B382" s="115" t="s">
        <v>553</v>
      </c>
      <c r="C382" s="79">
        <v>300</v>
      </c>
      <c r="D382" s="65">
        <f t="shared" si="44"/>
        <v>400</v>
      </c>
      <c r="E382" s="80">
        <f t="shared" si="41"/>
        <v>270</v>
      </c>
      <c r="F382" s="452">
        <f t="shared" si="46"/>
        <v>67.5</v>
      </c>
      <c r="G382" s="79"/>
      <c r="H382" s="80"/>
      <c r="I382" s="356"/>
      <c r="J382" s="113"/>
      <c r="K382" s="80"/>
      <c r="L382" s="379"/>
      <c r="M382" s="80"/>
      <c r="N382" s="80"/>
      <c r="O382" s="356"/>
      <c r="P382" s="141">
        <f>300+100</f>
        <v>400</v>
      </c>
      <c r="Q382" s="80">
        <v>270</v>
      </c>
      <c r="R382" s="426">
        <f t="shared" si="45"/>
        <v>67.5</v>
      </c>
    </row>
    <row r="383" spans="1:18" s="228" customFormat="1" ht="24">
      <c r="A383" s="230">
        <v>4170</v>
      </c>
      <c r="B383" s="146" t="s">
        <v>511</v>
      </c>
      <c r="C383" s="147">
        <v>11000</v>
      </c>
      <c r="D383" s="148">
        <f t="shared" si="44"/>
        <v>11000</v>
      </c>
      <c r="E383" s="142">
        <f t="shared" si="41"/>
        <v>10660</v>
      </c>
      <c r="F383" s="453">
        <f t="shared" si="46"/>
        <v>96.9090909090909</v>
      </c>
      <c r="G383" s="147"/>
      <c r="H383" s="142"/>
      <c r="I383" s="375"/>
      <c r="J383" s="149"/>
      <c r="K383" s="142"/>
      <c r="L383" s="404"/>
      <c r="M383" s="142"/>
      <c r="N383" s="142"/>
      <c r="O383" s="467"/>
      <c r="P383" s="608">
        <v>11000</v>
      </c>
      <c r="Q383" s="142">
        <v>10660</v>
      </c>
      <c r="R383" s="446">
        <f t="shared" si="45"/>
        <v>96.9090909090909</v>
      </c>
    </row>
    <row r="384" spans="1:18" s="228" customFormat="1" ht="24">
      <c r="A384" s="229">
        <v>4170</v>
      </c>
      <c r="B384" s="115" t="s">
        <v>412</v>
      </c>
      <c r="C384" s="79">
        <v>1000</v>
      </c>
      <c r="D384" s="65">
        <f>G384+J384+P384+M384</f>
        <v>1000</v>
      </c>
      <c r="E384" s="80">
        <f>SUM(H384+K384+N384+Q384)</f>
        <v>428</v>
      </c>
      <c r="F384" s="452">
        <f>E384/D384*100</f>
        <v>42.8</v>
      </c>
      <c r="G384" s="79"/>
      <c r="H384" s="80"/>
      <c r="I384" s="356"/>
      <c r="J384" s="113"/>
      <c r="K384" s="80"/>
      <c r="L384" s="379"/>
      <c r="M384" s="80"/>
      <c r="N384" s="80"/>
      <c r="O384" s="211"/>
      <c r="P384" s="141">
        <v>1000</v>
      </c>
      <c r="Q384" s="80">
        <v>428</v>
      </c>
      <c r="R384" s="426">
        <f t="shared" si="45"/>
        <v>42.8</v>
      </c>
    </row>
    <row r="385" spans="1:18" s="228" customFormat="1" ht="12.75">
      <c r="A385" s="229">
        <v>4190</v>
      </c>
      <c r="B385" s="115" t="s">
        <v>342</v>
      </c>
      <c r="C385" s="79"/>
      <c r="D385" s="65">
        <f>G385+J385+P385+M385</f>
        <v>1800</v>
      </c>
      <c r="E385" s="80">
        <f>SUM(H385+K385+N385+Q385)</f>
        <v>1800</v>
      </c>
      <c r="F385" s="452">
        <f>E385/D385*100</f>
        <v>100</v>
      </c>
      <c r="G385" s="79"/>
      <c r="H385" s="80"/>
      <c r="I385" s="356"/>
      <c r="J385" s="113"/>
      <c r="K385" s="80"/>
      <c r="L385" s="379"/>
      <c r="M385" s="80"/>
      <c r="N385" s="80"/>
      <c r="O385" s="211"/>
      <c r="P385" s="141">
        <v>1800</v>
      </c>
      <c r="Q385" s="80">
        <v>1800</v>
      </c>
      <c r="R385" s="426">
        <f t="shared" si="45"/>
        <v>100</v>
      </c>
    </row>
    <row r="386" spans="1:18" s="228" customFormat="1" ht="25.5" customHeight="1">
      <c r="A386" s="229">
        <v>4210</v>
      </c>
      <c r="B386" s="115" t="s">
        <v>481</v>
      </c>
      <c r="C386" s="79">
        <v>6000</v>
      </c>
      <c r="D386" s="65">
        <f t="shared" si="44"/>
        <v>2600</v>
      </c>
      <c r="E386" s="80">
        <f t="shared" si="41"/>
        <v>2551</v>
      </c>
      <c r="F386" s="452">
        <f t="shared" si="46"/>
        <v>98.11538461538461</v>
      </c>
      <c r="G386" s="79"/>
      <c r="H386" s="80"/>
      <c r="I386" s="356"/>
      <c r="J386" s="113"/>
      <c r="K386" s="80"/>
      <c r="L386" s="379"/>
      <c r="M386" s="80"/>
      <c r="N386" s="80"/>
      <c r="O386" s="211"/>
      <c r="P386" s="141">
        <f>6000-1000-1400-1000</f>
        <v>2600</v>
      </c>
      <c r="Q386" s="80">
        <v>2551</v>
      </c>
      <c r="R386" s="426">
        <f t="shared" si="45"/>
        <v>98.11538461538461</v>
      </c>
    </row>
    <row r="387" spans="1:18" s="228" customFormat="1" ht="16.5" customHeight="1" hidden="1">
      <c r="A387" s="229">
        <v>4270</v>
      </c>
      <c r="B387" s="115" t="s">
        <v>487</v>
      </c>
      <c r="C387" s="79"/>
      <c r="D387" s="65">
        <f t="shared" si="44"/>
        <v>0</v>
      </c>
      <c r="E387" s="80">
        <f t="shared" si="41"/>
        <v>0</v>
      </c>
      <c r="F387" s="452" t="e">
        <f t="shared" si="46"/>
        <v>#DIV/0!</v>
      </c>
      <c r="G387" s="79"/>
      <c r="H387" s="80"/>
      <c r="I387" s="356"/>
      <c r="J387" s="113"/>
      <c r="K387" s="80"/>
      <c r="L387" s="379"/>
      <c r="M387" s="80"/>
      <c r="N387" s="80"/>
      <c r="O387" s="211" t="e">
        <f>N387/M387*100</f>
        <v>#DIV/0!</v>
      </c>
      <c r="P387" s="141"/>
      <c r="Q387" s="80"/>
      <c r="R387" s="426" t="e">
        <f t="shared" si="45"/>
        <v>#DIV/0!</v>
      </c>
    </row>
    <row r="388" spans="1:18" s="228" customFormat="1" ht="24.75" customHeight="1">
      <c r="A388" s="229">
        <v>4300</v>
      </c>
      <c r="B388" s="115" t="s">
        <v>421</v>
      </c>
      <c r="C388" s="79">
        <v>4500</v>
      </c>
      <c r="D388" s="65">
        <f t="shared" si="44"/>
        <v>4500</v>
      </c>
      <c r="E388" s="80">
        <f t="shared" si="41"/>
        <v>3934</v>
      </c>
      <c r="F388" s="452">
        <f t="shared" si="46"/>
        <v>87.42222222222222</v>
      </c>
      <c r="G388" s="79"/>
      <c r="H388" s="80"/>
      <c r="I388" s="356"/>
      <c r="J388" s="113"/>
      <c r="K388" s="80"/>
      <c r="L388" s="379"/>
      <c r="M388" s="80"/>
      <c r="N388" s="80"/>
      <c r="O388" s="211"/>
      <c r="P388" s="141">
        <v>4500</v>
      </c>
      <c r="Q388" s="80">
        <v>3934</v>
      </c>
      <c r="R388" s="426">
        <f t="shared" si="45"/>
        <v>87.42222222222222</v>
      </c>
    </row>
    <row r="389" spans="1:18" s="228" customFormat="1" ht="18" customHeight="1">
      <c r="A389" s="229">
        <v>4300</v>
      </c>
      <c r="B389" s="115" t="s">
        <v>502</v>
      </c>
      <c r="C389" s="79">
        <v>8000</v>
      </c>
      <c r="D389" s="65">
        <f t="shared" si="44"/>
        <v>8200</v>
      </c>
      <c r="E389" s="80">
        <f t="shared" si="41"/>
        <v>5159</v>
      </c>
      <c r="F389" s="452">
        <f t="shared" si="46"/>
        <v>62.91463414634146</v>
      </c>
      <c r="G389" s="79"/>
      <c r="H389" s="80"/>
      <c r="I389" s="356"/>
      <c r="J389" s="113"/>
      <c r="K389" s="113"/>
      <c r="L389" s="379"/>
      <c r="M389" s="80">
        <v>3000</v>
      </c>
      <c r="N389" s="80"/>
      <c r="O389" s="211">
        <f>N389/M389*100</f>
        <v>0</v>
      </c>
      <c r="P389" s="207">
        <f>5000+1000-800</f>
        <v>5200</v>
      </c>
      <c r="Q389" s="80">
        <v>5159</v>
      </c>
      <c r="R389" s="426">
        <f t="shared" si="45"/>
        <v>99.21153846153847</v>
      </c>
    </row>
    <row r="390" spans="1:18" s="228" customFormat="1" ht="48" hidden="1">
      <c r="A390" s="229">
        <v>4370</v>
      </c>
      <c r="B390" s="326" t="s">
        <v>296</v>
      </c>
      <c r="C390" s="79"/>
      <c r="D390" s="65">
        <f>G390+J390+P390+M390</f>
        <v>0</v>
      </c>
      <c r="E390" s="80">
        <f>SUM(H390+K390+N390+Q390)</f>
        <v>0</v>
      </c>
      <c r="F390" s="452" t="e">
        <f>E390/D390*100</f>
        <v>#DIV/0!</v>
      </c>
      <c r="G390" s="79"/>
      <c r="H390" s="80"/>
      <c r="I390" s="356"/>
      <c r="J390" s="113"/>
      <c r="K390" s="113"/>
      <c r="L390" s="379"/>
      <c r="M390" s="80"/>
      <c r="N390" s="80"/>
      <c r="O390" s="211"/>
      <c r="P390" s="207"/>
      <c r="Q390" s="80"/>
      <c r="R390" s="211"/>
    </row>
    <row r="391" spans="1:18" s="228" customFormat="1" ht="60" hidden="1">
      <c r="A391" s="159">
        <v>4740</v>
      </c>
      <c r="B391" s="326" t="s">
        <v>288</v>
      </c>
      <c r="C391" s="79"/>
      <c r="D391" s="65">
        <f>G391+J391+P391+M391</f>
        <v>0</v>
      </c>
      <c r="E391" s="80">
        <f>SUM(H391+K391+N391+Q391)</f>
        <v>0</v>
      </c>
      <c r="F391" s="452" t="e">
        <f>E391/D391*100</f>
        <v>#DIV/0!</v>
      </c>
      <c r="G391" s="79"/>
      <c r="H391" s="80"/>
      <c r="I391" s="356"/>
      <c r="J391" s="113"/>
      <c r="K391" s="113"/>
      <c r="L391" s="379"/>
      <c r="M391" s="80"/>
      <c r="N391" s="80"/>
      <c r="O391" s="211"/>
      <c r="P391" s="207"/>
      <c r="Q391" s="80"/>
      <c r="R391" s="426"/>
    </row>
    <row r="392" spans="1:18" s="228" customFormat="1" ht="36" hidden="1">
      <c r="A392" s="159">
        <v>4750</v>
      </c>
      <c r="B392" s="326" t="s">
        <v>289</v>
      </c>
      <c r="C392" s="79"/>
      <c r="D392" s="65">
        <f>G392+J392+P392+M392</f>
        <v>0</v>
      </c>
      <c r="E392" s="80">
        <f>SUM(H392+K392+N392+Q392)</f>
        <v>0</v>
      </c>
      <c r="F392" s="452" t="e">
        <f>E392/D392*100</f>
        <v>#DIV/0!</v>
      </c>
      <c r="G392" s="79"/>
      <c r="H392" s="80"/>
      <c r="I392" s="356"/>
      <c r="J392" s="113"/>
      <c r="K392" s="113"/>
      <c r="L392" s="379"/>
      <c r="M392" s="80"/>
      <c r="N392" s="80"/>
      <c r="O392" s="211"/>
      <c r="P392" s="207"/>
      <c r="Q392" s="80"/>
      <c r="R392" s="426"/>
    </row>
    <row r="393" spans="1:18" s="228" customFormat="1" ht="14.25" customHeight="1" hidden="1">
      <c r="A393" s="230">
        <v>4410</v>
      </c>
      <c r="B393" s="146" t="s">
        <v>463</v>
      </c>
      <c r="C393" s="147"/>
      <c r="D393" s="65">
        <f>G393+J393+P393+M393</f>
        <v>0</v>
      </c>
      <c r="E393" s="80">
        <f>SUM(H393+K393+N393+Q393)</f>
        <v>0</v>
      </c>
      <c r="F393" s="452"/>
      <c r="G393" s="147"/>
      <c r="H393" s="142"/>
      <c r="I393" s="375"/>
      <c r="J393" s="149"/>
      <c r="K393" s="149"/>
      <c r="L393" s="404"/>
      <c r="M393" s="142"/>
      <c r="N393" s="142"/>
      <c r="O393" s="259"/>
      <c r="P393" s="231"/>
      <c r="Q393" s="142"/>
      <c r="R393" s="211"/>
    </row>
    <row r="394" spans="1:18" s="233" customFormat="1" ht="27.75" customHeight="1">
      <c r="A394" s="232">
        <v>75075</v>
      </c>
      <c r="B394" s="174" t="s">
        <v>215</v>
      </c>
      <c r="C394" s="85">
        <f>SUM(C395:C407)+C416+C423</f>
        <v>1339000</v>
      </c>
      <c r="D394" s="86">
        <f t="shared" si="44"/>
        <v>1362000</v>
      </c>
      <c r="E394" s="86">
        <f t="shared" si="44"/>
        <v>1202578</v>
      </c>
      <c r="F394" s="451">
        <f t="shared" si="46"/>
        <v>88.2950073421439</v>
      </c>
      <c r="G394" s="85">
        <f>SUM(G395:G407)+G416+G423</f>
        <v>1362000</v>
      </c>
      <c r="H394" s="86">
        <f>SUM(H395:H407)+H416+H423</f>
        <v>1202578</v>
      </c>
      <c r="I394" s="301">
        <f aca="true" t="shared" si="47" ref="I394:I454">H394/G394*100</f>
        <v>88.2950073421439</v>
      </c>
      <c r="J394" s="158"/>
      <c r="K394" s="158"/>
      <c r="L394" s="301"/>
      <c r="M394" s="86"/>
      <c r="N394" s="86"/>
      <c r="O394" s="391"/>
      <c r="P394" s="86"/>
      <c r="Q394" s="86"/>
      <c r="R394" s="256"/>
    </row>
    <row r="395" spans="1:18" s="235" customFormat="1" ht="72" hidden="1">
      <c r="A395" s="229">
        <v>2820</v>
      </c>
      <c r="B395" s="115" t="s">
        <v>90</v>
      </c>
      <c r="C395" s="93"/>
      <c r="D395" s="94">
        <f t="shared" si="44"/>
        <v>0</v>
      </c>
      <c r="E395" s="94">
        <f t="shared" si="44"/>
        <v>0</v>
      </c>
      <c r="F395" s="452" t="e">
        <f t="shared" si="46"/>
        <v>#DIV/0!</v>
      </c>
      <c r="G395" s="93"/>
      <c r="H395" s="94"/>
      <c r="I395" s="211" t="e">
        <f t="shared" si="47"/>
        <v>#DIV/0!</v>
      </c>
      <c r="J395" s="183"/>
      <c r="K395" s="183"/>
      <c r="L395" s="289"/>
      <c r="M395" s="94"/>
      <c r="N395" s="94"/>
      <c r="O395" s="376"/>
      <c r="P395" s="94"/>
      <c r="Q395" s="94"/>
      <c r="R395" s="289"/>
    </row>
    <row r="396" spans="1:18" s="235" customFormat="1" ht="24">
      <c r="A396" s="229">
        <v>4170</v>
      </c>
      <c r="B396" s="115" t="s">
        <v>394</v>
      </c>
      <c r="C396" s="161">
        <v>2000</v>
      </c>
      <c r="D396" s="65">
        <f>G396+J396+P396+M396</f>
        <v>2000</v>
      </c>
      <c r="E396" s="65">
        <f>H396+K396+Q396+N396</f>
        <v>1501</v>
      </c>
      <c r="F396" s="452">
        <f>E396/D396*100</f>
        <v>75.05</v>
      </c>
      <c r="G396" s="161">
        <v>2000</v>
      </c>
      <c r="H396" s="65">
        <v>1501</v>
      </c>
      <c r="I396" s="211">
        <f t="shared" si="47"/>
        <v>75.05</v>
      </c>
      <c r="J396" s="162"/>
      <c r="K396" s="162"/>
      <c r="L396" s="211"/>
      <c r="M396" s="65"/>
      <c r="N396" s="65"/>
      <c r="O396" s="356"/>
      <c r="P396" s="65"/>
      <c r="Q396" s="65"/>
      <c r="R396" s="211"/>
    </row>
    <row r="397" spans="1:18" s="235" customFormat="1" ht="24" customHeight="1">
      <c r="A397" s="229">
        <v>4210</v>
      </c>
      <c r="B397" s="115" t="s">
        <v>230</v>
      </c>
      <c r="C397" s="161">
        <v>34000</v>
      </c>
      <c r="D397" s="65">
        <f>G397+J397+P397+M397</f>
        <v>47400</v>
      </c>
      <c r="E397" s="65">
        <f>H397+K397+Q397+N397</f>
        <v>47136</v>
      </c>
      <c r="F397" s="452">
        <f>E397/D397*100</f>
        <v>99.44303797468355</v>
      </c>
      <c r="G397" s="161">
        <f>34000+10000+11000-7600</f>
        <v>47400</v>
      </c>
      <c r="H397" s="65">
        <v>47136</v>
      </c>
      <c r="I397" s="211">
        <f t="shared" si="47"/>
        <v>99.44303797468355</v>
      </c>
      <c r="J397" s="162"/>
      <c r="K397" s="162"/>
      <c r="L397" s="211"/>
      <c r="M397" s="65"/>
      <c r="N397" s="65"/>
      <c r="O397" s="356"/>
      <c r="P397" s="65"/>
      <c r="Q397" s="65"/>
      <c r="R397" s="211"/>
    </row>
    <row r="398" spans="1:18" s="235" customFormat="1" ht="24" customHeight="1">
      <c r="A398" s="229">
        <v>4210</v>
      </c>
      <c r="B398" s="115" t="s">
        <v>321</v>
      </c>
      <c r="C398" s="161">
        <v>8000</v>
      </c>
      <c r="D398" s="65">
        <f>G398+J398+P398+M398</f>
        <v>8000</v>
      </c>
      <c r="E398" s="65">
        <f t="shared" si="44"/>
        <v>2998</v>
      </c>
      <c r="F398" s="452">
        <f>E398/D398*100</f>
        <v>37.475</v>
      </c>
      <c r="G398" s="161">
        <v>8000</v>
      </c>
      <c r="H398" s="65">
        <v>2998</v>
      </c>
      <c r="I398" s="211">
        <f t="shared" si="47"/>
        <v>37.475</v>
      </c>
      <c r="J398" s="162"/>
      <c r="K398" s="162"/>
      <c r="L398" s="211"/>
      <c r="M398" s="65"/>
      <c r="N398" s="65"/>
      <c r="O398" s="356"/>
      <c r="P398" s="65"/>
      <c r="Q398" s="65"/>
      <c r="R398" s="211"/>
    </row>
    <row r="399" spans="1:18" s="235" customFormat="1" ht="18.75" customHeight="1">
      <c r="A399" s="229">
        <v>4260</v>
      </c>
      <c r="B399" s="115" t="s">
        <v>409</v>
      </c>
      <c r="C399" s="161"/>
      <c r="D399" s="65">
        <f>G399+J399+P399+M399</f>
        <v>1708</v>
      </c>
      <c r="E399" s="65">
        <f>H399+K399+Q399+N399</f>
        <v>488</v>
      </c>
      <c r="F399" s="452">
        <f>E399/D399*100</f>
        <v>28.57142857142857</v>
      </c>
      <c r="G399" s="161">
        <v>1708</v>
      </c>
      <c r="H399" s="65">
        <v>488</v>
      </c>
      <c r="I399" s="211">
        <f t="shared" si="47"/>
        <v>28.57142857142857</v>
      </c>
      <c r="J399" s="162"/>
      <c r="K399" s="162"/>
      <c r="L399" s="211"/>
      <c r="M399" s="65"/>
      <c r="N399" s="65"/>
      <c r="O399" s="356"/>
      <c r="P399" s="65"/>
      <c r="Q399" s="65"/>
      <c r="R399" s="211"/>
    </row>
    <row r="400" spans="1:18" s="235" customFormat="1" ht="24">
      <c r="A400" s="229">
        <v>4300</v>
      </c>
      <c r="B400" s="115" t="s">
        <v>322</v>
      </c>
      <c r="C400" s="161">
        <v>50000</v>
      </c>
      <c r="D400" s="65">
        <f t="shared" si="44"/>
        <v>73000</v>
      </c>
      <c r="E400" s="65">
        <f t="shared" si="44"/>
        <v>43044</v>
      </c>
      <c r="F400" s="452">
        <f t="shared" si="46"/>
        <v>58.96438356164384</v>
      </c>
      <c r="G400" s="161">
        <f>50000+23000</f>
        <v>73000</v>
      </c>
      <c r="H400" s="65">
        <v>43044</v>
      </c>
      <c r="I400" s="211">
        <f t="shared" si="47"/>
        <v>58.96438356164384</v>
      </c>
      <c r="J400" s="162"/>
      <c r="K400" s="65"/>
      <c r="L400" s="211"/>
      <c r="M400" s="65"/>
      <c r="N400" s="65"/>
      <c r="O400" s="356"/>
      <c r="P400" s="65"/>
      <c r="Q400" s="65"/>
      <c r="R400" s="211"/>
    </row>
    <row r="401" spans="1:18" s="235" customFormat="1" ht="24">
      <c r="A401" s="229">
        <v>4300</v>
      </c>
      <c r="B401" s="115" t="s">
        <v>305</v>
      </c>
      <c r="C401" s="161">
        <v>40000</v>
      </c>
      <c r="D401" s="65">
        <f>G401+J401+P401+M401</f>
        <v>40000</v>
      </c>
      <c r="E401" s="65">
        <f>H401+K401+Q401+N401</f>
        <v>8980</v>
      </c>
      <c r="F401" s="452">
        <f>E401/D401*100</f>
        <v>22.45</v>
      </c>
      <c r="G401" s="161">
        <f>40000</f>
        <v>40000</v>
      </c>
      <c r="H401" s="65">
        <v>8980</v>
      </c>
      <c r="I401" s="211">
        <f t="shared" si="47"/>
        <v>22.45</v>
      </c>
      <c r="J401" s="162"/>
      <c r="K401" s="65"/>
      <c r="L401" s="211"/>
      <c r="M401" s="65"/>
      <c r="N401" s="65"/>
      <c r="O401" s="356"/>
      <c r="P401" s="65"/>
      <c r="Q401" s="65"/>
      <c r="R401" s="211"/>
    </row>
    <row r="402" spans="1:18" s="235" customFormat="1" ht="24">
      <c r="A402" s="229">
        <v>4300</v>
      </c>
      <c r="B402" s="115" t="s">
        <v>216</v>
      </c>
      <c r="C402" s="161">
        <v>400000</v>
      </c>
      <c r="D402" s="65">
        <f>G402+J402+P402+M402</f>
        <v>404718</v>
      </c>
      <c r="E402" s="65">
        <f t="shared" si="44"/>
        <v>320815</v>
      </c>
      <c r="F402" s="452">
        <f>E402/D402*100</f>
        <v>79.2687748012196</v>
      </c>
      <c r="G402" s="161">
        <f>400000-18882-2000+25600</f>
        <v>404718</v>
      </c>
      <c r="H402" s="65">
        <v>320815</v>
      </c>
      <c r="I402" s="211">
        <f t="shared" si="47"/>
        <v>79.2687748012196</v>
      </c>
      <c r="J402" s="162"/>
      <c r="K402" s="65"/>
      <c r="L402" s="211"/>
      <c r="M402" s="65"/>
      <c r="N402" s="65"/>
      <c r="O402" s="356"/>
      <c r="P402" s="65"/>
      <c r="Q402" s="65"/>
      <c r="R402" s="211"/>
    </row>
    <row r="403" spans="1:18" s="228" customFormat="1" ht="24">
      <c r="A403" s="229">
        <v>4300</v>
      </c>
      <c r="B403" s="115" t="s">
        <v>229</v>
      </c>
      <c r="C403" s="79">
        <v>770000</v>
      </c>
      <c r="D403" s="65">
        <f t="shared" si="44"/>
        <v>770000</v>
      </c>
      <c r="E403" s="65">
        <f t="shared" si="44"/>
        <v>769979</v>
      </c>
      <c r="F403" s="452">
        <f t="shared" si="46"/>
        <v>99.99727272727273</v>
      </c>
      <c r="G403" s="79">
        <v>770000</v>
      </c>
      <c r="H403" s="80">
        <f>769978+1</f>
        <v>769979</v>
      </c>
      <c r="I403" s="426">
        <f t="shared" si="47"/>
        <v>99.99727272727273</v>
      </c>
      <c r="J403" s="113"/>
      <c r="K403" s="80"/>
      <c r="L403" s="211"/>
      <c r="M403" s="80"/>
      <c r="N403" s="80"/>
      <c r="O403" s="356"/>
      <c r="P403" s="80"/>
      <c r="Q403" s="80"/>
      <c r="R403" s="211"/>
    </row>
    <row r="404" spans="1:18" s="228" customFormat="1" ht="24">
      <c r="A404" s="159">
        <v>4400</v>
      </c>
      <c r="B404" s="326" t="s">
        <v>287</v>
      </c>
      <c r="C404" s="79"/>
      <c r="D404" s="65">
        <f t="shared" si="44"/>
        <v>7174</v>
      </c>
      <c r="E404" s="65">
        <f t="shared" si="44"/>
        <v>2391</v>
      </c>
      <c r="F404" s="452">
        <f t="shared" si="46"/>
        <v>33.32868692500697</v>
      </c>
      <c r="G404" s="79">
        <v>7174</v>
      </c>
      <c r="H404" s="80">
        <v>2391</v>
      </c>
      <c r="I404" s="426">
        <f t="shared" si="47"/>
        <v>33.32868692500697</v>
      </c>
      <c r="J404" s="113"/>
      <c r="K404" s="80"/>
      <c r="L404" s="211"/>
      <c r="M404" s="80"/>
      <c r="N404" s="80"/>
      <c r="O404" s="356"/>
      <c r="P404" s="80"/>
      <c r="Q404" s="80"/>
      <c r="R404" s="211"/>
    </row>
    <row r="405" spans="1:18" s="235" customFormat="1" ht="24">
      <c r="A405" s="324">
        <v>4350</v>
      </c>
      <c r="B405" s="193" t="s">
        <v>227</v>
      </c>
      <c r="C405" s="161">
        <v>35000</v>
      </c>
      <c r="D405" s="65">
        <f t="shared" si="44"/>
        <v>8000</v>
      </c>
      <c r="E405" s="65">
        <f t="shared" si="44"/>
        <v>5246</v>
      </c>
      <c r="F405" s="452">
        <f t="shared" si="46"/>
        <v>65.575</v>
      </c>
      <c r="G405" s="161">
        <f>35000-9000-18000</f>
        <v>8000</v>
      </c>
      <c r="H405" s="65">
        <v>5246</v>
      </c>
      <c r="I405" s="211">
        <f t="shared" si="47"/>
        <v>65.575</v>
      </c>
      <c r="J405" s="162"/>
      <c r="K405" s="65"/>
      <c r="L405" s="211"/>
      <c r="M405" s="65"/>
      <c r="N405" s="65"/>
      <c r="O405" s="356"/>
      <c r="P405" s="65"/>
      <c r="Q405" s="65"/>
      <c r="R405" s="211"/>
    </row>
    <row r="406" spans="1:18" s="235" customFormat="1" ht="36" hidden="1">
      <c r="A406" s="324">
        <v>6060</v>
      </c>
      <c r="B406" s="193" t="s">
        <v>8</v>
      </c>
      <c r="C406" s="161"/>
      <c r="D406" s="65">
        <f>G406+J406+P406+M406</f>
        <v>0</v>
      </c>
      <c r="E406" s="65">
        <f>H406+K406+Q406+N406</f>
        <v>0</v>
      </c>
      <c r="F406" s="452" t="e">
        <f>E406/D406*100</f>
        <v>#DIV/0!</v>
      </c>
      <c r="G406" s="161"/>
      <c r="H406" s="65"/>
      <c r="I406" s="211" t="e">
        <f t="shared" si="47"/>
        <v>#DIV/0!</v>
      </c>
      <c r="J406" s="162"/>
      <c r="K406" s="65"/>
      <c r="L406" s="211"/>
      <c r="M406" s="65"/>
      <c r="N406" s="65"/>
      <c r="O406" s="356"/>
      <c r="P406" s="65"/>
      <c r="Q406" s="65"/>
      <c r="R406" s="211"/>
    </row>
    <row r="407" spans="1:18" s="233" customFormat="1" ht="48" hidden="1">
      <c r="A407" s="325"/>
      <c r="B407" s="123" t="s">
        <v>397</v>
      </c>
      <c r="C407" s="124">
        <f>SUM(C408:C415)</f>
        <v>0</v>
      </c>
      <c r="D407" s="126">
        <f t="shared" si="44"/>
        <v>0</v>
      </c>
      <c r="E407" s="126">
        <f t="shared" si="44"/>
        <v>0</v>
      </c>
      <c r="F407" s="452" t="e">
        <f t="shared" si="46"/>
        <v>#DIV/0!</v>
      </c>
      <c r="G407" s="124">
        <f>SUM(G408:G415)</f>
        <v>0</v>
      </c>
      <c r="H407" s="128">
        <f>SUM(H408:H415)</f>
        <v>0</v>
      </c>
      <c r="I407" s="426" t="e">
        <f t="shared" si="47"/>
        <v>#DIV/0!</v>
      </c>
      <c r="J407" s="127"/>
      <c r="K407" s="126"/>
      <c r="L407" s="337"/>
      <c r="M407" s="126"/>
      <c r="N407" s="126"/>
      <c r="O407" s="388"/>
      <c r="P407" s="126"/>
      <c r="Q407" s="126"/>
      <c r="R407" s="364"/>
    </row>
    <row r="408" spans="1:18" s="228" customFormat="1" ht="24" hidden="1">
      <c r="A408" s="229">
        <v>4110</v>
      </c>
      <c r="B408" s="115" t="s">
        <v>517</v>
      </c>
      <c r="C408" s="79"/>
      <c r="D408" s="65">
        <f t="shared" si="44"/>
        <v>0</v>
      </c>
      <c r="E408" s="65">
        <f t="shared" si="44"/>
        <v>0</v>
      </c>
      <c r="F408" s="452" t="e">
        <f t="shared" si="46"/>
        <v>#DIV/0!</v>
      </c>
      <c r="G408" s="79"/>
      <c r="H408" s="80"/>
      <c r="I408" s="426" t="e">
        <f t="shared" si="47"/>
        <v>#DIV/0!</v>
      </c>
      <c r="J408" s="113"/>
      <c r="K408" s="80"/>
      <c r="L408" s="211"/>
      <c r="M408" s="80"/>
      <c r="N408" s="80"/>
      <c r="O408" s="356"/>
      <c r="P408" s="80"/>
      <c r="Q408" s="80"/>
      <c r="R408" s="211"/>
    </row>
    <row r="409" spans="1:18" s="228" customFormat="1" ht="12.75" hidden="1">
      <c r="A409" s="229">
        <v>4120</v>
      </c>
      <c r="B409" s="115" t="s">
        <v>547</v>
      </c>
      <c r="C409" s="79"/>
      <c r="D409" s="65">
        <f t="shared" si="44"/>
        <v>0</v>
      </c>
      <c r="E409" s="65">
        <f t="shared" si="44"/>
        <v>0</v>
      </c>
      <c r="F409" s="452" t="e">
        <f t="shared" si="46"/>
        <v>#DIV/0!</v>
      </c>
      <c r="G409" s="79"/>
      <c r="H409" s="80"/>
      <c r="I409" s="426" t="e">
        <f t="shared" si="47"/>
        <v>#DIV/0!</v>
      </c>
      <c r="J409" s="113"/>
      <c r="K409" s="80"/>
      <c r="L409" s="211"/>
      <c r="M409" s="80"/>
      <c r="N409" s="80"/>
      <c r="O409" s="356"/>
      <c r="P409" s="80"/>
      <c r="Q409" s="80"/>
      <c r="R409" s="211"/>
    </row>
    <row r="410" spans="1:18" s="228" customFormat="1" ht="24" hidden="1">
      <c r="A410" s="229">
        <v>4178</v>
      </c>
      <c r="B410" s="115" t="s">
        <v>243</v>
      </c>
      <c r="C410" s="79"/>
      <c r="D410" s="65">
        <f t="shared" si="44"/>
        <v>0</v>
      </c>
      <c r="E410" s="65">
        <f t="shared" si="44"/>
        <v>0</v>
      </c>
      <c r="F410" s="452" t="e">
        <f t="shared" si="46"/>
        <v>#DIV/0!</v>
      </c>
      <c r="G410" s="79"/>
      <c r="H410" s="80"/>
      <c r="I410" s="426" t="e">
        <f t="shared" si="47"/>
        <v>#DIV/0!</v>
      </c>
      <c r="J410" s="113"/>
      <c r="K410" s="80"/>
      <c r="L410" s="211"/>
      <c r="M410" s="80"/>
      <c r="N410" s="80"/>
      <c r="O410" s="356"/>
      <c r="P410" s="80"/>
      <c r="Q410" s="80"/>
      <c r="R410" s="211"/>
    </row>
    <row r="411" spans="1:18" s="228" customFormat="1" ht="24" hidden="1">
      <c r="A411" s="229">
        <v>4179</v>
      </c>
      <c r="B411" s="115" t="s">
        <v>243</v>
      </c>
      <c r="C411" s="79"/>
      <c r="D411" s="65">
        <f t="shared" si="44"/>
        <v>0</v>
      </c>
      <c r="E411" s="65">
        <f t="shared" si="44"/>
        <v>0</v>
      </c>
      <c r="F411" s="452" t="e">
        <f t="shared" si="46"/>
        <v>#DIV/0!</v>
      </c>
      <c r="G411" s="79"/>
      <c r="H411" s="80"/>
      <c r="I411" s="426" t="e">
        <f t="shared" si="47"/>
        <v>#DIV/0!</v>
      </c>
      <c r="J411" s="113"/>
      <c r="K411" s="80"/>
      <c r="L411" s="211"/>
      <c r="M411" s="80"/>
      <c r="N411" s="80"/>
      <c r="O411" s="356"/>
      <c r="P411" s="80"/>
      <c r="Q411" s="80"/>
      <c r="R411" s="211"/>
    </row>
    <row r="412" spans="1:18" s="228" customFormat="1" ht="19.5" customHeight="1" hidden="1">
      <c r="A412" s="229">
        <v>4308</v>
      </c>
      <c r="B412" s="115" t="s">
        <v>489</v>
      </c>
      <c r="C412" s="79"/>
      <c r="D412" s="65">
        <f t="shared" si="44"/>
        <v>0</v>
      </c>
      <c r="E412" s="65">
        <f t="shared" si="44"/>
        <v>0</v>
      </c>
      <c r="F412" s="452" t="e">
        <f t="shared" si="46"/>
        <v>#DIV/0!</v>
      </c>
      <c r="G412" s="79"/>
      <c r="H412" s="80"/>
      <c r="I412" s="426" t="e">
        <f t="shared" si="47"/>
        <v>#DIV/0!</v>
      </c>
      <c r="J412" s="113"/>
      <c r="K412" s="80"/>
      <c r="L412" s="211"/>
      <c r="M412" s="80"/>
      <c r="N412" s="80"/>
      <c r="O412" s="356"/>
      <c r="P412" s="80"/>
      <c r="Q412" s="80"/>
      <c r="R412" s="211"/>
    </row>
    <row r="413" spans="1:18" s="228" customFormat="1" ht="19.5" customHeight="1" hidden="1">
      <c r="A413" s="229">
        <v>4309</v>
      </c>
      <c r="B413" s="115" t="s">
        <v>489</v>
      </c>
      <c r="C413" s="79"/>
      <c r="D413" s="65">
        <f>G413+J413+P413+M413</f>
        <v>0</v>
      </c>
      <c r="E413" s="65">
        <f>H413+K413+Q413+N413</f>
        <v>0</v>
      </c>
      <c r="F413" s="452" t="e">
        <f t="shared" si="46"/>
        <v>#DIV/0!</v>
      </c>
      <c r="G413" s="79"/>
      <c r="H413" s="80"/>
      <c r="I413" s="426" t="e">
        <f t="shared" si="47"/>
        <v>#DIV/0!</v>
      </c>
      <c r="J413" s="113"/>
      <c r="K413" s="80"/>
      <c r="L413" s="211"/>
      <c r="M413" s="80"/>
      <c r="N413" s="80"/>
      <c r="O413" s="356"/>
      <c r="P413" s="80"/>
      <c r="Q413" s="80"/>
      <c r="R413" s="211"/>
    </row>
    <row r="414" spans="1:18" s="228" customFormat="1" ht="27.75" customHeight="1" hidden="1">
      <c r="A414" s="229">
        <v>4388</v>
      </c>
      <c r="B414" s="115" t="s">
        <v>280</v>
      </c>
      <c r="C414" s="79"/>
      <c r="D414" s="65">
        <f>G414+J414+P414+M414</f>
        <v>0</v>
      </c>
      <c r="E414" s="65">
        <f>H414+K414+Q414+N414</f>
        <v>0</v>
      </c>
      <c r="F414" s="452" t="e">
        <f t="shared" si="46"/>
        <v>#DIV/0!</v>
      </c>
      <c r="G414" s="79"/>
      <c r="H414" s="80"/>
      <c r="I414" s="426" t="e">
        <f t="shared" si="47"/>
        <v>#DIV/0!</v>
      </c>
      <c r="J414" s="113"/>
      <c r="K414" s="80"/>
      <c r="L414" s="211"/>
      <c r="M414" s="80"/>
      <c r="N414" s="80"/>
      <c r="O414" s="356"/>
      <c r="P414" s="80"/>
      <c r="Q414" s="80"/>
      <c r="R414" s="211"/>
    </row>
    <row r="415" spans="1:18" s="228" customFormat="1" ht="27.75" customHeight="1" hidden="1">
      <c r="A415" s="229">
        <v>4389</v>
      </c>
      <c r="B415" s="115" t="s">
        <v>280</v>
      </c>
      <c r="C415" s="79"/>
      <c r="D415" s="65">
        <f t="shared" si="44"/>
        <v>0</v>
      </c>
      <c r="E415" s="65">
        <f t="shared" si="44"/>
        <v>0</v>
      </c>
      <c r="F415" s="452" t="e">
        <f t="shared" si="46"/>
        <v>#DIV/0!</v>
      </c>
      <c r="G415" s="79"/>
      <c r="H415" s="80"/>
      <c r="I415" s="426" t="e">
        <f t="shared" si="47"/>
        <v>#DIV/0!</v>
      </c>
      <c r="J415" s="113"/>
      <c r="K415" s="80"/>
      <c r="L415" s="211"/>
      <c r="M415" s="80"/>
      <c r="N415" s="80"/>
      <c r="O415" s="356"/>
      <c r="P415" s="80"/>
      <c r="Q415" s="80"/>
      <c r="R415" s="211"/>
    </row>
    <row r="416" spans="1:18" s="233" customFormat="1" ht="48" hidden="1">
      <c r="A416" s="122"/>
      <c r="B416" s="123" t="s">
        <v>217</v>
      </c>
      <c r="C416" s="124">
        <f>SUM(C417:C422)</f>
        <v>0</v>
      </c>
      <c r="D416" s="126">
        <f t="shared" si="44"/>
        <v>0</v>
      </c>
      <c r="E416" s="126">
        <f t="shared" si="44"/>
        <v>0</v>
      </c>
      <c r="F416" s="452" t="e">
        <f t="shared" si="46"/>
        <v>#DIV/0!</v>
      </c>
      <c r="G416" s="124">
        <f>SUM(G417:G422)</f>
        <v>0</v>
      </c>
      <c r="H416" s="126">
        <f>SUM(H417:H422)</f>
        <v>0</v>
      </c>
      <c r="I416" s="211" t="e">
        <f t="shared" si="47"/>
        <v>#DIV/0!</v>
      </c>
      <c r="J416" s="127"/>
      <c r="K416" s="126"/>
      <c r="L416" s="337"/>
      <c r="M416" s="126"/>
      <c r="N416" s="126"/>
      <c r="O416" s="388"/>
      <c r="P416" s="126"/>
      <c r="Q416" s="126"/>
      <c r="R416" s="337"/>
    </row>
    <row r="417" spans="1:18" s="235" customFormat="1" ht="24" hidden="1">
      <c r="A417" s="159">
        <v>4112</v>
      </c>
      <c r="B417" s="115" t="s">
        <v>477</v>
      </c>
      <c r="C417" s="161"/>
      <c r="D417" s="65">
        <f t="shared" si="44"/>
        <v>0</v>
      </c>
      <c r="E417" s="65">
        <f t="shared" si="44"/>
        <v>0</v>
      </c>
      <c r="F417" s="452" t="e">
        <f t="shared" si="46"/>
        <v>#DIV/0!</v>
      </c>
      <c r="G417" s="161"/>
      <c r="H417" s="65"/>
      <c r="I417" s="211" t="e">
        <f t="shared" si="47"/>
        <v>#DIV/0!</v>
      </c>
      <c r="J417" s="162"/>
      <c r="K417" s="65"/>
      <c r="L417" s="211"/>
      <c r="M417" s="65"/>
      <c r="N417" s="65"/>
      <c r="O417" s="356"/>
      <c r="P417" s="65"/>
      <c r="Q417" s="65"/>
      <c r="R417" s="211"/>
    </row>
    <row r="418" spans="1:18" s="235" customFormat="1" ht="12.75" hidden="1">
      <c r="A418" s="159">
        <v>4122</v>
      </c>
      <c r="B418" s="115" t="s">
        <v>547</v>
      </c>
      <c r="C418" s="161"/>
      <c r="D418" s="65">
        <f t="shared" si="44"/>
        <v>0</v>
      </c>
      <c r="E418" s="65">
        <f t="shared" si="44"/>
        <v>0</v>
      </c>
      <c r="F418" s="452" t="e">
        <f t="shared" si="46"/>
        <v>#DIV/0!</v>
      </c>
      <c r="G418" s="161"/>
      <c r="H418" s="65"/>
      <c r="I418" s="211" t="e">
        <f t="shared" si="47"/>
        <v>#DIV/0!</v>
      </c>
      <c r="J418" s="162"/>
      <c r="K418" s="65"/>
      <c r="L418" s="211"/>
      <c r="M418" s="65"/>
      <c r="N418" s="65"/>
      <c r="O418" s="356"/>
      <c r="P418" s="65"/>
      <c r="Q418" s="65"/>
      <c r="R418" s="211"/>
    </row>
    <row r="419" spans="1:18" s="235" customFormat="1" ht="24" hidden="1">
      <c r="A419" s="229">
        <v>4171</v>
      </c>
      <c r="B419" s="115" t="s">
        <v>511</v>
      </c>
      <c r="C419" s="161"/>
      <c r="D419" s="65">
        <f>G419+J419+P419+M419</f>
        <v>0</v>
      </c>
      <c r="E419" s="65">
        <f>H419+K419+Q419+N419</f>
        <v>0</v>
      </c>
      <c r="F419" s="452" t="e">
        <f>E419/D419*100</f>
        <v>#DIV/0!</v>
      </c>
      <c r="G419" s="161"/>
      <c r="H419" s="65"/>
      <c r="I419" s="211" t="e">
        <f t="shared" si="47"/>
        <v>#DIV/0!</v>
      </c>
      <c r="J419" s="162"/>
      <c r="K419" s="65"/>
      <c r="L419" s="211"/>
      <c r="M419" s="65"/>
      <c r="N419" s="65"/>
      <c r="O419" s="356"/>
      <c r="P419" s="65"/>
      <c r="Q419" s="65"/>
      <c r="R419" s="211"/>
    </row>
    <row r="420" spans="1:18" s="235" customFormat="1" ht="24" hidden="1">
      <c r="A420" s="229">
        <v>4172</v>
      </c>
      <c r="B420" s="115" t="s">
        <v>511</v>
      </c>
      <c r="C420" s="161"/>
      <c r="D420" s="65">
        <f>G420+J420+P420+M420</f>
        <v>0</v>
      </c>
      <c r="E420" s="65">
        <f>H420+K420+Q420+N420</f>
        <v>0</v>
      </c>
      <c r="F420" s="452" t="e">
        <f>E420/D420*100</f>
        <v>#DIV/0!</v>
      </c>
      <c r="G420" s="161"/>
      <c r="H420" s="65"/>
      <c r="I420" s="211" t="e">
        <f t="shared" si="47"/>
        <v>#DIV/0!</v>
      </c>
      <c r="J420" s="162"/>
      <c r="K420" s="65"/>
      <c r="L420" s="211"/>
      <c r="M420" s="65"/>
      <c r="N420" s="65"/>
      <c r="O420" s="356"/>
      <c r="P420" s="65"/>
      <c r="Q420" s="65"/>
      <c r="R420" s="211"/>
    </row>
    <row r="421" spans="1:18" s="233" customFormat="1" ht="24" hidden="1">
      <c r="A421" s="229">
        <v>4301</v>
      </c>
      <c r="B421" s="115" t="s">
        <v>489</v>
      </c>
      <c r="C421" s="161"/>
      <c r="D421" s="65">
        <f t="shared" si="44"/>
        <v>0</v>
      </c>
      <c r="E421" s="65">
        <f t="shared" si="44"/>
        <v>0</v>
      </c>
      <c r="F421" s="452" t="e">
        <f t="shared" si="46"/>
        <v>#DIV/0!</v>
      </c>
      <c r="G421" s="161"/>
      <c r="H421" s="65"/>
      <c r="I421" s="211" t="e">
        <f t="shared" si="47"/>
        <v>#DIV/0!</v>
      </c>
      <c r="J421" s="127"/>
      <c r="K421" s="126"/>
      <c r="L421" s="337"/>
      <c r="M421" s="126"/>
      <c r="N421" s="126"/>
      <c r="O421" s="388"/>
      <c r="P421" s="126"/>
      <c r="Q421" s="126"/>
      <c r="R421" s="337"/>
    </row>
    <row r="422" spans="1:18" s="233" customFormat="1" ht="24" hidden="1">
      <c r="A422" s="229">
        <v>4302</v>
      </c>
      <c r="B422" s="115" t="s">
        <v>489</v>
      </c>
      <c r="C422" s="161"/>
      <c r="D422" s="65">
        <f t="shared" si="44"/>
        <v>0</v>
      </c>
      <c r="E422" s="65">
        <f t="shared" si="44"/>
        <v>0</v>
      </c>
      <c r="F422" s="452" t="e">
        <f t="shared" si="46"/>
        <v>#DIV/0!</v>
      </c>
      <c r="G422" s="161"/>
      <c r="H422" s="65"/>
      <c r="I422" s="211" t="e">
        <f t="shared" si="47"/>
        <v>#DIV/0!</v>
      </c>
      <c r="J422" s="127"/>
      <c r="K422" s="126"/>
      <c r="L422" s="337"/>
      <c r="M422" s="126"/>
      <c r="N422" s="126"/>
      <c r="O422" s="388"/>
      <c r="P422" s="126"/>
      <c r="Q422" s="126"/>
      <c r="R422" s="337"/>
    </row>
    <row r="423" spans="1:18" s="233" customFormat="1" ht="36" hidden="1">
      <c r="A423" s="122"/>
      <c r="B423" s="123" t="s">
        <v>218</v>
      </c>
      <c r="C423" s="124">
        <f>SUM(C424:C431)</f>
        <v>0</v>
      </c>
      <c r="D423" s="126">
        <f t="shared" si="44"/>
        <v>0</v>
      </c>
      <c r="E423" s="126">
        <f t="shared" si="44"/>
        <v>0</v>
      </c>
      <c r="F423" s="452" t="e">
        <f t="shared" si="46"/>
        <v>#DIV/0!</v>
      </c>
      <c r="G423" s="124">
        <f>SUM(G424:G431)</f>
        <v>0</v>
      </c>
      <c r="H423" s="126">
        <f>SUM(H424:H431)</f>
        <v>0</v>
      </c>
      <c r="I423" s="211" t="e">
        <f t="shared" si="47"/>
        <v>#DIV/0!</v>
      </c>
      <c r="J423" s="127"/>
      <c r="K423" s="126"/>
      <c r="L423" s="337"/>
      <c r="M423" s="126"/>
      <c r="N423" s="126"/>
      <c r="O423" s="388"/>
      <c r="P423" s="126"/>
      <c r="Q423" s="126"/>
      <c r="R423" s="337"/>
    </row>
    <row r="424" spans="1:18" s="235" customFormat="1" ht="24" hidden="1">
      <c r="A424" s="159">
        <v>4112</v>
      </c>
      <c r="B424" s="115" t="s">
        <v>477</v>
      </c>
      <c r="C424" s="161"/>
      <c r="D424" s="65">
        <f t="shared" si="44"/>
        <v>0</v>
      </c>
      <c r="E424" s="65">
        <f t="shared" si="44"/>
        <v>0</v>
      </c>
      <c r="F424" s="452" t="e">
        <f t="shared" si="46"/>
        <v>#DIV/0!</v>
      </c>
      <c r="G424" s="161"/>
      <c r="H424" s="65"/>
      <c r="I424" s="211" t="e">
        <f t="shared" si="47"/>
        <v>#DIV/0!</v>
      </c>
      <c r="J424" s="162"/>
      <c r="K424" s="65"/>
      <c r="L424" s="211"/>
      <c r="M424" s="65"/>
      <c r="N424" s="65"/>
      <c r="O424" s="356"/>
      <c r="P424" s="65"/>
      <c r="Q424" s="65"/>
      <c r="R424" s="211"/>
    </row>
    <row r="425" spans="1:18" s="235" customFormat="1" ht="12.75" hidden="1">
      <c r="A425" s="159">
        <v>4122</v>
      </c>
      <c r="B425" s="115" t="s">
        <v>241</v>
      </c>
      <c r="C425" s="161"/>
      <c r="D425" s="65">
        <f t="shared" si="44"/>
        <v>0</v>
      </c>
      <c r="E425" s="65">
        <f t="shared" si="44"/>
        <v>0</v>
      </c>
      <c r="F425" s="452" t="e">
        <f>E425/D425*100</f>
        <v>#DIV/0!</v>
      </c>
      <c r="G425" s="161"/>
      <c r="H425" s="65"/>
      <c r="I425" s="211" t="e">
        <f t="shared" si="47"/>
        <v>#DIV/0!</v>
      </c>
      <c r="J425" s="162"/>
      <c r="K425" s="65"/>
      <c r="L425" s="211"/>
      <c r="M425" s="65"/>
      <c r="N425" s="65"/>
      <c r="O425" s="356"/>
      <c r="P425" s="65"/>
      <c r="Q425" s="65"/>
      <c r="R425" s="211"/>
    </row>
    <row r="426" spans="1:18" s="235" customFormat="1" ht="24" hidden="1">
      <c r="A426" s="229">
        <v>4171</v>
      </c>
      <c r="B426" s="115" t="s">
        <v>511</v>
      </c>
      <c r="C426" s="161"/>
      <c r="D426" s="65">
        <f t="shared" si="44"/>
        <v>0</v>
      </c>
      <c r="E426" s="65">
        <f t="shared" si="44"/>
        <v>0</v>
      </c>
      <c r="F426" s="452" t="e">
        <f>E426/D426*100</f>
        <v>#DIV/0!</v>
      </c>
      <c r="G426" s="161"/>
      <c r="H426" s="65"/>
      <c r="I426" s="211" t="e">
        <f t="shared" si="47"/>
        <v>#DIV/0!</v>
      </c>
      <c r="J426" s="162"/>
      <c r="K426" s="65"/>
      <c r="L426" s="211"/>
      <c r="M426" s="65"/>
      <c r="N426" s="65"/>
      <c r="O426" s="356"/>
      <c r="P426" s="65"/>
      <c r="Q426" s="65"/>
      <c r="R426" s="211"/>
    </row>
    <row r="427" spans="1:18" s="235" customFormat="1" ht="24" hidden="1">
      <c r="A427" s="229">
        <v>4172</v>
      </c>
      <c r="B427" s="115" t="s">
        <v>511</v>
      </c>
      <c r="C427" s="161"/>
      <c r="D427" s="65">
        <f t="shared" si="44"/>
        <v>0</v>
      </c>
      <c r="E427" s="65">
        <f t="shared" si="44"/>
        <v>0</v>
      </c>
      <c r="F427" s="452" t="e">
        <f>E427/D427*100</f>
        <v>#DIV/0!</v>
      </c>
      <c r="G427" s="161"/>
      <c r="H427" s="65"/>
      <c r="I427" s="211" t="e">
        <f t="shared" si="47"/>
        <v>#DIV/0!</v>
      </c>
      <c r="J427" s="162"/>
      <c r="K427" s="65"/>
      <c r="L427" s="211"/>
      <c r="M427" s="65"/>
      <c r="N427" s="65"/>
      <c r="O427" s="356"/>
      <c r="P427" s="65"/>
      <c r="Q427" s="65"/>
      <c r="R427" s="211"/>
    </row>
    <row r="428" spans="1:18" s="235" customFormat="1" ht="24" hidden="1">
      <c r="A428" s="159">
        <v>4211</v>
      </c>
      <c r="B428" s="115" t="s">
        <v>481</v>
      </c>
      <c r="C428" s="161"/>
      <c r="D428" s="65">
        <f t="shared" si="44"/>
        <v>0</v>
      </c>
      <c r="E428" s="65">
        <f t="shared" si="44"/>
        <v>0</v>
      </c>
      <c r="F428" s="452" t="e">
        <f t="shared" si="46"/>
        <v>#DIV/0!</v>
      </c>
      <c r="G428" s="161"/>
      <c r="H428" s="65"/>
      <c r="I428" s="211" t="e">
        <f t="shared" si="47"/>
        <v>#DIV/0!</v>
      </c>
      <c r="J428" s="162"/>
      <c r="K428" s="65"/>
      <c r="L428" s="211"/>
      <c r="M428" s="65"/>
      <c r="N428" s="65"/>
      <c r="O428" s="356"/>
      <c r="P428" s="65"/>
      <c r="Q428" s="65"/>
      <c r="R428" s="211"/>
    </row>
    <row r="429" spans="1:18" s="228" customFormat="1" ht="24" hidden="1">
      <c r="A429" s="111">
        <v>4212</v>
      </c>
      <c r="B429" s="115" t="s">
        <v>481</v>
      </c>
      <c r="C429" s="79"/>
      <c r="D429" s="65">
        <f t="shared" si="44"/>
        <v>0</v>
      </c>
      <c r="E429" s="65">
        <f t="shared" si="44"/>
        <v>0</v>
      </c>
      <c r="F429" s="452" t="e">
        <f t="shared" si="46"/>
        <v>#DIV/0!</v>
      </c>
      <c r="G429" s="79"/>
      <c r="H429" s="80"/>
      <c r="I429" s="211" t="e">
        <f t="shared" si="47"/>
        <v>#DIV/0!</v>
      </c>
      <c r="J429" s="113"/>
      <c r="K429" s="80"/>
      <c r="L429" s="211"/>
      <c r="M429" s="80"/>
      <c r="N429" s="80"/>
      <c r="O429" s="356"/>
      <c r="P429" s="80"/>
      <c r="Q429" s="80"/>
      <c r="R429" s="211"/>
    </row>
    <row r="430" spans="1:18" s="228" customFormat="1" ht="24" hidden="1">
      <c r="A430" s="229">
        <v>4301</v>
      </c>
      <c r="B430" s="115" t="s">
        <v>489</v>
      </c>
      <c r="C430" s="79"/>
      <c r="D430" s="65">
        <f t="shared" si="44"/>
        <v>0</v>
      </c>
      <c r="E430" s="65">
        <f t="shared" si="44"/>
        <v>0</v>
      </c>
      <c r="F430" s="452" t="e">
        <f t="shared" si="46"/>
        <v>#DIV/0!</v>
      </c>
      <c r="G430" s="79"/>
      <c r="H430" s="80"/>
      <c r="I430" s="211" t="e">
        <f t="shared" si="47"/>
        <v>#DIV/0!</v>
      </c>
      <c r="J430" s="113"/>
      <c r="K430" s="80"/>
      <c r="L430" s="211"/>
      <c r="M430" s="80"/>
      <c r="N430" s="80"/>
      <c r="O430" s="356"/>
      <c r="P430" s="80"/>
      <c r="Q430" s="80"/>
      <c r="R430" s="211"/>
    </row>
    <row r="431" spans="1:18" s="228" customFormat="1" ht="24" hidden="1">
      <c r="A431" s="229">
        <v>4302</v>
      </c>
      <c r="B431" s="115" t="s">
        <v>489</v>
      </c>
      <c r="C431" s="147"/>
      <c r="D431" s="65">
        <f t="shared" si="44"/>
        <v>0</v>
      </c>
      <c r="E431" s="65">
        <f t="shared" si="44"/>
        <v>0</v>
      </c>
      <c r="F431" s="452" t="e">
        <f t="shared" si="46"/>
        <v>#DIV/0!</v>
      </c>
      <c r="G431" s="147"/>
      <c r="H431" s="142"/>
      <c r="I431" s="211" t="e">
        <f t="shared" si="47"/>
        <v>#DIV/0!</v>
      </c>
      <c r="J431" s="149"/>
      <c r="K431" s="142"/>
      <c r="L431" s="259"/>
      <c r="M431" s="142"/>
      <c r="N431" s="142"/>
      <c r="O431" s="375"/>
      <c r="P431" s="142"/>
      <c r="Q431" s="142"/>
      <c r="R431" s="259"/>
    </row>
    <row r="432" spans="1:18" ht="24">
      <c r="A432" s="106">
        <v>75095</v>
      </c>
      <c r="B432" s="172" t="s">
        <v>435</v>
      </c>
      <c r="C432" s="108">
        <f>SUM(C433:C444)</f>
        <v>183450</v>
      </c>
      <c r="D432" s="86">
        <f t="shared" si="44"/>
        <v>200450</v>
      </c>
      <c r="E432" s="75">
        <f>SUM(E433:E444)</f>
        <v>68487</v>
      </c>
      <c r="F432" s="451">
        <f t="shared" si="46"/>
        <v>34.16662509353954</v>
      </c>
      <c r="G432" s="108">
        <f>SUM(G433:G444)</f>
        <v>200450</v>
      </c>
      <c r="H432" s="75">
        <f>SUM(H433:H444)</f>
        <v>68487</v>
      </c>
      <c r="I432" s="301">
        <f t="shared" si="47"/>
        <v>34.16662509353954</v>
      </c>
      <c r="J432" s="110"/>
      <c r="K432" s="75"/>
      <c r="L432" s="406"/>
      <c r="M432" s="75"/>
      <c r="N432" s="75"/>
      <c r="O432" s="369"/>
      <c r="P432" s="75"/>
      <c r="Q432" s="75"/>
      <c r="R432" s="301"/>
    </row>
    <row r="433" spans="1:18" ht="36" hidden="1">
      <c r="A433" s="111">
        <v>3020</v>
      </c>
      <c r="B433" s="115" t="s">
        <v>515</v>
      </c>
      <c r="C433" s="79"/>
      <c r="D433" s="65">
        <f t="shared" si="44"/>
        <v>0</v>
      </c>
      <c r="E433" s="80">
        <f aca="true" t="shared" si="48" ref="E433:E440">SUM(H433+K433+N433+Q433)</f>
        <v>0</v>
      </c>
      <c r="F433" s="452" t="e">
        <f t="shared" si="46"/>
        <v>#DIV/0!</v>
      </c>
      <c r="G433" s="81"/>
      <c r="H433" s="95"/>
      <c r="I433" s="211" t="e">
        <f t="shared" si="47"/>
        <v>#DIV/0!</v>
      </c>
      <c r="J433" s="113"/>
      <c r="K433" s="80"/>
      <c r="L433" s="379"/>
      <c r="M433" s="80"/>
      <c r="N433" s="80"/>
      <c r="O433" s="356"/>
      <c r="P433" s="80"/>
      <c r="Q433" s="80"/>
      <c r="R433" s="350"/>
    </row>
    <row r="434" spans="1:18" ht="24">
      <c r="A434" s="111">
        <v>4110</v>
      </c>
      <c r="B434" s="115" t="s">
        <v>477</v>
      </c>
      <c r="C434" s="79">
        <v>2850</v>
      </c>
      <c r="D434" s="65">
        <f t="shared" si="44"/>
        <v>3100</v>
      </c>
      <c r="E434" s="80">
        <f t="shared" si="48"/>
        <v>345</v>
      </c>
      <c r="F434" s="452">
        <f t="shared" si="46"/>
        <v>11.129032258064516</v>
      </c>
      <c r="G434" s="79">
        <f>2850-200+200+550-300</f>
        <v>3100</v>
      </c>
      <c r="H434" s="80">
        <v>345</v>
      </c>
      <c r="I434" s="211">
        <f t="shared" si="47"/>
        <v>11.129032258064516</v>
      </c>
      <c r="J434" s="113"/>
      <c r="K434" s="80"/>
      <c r="L434" s="379"/>
      <c r="M434" s="80"/>
      <c r="N434" s="80"/>
      <c r="O434" s="356"/>
      <c r="P434" s="80"/>
      <c r="Q434" s="80"/>
      <c r="R434" s="350"/>
    </row>
    <row r="435" spans="1:18" ht="12.75" hidden="1">
      <c r="A435" s="111">
        <v>4120</v>
      </c>
      <c r="B435" s="115" t="s">
        <v>547</v>
      </c>
      <c r="C435" s="79"/>
      <c r="D435" s="65">
        <f>G435+J435+P435+M435</f>
        <v>0</v>
      </c>
      <c r="E435" s="80">
        <f>SUM(H435+K435+N435+Q435)</f>
        <v>0</v>
      </c>
      <c r="F435" s="452" t="e">
        <f>E435/D435*100</f>
        <v>#DIV/0!</v>
      </c>
      <c r="G435" s="79"/>
      <c r="H435" s="80"/>
      <c r="I435" s="211" t="e">
        <f t="shared" si="47"/>
        <v>#DIV/0!</v>
      </c>
      <c r="J435" s="113"/>
      <c r="K435" s="80"/>
      <c r="L435" s="379"/>
      <c r="M435" s="80"/>
      <c r="N435" s="80"/>
      <c r="O435" s="356"/>
      <c r="P435" s="80"/>
      <c r="Q435" s="80"/>
      <c r="R435" s="350"/>
    </row>
    <row r="436" spans="1:18" ht="24">
      <c r="A436" s="111">
        <v>4170</v>
      </c>
      <c r="B436" s="115" t="s">
        <v>511</v>
      </c>
      <c r="C436" s="79">
        <v>45250</v>
      </c>
      <c r="D436" s="65">
        <f t="shared" si="44"/>
        <v>39250</v>
      </c>
      <c r="E436" s="80">
        <f t="shared" si="48"/>
        <v>7726</v>
      </c>
      <c r="F436" s="452">
        <f t="shared" si="46"/>
        <v>19.68407643312102</v>
      </c>
      <c r="G436" s="79">
        <f>45250-1240-800+300-3200-200+340-1200</f>
        <v>39250</v>
      </c>
      <c r="H436" s="80">
        <v>7726</v>
      </c>
      <c r="I436" s="211">
        <f t="shared" si="47"/>
        <v>19.68407643312102</v>
      </c>
      <c r="J436" s="113"/>
      <c r="K436" s="80"/>
      <c r="L436" s="379"/>
      <c r="M436" s="80"/>
      <c r="N436" s="80"/>
      <c r="O436" s="356"/>
      <c r="P436" s="80"/>
      <c r="Q436" s="80"/>
      <c r="R436" s="350"/>
    </row>
    <row r="437" spans="1:18" ht="24">
      <c r="A437" s="111">
        <v>4210</v>
      </c>
      <c r="B437" s="115" t="s">
        <v>481</v>
      </c>
      <c r="C437" s="79">
        <v>42350</v>
      </c>
      <c r="D437" s="65">
        <f t="shared" si="44"/>
        <v>39135</v>
      </c>
      <c r="E437" s="80">
        <f t="shared" si="48"/>
        <v>11981</v>
      </c>
      <c r="F437" s="452">
        <f t="shared" si="46"/>
        <v>30.61453941484605</v>
      </c>
      <c r="G437" s="79">
        <f>42350+800-1888+400-340-550+700-9360+4000-60+1500+1033+550</f>
        <v>39135</v>
      </c>
      <c r="H437" s="80">
        <v>11981</v>
      </c>
      <c r="I437" s="211">
        <f t="shared" si="47"/>
        <v>30.61453941484605</v>
      </c>
      <c r="J437" s="113"/>
      <c r="K437" s="80"/>
      <c r="L437" s="379"/>
      <c r="M437" s="80"/>
      <c r="N437" s="80"/>
      <c r="O437" s="356"/>
      <c r="P437" s="80"/>
      <c r="Q437" s="80"/>
      <c r="R437" s="350"/>
    </row>
    <row r="438" spans="1:18" ht="12.75">
      <c r="A438" s="111">
        <v>4260</v>
      </c>
      <c r="B438" s="115" t="s">
        <v>485</v>
      </c>
      <c r="C438" s="79">
        <v>13050</v>
      </c>
      <c r="D438" s="65">
        <f t="shared" si="44"/>
        <v>19250</v>
      </c>
      <c r="E438" s="80">
        <f t="shared" si="48"/>
        <v>10594</v>
      </c>
      <c r="F438" s="452">
        <f t="shared" si="46"/>
        <v>55.03376623376624</v>
      </c>
      <c r="G438" s="79">
        <f>13050+220+4500+1480</f>
        <v>19250</v>
      </c>
      <c r="H438" s="80">
        <v>10594</v>
      </c>
      <c r="I438" s="211">
        <f t="shared" si="47"/>
        <v>55.03376623376624</v>
      </c>
      <c r="J438" s="113"/>
      <c r="K438" s="80"/>
      <c r="L438" s="379"/>
      <c r="M438" s="80"/>
      <c r="N438" s="80"/>
      <c r="O438" s="356"/>
      <c r="P438" s="80"/>
      <c r="Q438" s="80"/>
      <c r="R438" s="350"/>
    </row>
    <row r="439" spans="1:18" ht="24" hidden="1">
      <c r="A439" s="111">
        <v>4270</v>
      </c>
      <c r="B439" s="115" t="s">
        <v>487</v>
      </c>
      <c r="C439" s="79"/>
      <c r="D439" s="65">
        <f t="shared" si="44"/>
        <v>0</v>
      </c>
      <c r="E439" s="80">
        <f t="shared" si="48"/>
        <v>0</v>
      </c>
      <c r="F439" s="452" t="e">
        <f t="shared" si="46"/>
        <v>#DIV/0!</v>
      </c>
      <c r="G439" s="79"/>
      <c r="H439" s="80"/>
      <c r="I439" s="211" t="e">
        <f t="shared" si="47"/>
        <v>#DIV/0!</v>
      </c>
      <c r="J439" s="113"/>
      <c r="K439" s="80"/>
      <c r="L439" s="379"/>
      <c r="M439" s="80"/>
      <c r="N439" s="80"/>
      <c r="O439" s="356"/>
      <c r="P439" s="80"/>
      <c r="Q439" s="80"/>
      <c r="R439" s="350"/>
    </row>
    <row r="440" spans="1:18" ht="18" customHeight="1">
      <c r="A440" s="145">
        <v>4300</v>
      </c>
      <c r="B440" s="146" t="s">
        <v>601</v>
      </c>
      <c r="C440" s="147">
        <v>24250</v>
      </c>
      <c r="D440" s="148">
        <f t="shared" si="44"/>
        <v>28828</v>
      </c>
      <c r="E440" s="142">
        <f t="shared" si="48"/>
        <v>10491</v>
      </c>
      <c r="F440" s="453">
        <f t="shared" si="46"/>
        <v>36.39170251144721</v>
      </c>
      <c r="G440" s="147">
        <f>24250+1068+170+2720+120+500</f>
        <v>28828</v>
      </c>
      <c r="H440" s="142">
        <v>10491</v>
      </c>
      <c r="I440" s="259">
        <f t="shared" si="47"/>
        <v>36.39170251144721</v>
      </c>
      <c r="J440" s="149"/>
      <c r="K440" s="142"/>
      <c r="L440" s="404"/>
      <c r="M440" s="142"/>
      <c r="N440" s="142"/>
      <c r="O440" s="375"/>
      <c r="P440" s="142"/>
      <c r="Q440" s="142"/>
      <c r="R440" s="354"/>
    </row>
    <row r="441" spans="1:18" ht="41.25" customHeight="1">
      <c r="A441" s="111">
        <v>4370</v>
      </c>
      <c r="B441" s="115" t="s">
        <v>286</v>
      </c>
      <c r="C441" s="79">
        <v>6450</v>
      </c>
      <c r="D441" s="65">
        <f t="shared" si="44"/>
        <v>6430</v>
      </c>
      <c r="E441" s="80">
        <f>SUM(H441+K441+N441+Q441)</f>
        <v>2114</v>
      </c>
      <c r="F441" s="452">
        <f>E441/D441*100</f>
        <v>32.87713841368585</v>
      </c>
      <c r="G441" s="79">
        <f>6450+100-120</f>
        <v>6430</v>
      </c>
      <c r="H441" s="80">
        <v>2114</v>
      </c>
      <c r="I441" s="211">
        <f t="shared" si="47"/>
        <v>32.87713841368585</v>
      </c>
      <c r="J441" s="113"/>
      <c r="K441" s="80"/>
      <c r="L441" s="379"/>
      <c r="M441" s="80"/>
      <c r="N441" s="80"/>
      <c r="O441" s="356"/>
      <c r="P441" s="80"/>
      <c r="Q441" s="80"/>
      <c r="R441" s="350"/>
    </row>
    <row r="442" spans="1:18" ht="24">
      <c r="A442" s="159">
        <v>4400</v>
      </c>
      <c r="B442" s="326" t="s">
        <v>287</v>
      </c>
      <c r="C442" s="79">
        <v>44900</v>
      </c>
      <c r="D442" s="65">
        <f t="shared" si="44"/>
        <v>58057</v>
      </c>
      <c r="E442" s="80">
        <f>SUM(H442+K442+N442+Q442)</f>
        <v>24557</v>
      </c>
      <c r="F442" s="452">
        <f t="shared" si="46"/>
        <v>42.29808636340148</v>
      </c>
      <c r="G442" s="79">
        <f>44900+3700+5100+100+2700-4500+3600-870+5160-1033-800</f>
        <v>58057</v>
      </c>
      <c r="H442" s="65">
        <v>24557</v>
      </c>
      <c r="I442" s="211">
        <f t="shared" si="47"/>
        <v>42.29808636340148</v>
      </c>
      <c r="J442" s="113"/>
      <c r="K442" s="80"/>
      <c r="L442" s="379"/>
      <c r="M442" s="80"/>
      <c r="N442" s="80"/>
      <c r="O442" s="356"/>
      <c r="P442" s="80"/>
      <c r="Q442" s="80"/>
      <c r="R442" s="350"/>
    </row>
    <row r="443" spans="1:18" ht="51" customHeight="1">
      <c r="A443" s="111">
        <v>4740</v>
      </c>
      <c r="B443" s="276" t="s">
        <v>288</v>
      </c>
      <c r="C443" s="79">
        <v>1200</v>
      </c>
      <c r="D443" s="65">
        <f>G443+J443+P443+M443</f>
        <v>1650</v>
      </c>
      <c r="E443" s="80">
        <f>SUM(H443+K443+N443+Q443)</f>
        <v>121</v>
      </c>
      <c r="F443" s="452">
        <f>E443/D443*100</f>
        <v>7.333333333333333</v>
      </c>
      <c r="G443" s="79">
        <f>1200+40+400+60-50</f>
        <v>1650</v>
      </c>
      <c r="H443" s="65">
        <v>121</v>
      </c>
      <c r="I443" s="211">
        <f t="shared" si="47"/>
        <v>7.333333333333333</v>
      </c>
      <c r="J443" s="113"/>
      <c r="K443" s="80"/>
      <c r="L443" s="379"/>
      <c r="M443" s="80"/>
      <c r="N443" s="80"/>
      <c r="O443" s="356"/>
      <c r="P443" s="80"/>
      <c r="Q443" s="80"/>
      <c r="R443" s="350"/>
    </row>
    <row r="444" spans="1:18" ht="36">
      <c r="A444" s="159">
        <v>4750</v>
      </c>
      <c r="B444" s="193" t="s">
        <v>350</v>
      </c>
      <c r="C444" s="147">
        <v>3150</v>
      </c>
      <c r="D444" s="148">
        <f t="shared" si="44"/>
        <v>4750</v>
      </c>
      <c r="E444" s="142">
        <f>SUM(H444+K444+N444+Q444)</f>
        <v>558</v>
      </c>
      <c r="F444" s="453">
        <f aca="true" t="shared" si="49" ref="F444:F455">E444/D444*100</f>
        <v>11.74736842105263</v>
      </c>
      <c r="G444" s="147">
        <f>3150+1200+200+400-200</f>
        <v>4750</v>
      </c>
      <c r="H444" s="142">
        <v>558</v>
      </c>
      <c r="I444" s="259">
        <f t="shared" si="47"/>
        <v>11.74736842105263</v>
      </c>
      <c r="J444" s="149"/>
      <c r="K444" s="142"/>
      <c r="L444" s="404"/>
      <c r="M444" s="142"/>
      <c r="N444" s="142"/>
      <c r="O444" s="375"/>
      <c r="P444" s="142"/>
      <c r="Q444" s="142"/>
      <c r="R444" s="354"/>
    </row>
    <row r="445" spans="1:18" ht="12.75" customHeight="1">
      <c r="A445" s="106">
        <v>75095</v>
      </c>
      <c r="B445" s="172" t="s">
        <v>504</v>
      </c>
      <c r="C445" s="108">
        <f>SUM(C446:C457)</f>
        <v>2670500</v>
      </c>
      <c r="D445" s="86">
        <f t="shared" si="44"/>
        <v>2670500</v>
      </c>
      <c r="E445" s="86">
        <f>H445+K445+Q445+N445</f>
        <v>1100271</v>
      </c>
      <c r="F445" s="451">
        <f t="shared" si="49"/>
        <v>41.200936154278224</v>
      </c>
      <c r="G445" s="85">
        <f>SUM(G447:G460)</f>
        <v>2670500</v>
      </c>
      <c r="H445" s="86">
        <f>SUM(H447:H460)</f>
        <v>1100271</v>
      </c>
      <c r="I445" s="301">
        <f t="shared" si="47"/>
        <v>41.200936154278224</v>
      </c>
      <c r="J445" s="110"/>
      <c r="K445" s="75"/>
      <c r="L445" s="406"/>
      <c r="M445" s="75"/>
      <c r="N445" s="75"/>
      <c r="O445" s="369"/>
      <c r="P445" s="75"/>
      <c r="Q445" s="75"/>
      <c r="R445" s="360"/>
    </row>
    <row r="446" spans="1:18" ht="48" hidden="1">
      <c r="A446" s="111">
        <v>3040</v>
      </c>
      <c r="B446" s="115" t="s">
        <v>602</v>
      </c>
      <c r="C446" s="79"/>
      <c r="D446" s="65">
        <f t="shared" si="44"/>
        <v>0</v>
      </c>
      <c r="E446" s="80">
        <f aca="true" t="shared" si="50" ref="E446:E468">SUM(H446+K446+N446+Q446)</f>
        <v>0</v>
      </c>
      <c r="F446" s="452" t="e">
        <f t="shared" si="49"/>
        <v>#DIV/0!</v>
      </c>
      <c r="G446" s="79"/>
      <c r="H446" s="65"/>
      <c r="I446" s="211" t="e">
        <f t="shared" si="47"/>
        <v>#DIV/0!</v>
      </c>
      <c r="J446" s="113"/>
      <c r="K446" s="80"/>
      <c r="L446" s="379"/>
      <c r="M446" s="80"/>
      <c r="N446" s="80"/>
      <c r="O446" s="356"/>
      <c r="P446" s="80"/>
      <c r="Q446" s="80"/>
      <c r="R446" s="350"/>
    </row>
    <row r="447" spans="1:18" ht="24">
      <c r="A447" s="111">
        <v>4110</v>
      </c>
      <c r="B447" s="115" t="s">
        <v>603</v>
      </c>
      <c r="C447" s="79">
        <v>2000</v>
      </c>
      <c r="D447" s="65">
        <f t="shared" si="44"/>
        <v>2000</v>
      </c>
      <c r="E447" s="80">
        <f t="shared" si="50"/>
        <v>0</v>
      </c>
      <c r="F447" s="452">
        <f t="shared" si="49"/>
        <v>0</v>
      </c>
      <c r="G447" s="79">
        <v>2000</v>
      </c>
      <c r="H447" s="65"/>
      <c r="I447" s="211">
        <f t="shared" si="47"/>
        <v>0</v>
      </c>
      <c r="J447" s="113"/>
      <c r="K447" s="80"/>
      <c r="L447" s="379"/>
      <c r="M447" s="80"/>
      <c r="N447" s="80"/>
      <c r="O447" s="356"/>
      <c r="P447" s="80"/>
      <c r="Q447" s="80"/>
      <c r="R447" s="350"/>
    </row>
    <row r="448" spans="1:18" ht="12.75">
      <c r="A448" s="111">
        <v>4120</v>
      </c>
      <c r="B448" s="115" t="s">
        <v>604</v>
      </c>
      <c r="C448" s="79">
        <v>2000</v>
      </c>
      <c r="D448" s="65">
        <f t="shared" si="44"/>
        <v>2000</v>
      </c>
      <c r="E448" s="80">
        <f t="shared" si="50"/>
        <v>0</v>
      </c>
      <c r="F448" s="452">
        <f t="shared" si="49"/>
        <v>0</v>
      </c>
      <c r="G448" s="79">
        <v>2000</v>
      </c>
      <c r="H448" s="65"/>
      <c r="I448" s="211">
        <f t="shared" si="47"/>
        <v>0</v>
      </c>
      <c r="J448" s="113"/>
      <c r="K448" s="80"/>
      <c r="L448" s="379"/>
      <c r="M448" s="80"/>
      <c r="N448" s="80"/>
      <c r="O448" s="356"/>
      <c r="P448" s="80"/>
      <c r="Q448" s="80"/>
      <c r="R448" s="350"/>
    </row>
    <row r="449" spans="1:18" ht="24">
      <c r="A449" s="111">
        <v>4170</v>
      </c>
      <c r="B449" s="115" t="s">
        <v>605</v>
      </c>
      <c r="C449" s="79">
        <v>10000</v>
      </c>
      <c r="D449" s="65">
        <f t="shared" si="44"/>
        <v>10000</v>
      </c>
      <c r="E449" s="80">
        <f t="shared" si="50"/>
        <v>0</v>
      </c>
      <c r="F449" s="452">
        <f t="shared" si="49"/>
        <v>0</v>
      </c>
      <c r="G449" s="79">
        <v>10000</v>
      </c>
      <c r="H449" s="65"/>
      <c r="I449" s="211">
        <f t="shared" si="47"/>
        <v>0</v>
      </c>
      <c r="J449" s="113"/>
      <c r="K449" s="80"/>
      <c r="L449" s="379"/>
      <c r="M449" s="80"/>
      <c r="N449" s="80"/>
      <c r="O449" s="356"/>
      <c r="P449" s="80"/>
      <c r="Q449" s="80"/>
      <c r="R449" s="350"/>
    </row>
    <row r="450" spans="1:18" ht="24">
      <c r="A450" s="111">
        <v>4210</v>
      </c>
      <c r="B450" s="115" t="s">
        <v>606</v>
      </c>
      <c r="C450" s="79">
        <v>9000</v>
      </c>
      <c r="D450" s="65">
        <f t="shared" si="44"/>
        <v>9000</v>
      </c>
      <c r="E450" s="80">
        <f t="shared" si="50"/>
        <v>125</v>
      </c>
      <c r="F450" s="452">
        <f t="shared" si="49"/>
        <v>1.3888888888888888</v>
      </c>
      <c r="G450" s="79">
        <v>9000</v>
      </c>
      <c r="H450" s="65">
        <v>125</v>
      </c>
      <c r="I450" s="211">
        <f t="shared" si="47"/>
        <v>1.3888888888888888</v>
      </c>
      <c r="J450" s="113"/>
      <c r="K450" s="80"/>
      <c r="L450" s="379"/>
      <c r="M450" s="80"/>
      <c r="N450" s="80"/>
      <c r="O450" s="356"/>
      <c r="P450" s="80"/>
      <c r="Q450" s="80"/>
      <c r="R450" s="350"/>
    </row>
    <row r="451" spans="1:18" ht="24">
      <c r="A451" s="111">
        <v>4300</v>
      </c>
      <c r="B451" s="115" t="s">
        <v>607</v>
      </c>
      <c r="C451" s="79">
        <v>100000</v>
      </c>
      <c r="D451" s="65">
        <f t="shared" si="44"/>
        <v>162000</v>
      </c>
      <c r="E451" s="80">
        <f>SUM(H451+K451+N451+Q451)</f>
        <v>73125</v>
      </c>
      <c r="F451" s="452">
        <f t="shared" si="49"/>
        <v>45.13888888888889</v>
      </c>
      <c r="G451" s="79">
        <f>100000+62000</f>
        <v>162000</v>
      </c>
      <c r="H451" s="65">
        <v>73125</v>
      </c>
      <c r="I451" s="211">
        <f t="shared" si="47"/>
        <v>45.13888888888889</v>
      </c>
      <c r="J451" s="113"/>
      <c r="K451" s="80"/>
      <c r="L451" s="379"/>
      <c r="M451" s="80"/>
      <c r="N451" s="80"/>
      <c r="O451" s="356"/>
      <c r="P451" s="80"/>
      <c r="Q451" s="80"/>
      <c r="R451" s="350"/>
    </row>
    <row r="452" spans="1:18" ht="24">
      <c r="A452" s="324">
        <v>4350</v>
      </c>
      <c r="B452" s="193" t="s">
        <v>228</v>
      </c>
      <c r="C452" s="79">
        <v>3500</v>
      </c>
      <c r="D452" s="65">
        <f t="shared" si="44"/>
        <v>3500</v>
      </c>
      <c r="E452" s="80">
        <f>SUM(H452+K452+N452+Q452)</f>
        <v>682</v>
      </c>
      <c r="F452" s="452">
        <f t="shared" si="49"/>
        <v>19.485714285714288</v>
      </c>
      <c r="G452" s="79">
        <v>3500</v>
      </c>
      <c r="H452" s="65">
        <v>682</v>
      </c>
      <c r="I452" s="211">
        <f t="shared" si="47"/>
        <v>19.485714285714288</v>
      </c>
      <c r="J452" s="113"/>
      <c r="K452" s="80"/>
      <c r="L452" s="379"/>
      <c r="M452" s="80"/>
      <c r="N452" s="80"/>
      <c r="O452" s="356"/>
      <c r="P452" s="80"/>
      <c r="Q452" s="80"/>
      <c r="R452" s="350"/>
    </row>
    <row r="453" spans="1:18" ht="36">
      <c r="A453" s="111">
        <v>4380</v>
      </c>
      <c r="B453" s="115" t="s">
        <v>294</v>
      </c>
      <c r="C453" s="79">
        <v>35000</v>
      </c>
      <c r="D453" s="65">
        <f t="shared" si="44"/>
        <v>35000</v>
      </c>
      <c r="E453" s="80">
        <f>SUM(H453+K453+N453+Q453)</f>
        <v>19931</v>
      </c>
      <c r="F453" s="452">
        <f t="shared" si="49"/>
        <v>56.94571428571429</v>
      </c>
      <c r="G453" s="79">
        <v>35000</v>
      </c>
      <c r="H453" s="65">
        <v>19931</v>
      </c>
      <c r="I453" s="211">
        <f t="shared" si="47"/>
        <v>56.94571428571429</v>
      </c>
      <c r="J453" s="113"/>
      <c r="K453" s="80"/>
      <c r="L453" s="379"/>
      <c r="M453" s="80"/>
      <c r="N453" s="80"/>
      <c r="O453" s="356"/>
      <c r="P453" s="80"/>
      <c r="Q453" s="80"/>
      <c r="R453" s="350"/>
    </row>
    <row r="454" spans="1:18" ht="48">
      <c r="A454" s="111">
        <v>4390</v>
      </c>
      <c r="B454" s="193" t="s">
        <v>293</v>
      </c>
      <c r="C454" s="79">
        <v>150000</v>
      </c>
      <c r="D454" s="65">
        <f t="shared" si="44"/>
        <v>150000</v>
      </c>
      <c r="E454" s="80">
        <f>SUM(H454+K454+N454+Q454)</f>
        <v>44774</v>
      </c>
      <c r="F454" s="452">
        <f t="shared" si="49"/>
        <v>29.849333333333334</v>
      </c>
      <c r="G454" s="79">
        <v>150000</v>
      </c>
      <c r="H454" s="65">
        <v>44774</v>
      </c>
      <c r="I454" s="211">
        <f t="shared" si="47"/>
        <v>29.849333333333334</v>
      </c>
      <c r="J454" s="113"/>
      <c r="K454" s="80"/>
      <c r="L454" s="379"/>
      <c r="M454" s="80"/>
      <c r="N454" s="80"/>
      <c r="O454" s="356"/>
      <c r="P454" s="80"/>
      <c r="Q454" s="80"/>
      <c r="R454" s="350"/>
    </row>
    <row r="455" spans="1:18" ht="24">
      <c r="A455" s="111">
        <v>4430</v>
      </c>
      <c r="B455" s="115" t="s">
        <v>608</v>
      </c>
      <c r="C455" s="79">
        <v>1691000</v>
      </c>
      <c r="D455" s="65">
        <f t="shared" si="44"/>
        <v>1629000</v>
      </c>
      <c r="E455" s="80">
        <f t="shared" si="50"/>
        <v>622134</v>
      </c>
      <c r="F455" s="452">
        <f t="shared" si="49"/>
        <v>38.191160220994476</v>
      </c>
      <c r="G455" s="79">
        <f>1691000-65000+3000</f>
        <v>1629000</v>
      </c>
      <c r="H455" s="65">
        <v>622134</v>
      </c>
      <c r="I455" s="211">
        <f>H455/G455*100</f>
        <v>38.191160220994476</v>
      </c>
      <c r="J455" s="113"/>
      <c r="K455" s="80"/>
      <c r="L455" s="379"/>
      <c r="M455" s="80"/>
      <c r="N455" s="80"/>
      <c r="O455" s="356"/>
      <c r="P455" s="80"/>
      <c r="Q455" s="80"/>
      <c r="R455" s="350"/>
    </row>
    <row r="456" spans="1:18" ht="60">
      <c r="A456" s="145">
        <v>2810</v>
      </c>
      <c r="B456" s="146" t="s">
        <v>395</v>
      </c>
      <c r="C456" s="147"/>
      <c r="D456" s="148">
        <f>G456+J456+P456+M456</f>
        <v>668000</v>
      </c>
      <c r="E456" s="142">
        <f>SUM(H456+K456+N456+Q456)</f>
        <v>339500</v>
      </c>
      <c r="F456" s="453">
        <f>E456/D456*100</f>
        <v>50.82335329341318</v>
      </c>
      <c r="G456" s="608">
        <v>668000</v>
      </c>
      <c r="H456" s="148">
        <v>339500</v>
      </c>
      <c r="I456" s="259">
        <f>H456/G456*100</f>
        <v>50.82335329341318</v>
      </c>
      <c r="J456" s="149"/>
      <c r="K456" s="142"/>
      <c r="L456" s="404"/>
      <c r="M456" s="149"/>
      <c r="N456" s="149"/>
      <c r="O456" s="375"/>
      <c r="P456" s="142"/>
      <c r="Q456" s="142"/>
      <c r="R456" s="354"/>
    </row>
    <row r="457" spans="1:18" ht="67.5" customHeight="1" thickBot="1">
      <c r="A457" s="111">
        <v>2820</v>
      </c>
      <c r="B457" s="115" t="s">
        <v>90</v>
      </c>
      <c r="C457" s="79">
        <v>668000</v>
      </c>
      <c r="D457" s="65">
        <f aca="true" t="shared" si="51" ref="D457:D525">G457+J457+P457+M457</f>
        <v>0</v>
      </c>
      <c r="E457" s="80">
        <f t="shared" si="50"/>
        <v>0</v>
      </c>
      <c r="F457" s="452"/>
      <c r="G457" s="141"/>
      <c r="H457" s="80"/>
      <c r="I457" s="426"/>
      <c r="J457" s="113"/>
      <c r="K457" s="80"/>
      <c r="L457" s="379"/>
      <c r="M457" s="79"/>
      <c r="N457" s="113"/>
      <c r="O457" s="356"/>
      <c r="P457" s="80"/>
      <c r="Q457" s="80"/>
      <c r="R457" s="350"/>
    </row>
    <row r="458" spans="1:18" s="11" customFormat="1" ht="12.75" customHeight="1" hidden="1">
      <c r="A458" s="151"/>
      <c r="B458" s="220" t="s">
        <v>609</v>
      </c>
      <c r="C458" s="221"/>
      <c r="D458" s="65">
        <f t="shared" si="51"/>
        <v>0</v>
      </c>
      <c r="E458" s="80">
        <f t="shared" si="50"/>
        <v>0</v>
      </c>
      <c r="F458" s="452" t="e">
        <f aca="true" t="shared" si="52" ref="F458:F521">E458/D458*100</f>
        <v>#DIV/0!</v>
      </c>
      <c r="G458" s="221"/>
      <c r="H458" s="223"/>
      <c r="I458" s="426" t="e">
        <f aca="true" t="shared" si="53" ref="I458:I463">H458/G458*100</f>
        <v>#DIV/0!</v>
      </c>
      <c r="J458" s="224"/>
      <c r="K458" s="223"/>
      <c r="L458" s="379"/>
      <c r="M458" s="221"/>
      <c r="N458" s="224"/>
      <c r="O458" s="379"/>
      <c r="P458" s="223"/>
      <c r="Q458" s="223"/>
      <c r="R458" s="357"/>
    </row>
    <row r="459" spans="1:18" s="11" customFormat="1" ht="15" customHeight="1" hidden="1">
      <c r="A459" s="151"/>
      <c r="B459" s="220" t="s">
        <v>610</v>
      </c>
      <c r="C459" s="221"/>
      <c r="D459" s="65">
        <f t="shared" si="51"/>
        <v>0</v>
      </c>
      <c r="E459" s="80">
        <f t="shared" si="50"/>
        <v>0</v>
      </c>
      <c r="F459" s="452" t="e">
        <f t="shared" si="52"/>
        <v>#DIV/0!</v>
      </c>
      <c r="G459" s="221"/>
      <c r="H459" s="223"/>
      <c r="I459" s="426" t="e">
        <f t="shared" si="53"/>
        <v>#DIV/0!</v>
      </c>
      <c r="J459" s="224"/>
      <c r="K459" s="223"/>
      <c r="L459" s="379"/>
      <c r="M459" s="221"/>
      <c r="N459" s="224"/>
      <c r="O459" s="379"/>
      <c r="P459" s="223"/>
      <c r="Q459" s="223"/>
      <c r="R459" s="357"/>
    </row>
    <row r="460" spans="1:18" s="275" customFormat="1" ht="18" customHeight="1" hidden="1">
      <c r="A460" s="551"/>
      <c r="B460" s="552" t="s">
        <v>620</v>
      </c>
      <c r="C460" s="553"/>
      <c r="D460" s="562">
        <f t="shared" si="51"/>
        <v>0</v>
      </c>
      <c r="E460" s="562">
        <f t="shared" si="50"/>
        <v>0</v>
      </c>
      <c r="F460" s="452" t="e">
        <f t="shared" si="52"/>
        <v>#DIV/0!</v>
      </c>
      <c r="G460" s="214">
        <f>SUM(G461:G468)</f>
        <v>0</v>
      </c>
      <c r="H460" s="215">
        <f>SUM(H461:H468)</f>
        <v>0</v>
      </c>
      <c r="I460" s="426" t="e">
        <f t="shared" si="53"/>
        <v>#DIV/0!</v>
      </c>
      <c r="J460" s="555"/>
      <c r="K460" s="555"/>
      <c r="L460" s="556"/>
      <c r="M460" s="553"/>
      <c r="N460" s="555"/>
      <c r="O460" s="556"/>
      <c r="P460" s="554"/>
      <c r="Q460" s="554"/>
      <c r="R460" s="557"/>
    </row>
    <row r="461" spans="1:18" ht="25.5" customHeight="1" hidden="1">
      <c r="A461" s="111">
        <v>4110</v>
      </c>
      <c r="B461" s="115" t="s">
        <v>621</v>
      </c>
      <c r="C461" s="303"/>
      <c r="D461" s="65">
        <f t="shared" si="51"/>
        <v>0</v>
      </c>
      <c r="E461" s="80">
        <f t="shared" si="50"/>
        <v>0</v>
      </c>
      <c r="F461" s="452" t="e">
        <f t="shared" si="52"/>
        <v>#DIV/0!</v>
      </c>
      <c r="G461" s="303"/>
      <c r="H461" s="558"/>
      <c r="I461" s="426" t="e">
        <f t="shared" si="53"/>
        <v>#DIV/0!</v>
      </c>
      <c r="J461" s="559"/>
      <c r="K461" s="559"/>
      <c r="L461" s="560"/>
      <c r="M461" s="303"/>
      <c r="N461" s="559"/>
      <c r="O461" s="560"/>
      <c r="P461" s="558"/>
      <c r="Q461" s="558"/>
      <c r="R461" s="561"/>
    </row>
    <row r="462" spans="1:18" ht="18" customHeight="1" hidden="1">
      <c r="A462" s="111">
        <v>4120</v>
      </c>
      <c r="B462" s="115" t="s">
        <v>622</v>
      </c>
      <c r="C462" s="303"/>
      <c r="D462" s="65">
        <f t="shared" si="51"/>
        <v>0</v>
      </c>
      <c r="E462" s="80">
        <f t="shared" si="50"/>
        <v>0</v>
      </c>
      <c r="F462" s="452" t="e">
        <f t="shared" si="52"/>
        <v>#DIV/0!</v>
      </c>
      <c r="G462" s="303"/>
      <c r="H462" s="558"/>
      <c r="I462" s="426" t="e">
        <f t="shared" si="53"/>
        <v>#DIV/0!</v>
      </c>
      <c r="J462" s="559"/>
      <c r="K462" s="559"/>
      <c r="L462" s="560"/>
      <c r="M462" s="303"/>
      <c r="N462" s="559"/>
      <c r="O462" s="560"/>
      <c r="P462" s="558"/>
      <c r="Q462" s="558"/>
      <c r="R462" s="561"/>
    </row>
    <row r="463" spans="1:18" ht="25.5" customHeight="1" hidden="1">
      <c r="A463" s="111">
        <v>4170</v>
      </c>
      <c r="B463" s="115" t="s">
        <v>623</v>
      </c>
      <c r="C463" s="303"/>
      <c r="D463" s="65">
        <f t="shared" si="51"/>
        <v>0</v>
      </c>
      <c r="E463" s="80">
        <f t="shared" si="50"/>
        <v>0</v>
      </c>
      <c r="F463" s="452" t="e">
        <f t="shared" si="52"/>
        <v>#DIV/0!</v>
      </c>
      <c r="G463" s="303"/>
      <c r="H463" s="558"/>
      <c r="I463" s="426" t="e">
        <f t="shared" si="53"/>
        <v>#DIV/0!</v>
      </c>
      <c r="J463" s="559"/>
      <c r="K463" s="559"/>
      <c r="L463" s="560"/>
      <c r="M463" s="303"/>
      <c r="N463" s="559"/>
      <c r="O463" s="560"/>
      <c r="P463" s="558"/>
      <c r="Q463" s="558"/>
      <c r="R463" s="561"/>
    </row>
    <row r="464" spans="1:18" ht="25.5" customHeight="1" hidden="1">
      <c r="A464" s="111">
        <v>4210</v>
      </c>
      <c r="B464" s="115" t="s">
        <v>624</v>
      </c>
      <c r="C464" s="303"/>
      <c r="D464" s="65">
        <f t="shared" si="51"/>
        <v>0</v>
      </c>
      <c r="E464" s="80">
        <f t="shared" si="50"/>
        <v>0</v>
      </c>
      <c r="F464" s="452" t="e">
        <f t="shared" si="52"/>
        <v>#DIV/0!</v>
      </c>
      <c r="G464" s="303"/>
      <c r="H464" s="558"/>
      <c r="I464" s="426" t="e">
        <f>H464/G464*100</f>
        <v>#DIV/0!</v>
      </c>
      <c r="J464" s="559"/>
      <c r="K464" s="559"/>
      <c r="L464" s="560"/>
      <c r="M464" s="303"/>
      <c r="N464" s="559"/>
      <c r="O464" s="560"/>
      <c r="P464" s="558"/>
      <c r="Q464" s="558"/>
      <c r="R464" s="561"/>
    </row>
    <row r="465" spans="1:18" ht="25.5" customHeight="1" hidden="1">
      <c r="A465" s="111">
        <v>4300</v>
      </c>
      <c r="B465" s="115" t="s">
        <v>625</v>
      </c>
      <c r="C465" s="303"/>
      <c r="D465" s="65">
        <f t="shared" si="51"/>
        <v>0</v>
      </c>
      <c r="E465" s="80">
        <f t="shared" si="50"/>
        <v>0</v>
      </c>
      <c r="F465" s="452" t="e">
        <f t="shared" si="52"/>
        <v>#DIV/0!</v>
      </c>
      <c r="G465" s="303"/>
      <c r="H465" s="558"/>
      <c r="I465" s="426" t="e">
        <f>H465/G465*100</f>
        <v>#DIV/0!</v>
      </c>
      <c r="J465" s="559"/>
      <c r="K465" s="559"/>
      <c r="L465" s="560"/>
      <c r="M465" s="303"/>
      <c r="N465" s="559"/>
      <c r="O465" s="560"/>
      <c r="P465" s="558"/>
      <c r="Q465" s="558"/>
      <c r="R465" s="561"/>
    </row>
    <row r="466" spans="1:18" ht="52.5" customHeight="1" hidden="1">
      <c r="A466" s="111">
        <v>4370</v>
      </c>
      <c r="B466" s="326" t="s">
        <v>626</v>
      </c>
      <c r="C466" s="303"/>
      <c r="D466" s="65">
        <f t="shared" si="51"/>
        <v>0</v>
      </c>
      <c r="E466" s="80">
        <f t="shared" si="50"/>
        <v>0</v>
      </c>
      <c r="F466" s="452" t="e">
        <f t="shared" si="52"/>
        <v>#DIV/0!</v>
      </c>
      <c r="G466" s="303"/>
      <c r="H466" s="558"/>
      <c r="I466" s="426" t="e">
        <f>H466/G466*100</f>
        <v>#DIV/0!</v>
      </c>
      <c r="J466" s="559"/>
      <c r="K466" s="559"/>
      <c r="L466" s="560"/>
      <c r="M466" s="303"/>
      <c r="N466" s="559"/>
      <c r="O466" s="560"/>
      <c r="P466" s="558"/>
      <c r="Q466" s="558"/>
      <c r="R466" s="561"/>
    </row>
    <row r="467" spans="1:18" ht="49.5" customHeight="1" hidden="1">
      <c r="A467" s="111">
        <v>4740</v>
      </c>
      <c r="B467" s="326" t="s">
        <v>632</v>
      </c>
      <c r="C467" s="303"/>
      <c r="D467" s="65">
        <f t="shared" si="51"/>
        <v>0</v>
      </c>
      <c r="E467" s="80">
        <f t="shared" si="50"/>
        <v>0</v>
      </c>
      <c r="F467" s="452" t="e">
        <f t="shared" si="52"/>
        <v>#DIV/0!</v>
      </c>
      <c r="G467" s="303"/>
      <c r="H467" s="558"/>
      <c r="I467" s="426" t="e">
        <f>H467/G467*100</f>
        <v>#DIV/0!</v>
      </c>
      <c r="J467" s="559"/>
      <c r="K467" s="559"/>
      <c r="L467" s="560"/>
      <c r="M467" s="303"/>
      <c r="N467" s="559"/>
      <c r="O467" s="560"/>
      <c r="P467" s="558"/>
      <c r="Q467" s="558"/>
      <c r="R467" s="561"/>
    </row>
    <row r="468" spans="1:18" ht="37.5" customHeight="1" hidden="1">
      <c r="A468" s="111">
        <v>4750</v>
      </c>
      <c r="B468" s="326" t="s">
        <v>633</v>
      </c>
      <c r="C468" s="303"/>
      <c r="D468" s="117">
        <f t="shared" si="51"/>
        <v>0</v>
      </c>
      <c r="E468" s="208">
        <f t="shared" si="50"/>
        <v>0</v>
      </c>
      <c r="F468" s="452" t="e">
        <f t="shared" si="52"/>
        <v>#DIV/0!</v>
      </c>
      <c r="G468" s="303"/>
      <c r="H468" s="558"/>
      <c r="I468" s="426" t="e">
        <f>H468/G468*100</f>
        <v>#DIV/0!</v>
      </c>
      <c r="J468" s="559"/>
      <c r="K468" s="559"/>
      <c r="L468" s="560"/>
      <c r="M468" s="303"/>
      <c r="N468" s="559"/>
      <c r="O468" s="560"/>
      <c r="P468" s="558"/>
      <c r="Q468" s="558"/>
      <c r="R468" s="561"/>
    </row>
    <row r="469" spans="1:18" s="105" customFormat="1" ht="81.75" customHeight="1" thickBot="1" thickTop="1">
      <c r="A469" s="101">
        <v>751</v>
      </c>
      <c r="B469" s="102" t="s">
        <v>611</v>
      </c>
      <c r="C469" s="103">
        <f>C470</f>
        <v>17577</v>
      </c>
      <c r="D469" s="51">
        <f t="shared" si="51"/>
        <v>133927</v>
      </c>
      <c r="E469" s="98">
        <f>H469+K469+Q469+N469</f>
        <v>97836</v>
      </c>
      <c r="F469" s="480">
        <f t="shared" si="52"/>
        <v>73.05173714038244</v>
      </c>
      <c r="G469" s="103"/>
      <c r="H469" s="98"/>
      <c r="I469" s="378"/>
      <c r="J469" s="98">
        <f>J470+J484+J477</f>
        <v>133927</v>
      </c>
      <c r="K469" s="104">
        <f>K470+K484+K477</f>
        <v>97836</v>
      </c>
      <c r="L469" s="343">
        <f aca="true" t="shared" si="54" ref="L469:L495">K469/J469*100</f>
        <v>73.05173714038244</v>
      </c>
      <c r="M469" s="103"/>
      <c r="N469" s="104"/>
      <c r="O469" s="378"/>
      <c r="P469" s="98"/>
      <c r="Q469" s="98"/>
      <c r="R469" s="361"/>
    </row>
    <row r="470" spans="1:18" s="105" customFormat="1" ht="48.75" thickTop="1">
      <c r="A470" s="175">
        <v>75101</v>
      </c>
      <c r="B470" s="176" t="s">
        <v>612</v>
      </c>
      <c r="C470" s="177">
        <f>SUM(C471:C476)</f>
        <v>17577</v>
      </c>
      <c r="D470" s="109">
        <f t="shared" si="51"/>
        <v>17577</v>
      </c>
      <c r="E470" s="179">
        <f>SUM(E471:E476)</f>
        <v>3970</v>
      </c>
      <c r="F470" s="453">
        <f t="shared" si="52"/>
        <v>22.586334414291404</v>
      </c>
      <c r="G470" s="177"/>
      <c r="H470" s="179"/>
      <c r="I470" s="375"/>
      <c r="J470" s="179">
        <f>SUM(J471:J476)</f>
        <v>17577</v>
      </c>
      <c r="K470" s="179">
        <f>SUM(K471:K476)</f>
        <v>3970</v>
      </c>
      <c r="L470" s="446">
        <f t="shared" si="54"/>
        <v>22.586334414291404</v>
      </c>
      <c r="M470" s="177"/>
      <c r="N470" s="180"/>
      <c r="O470" s="375"/>
      <c r="P470" s="179"/>
      <c r="Q470" s="179"/>
      <c r="R470" s="354"/>
    </row>
    <row r="471" spans="1:18" s="12" customFormat="1" ht="24">
      <c r="A471" s="181">
        <v>4110</v>
      </c>
      <c r="B471" s="186" t="s">
        <v>477</v>
      </c>
      <c r="C471" s="93">
        <v>2321</v>
      </c>
      <c r="D471" s="94">
        <f t="shared" si="51"/>
        <v>2321</v>
      </c>
      <c r="E471" s="95">
        <f aca="true" t="shared" si="55" ref="E471:E501">SUM(H471+K471+N471+Q471)</f>
        <v>512</v>
      </c>
      <c r="F471" s="454">
        <f t="shared" si="52"/>
        <v>22.059457130547177</v>
      </c>
      <c r="G471" s="93"/>
      <c r="H471" s="94"/>
      <c r="I471" s="376"/>
      <c r="J471" s="524">
        <v>2321</v>
      </c>
      <c r="K471" s="94">
        <f>513-1</f>
        <v>512</v>
      </c>
      <c r="L471" s="448">
        <f t="shared" si="54"/>
        <v>22.059457130547177</v>
      </c>
      <c r="M471" s="93"/>
      <c r="N471" s="183"/>
      <c r="O471" s="376"/>
      <c r="P471" s="94"/>
      <c r="Q471" s="94"/>
      <c r="R471" s="353"/>
    </row>
    <row r="472" spans="1:18" s="12" customFormat="1" ht="12.75">
      <c r="A472" s="159">
        <v>4120</v>
      </c>
      <c r="B472" s="115" t="s">
        <v>613</v>
      </c>
      <c r="C472" s="161">
        <v>331</v>
      </c>
      <c r="D472" s="65">
        <f t="shared" si="51"/>
        <v>336</v>
      </c>
      <c r="E472" s="80">
        <f t="shared" si="55"/>
        <v>83</v>
      </c>
      <c r="F472" s="452">
        <f t="shared" si="52"/>
        <v>24.702380952380953</v>
      </c>
      <c r="G472" s="161"/>
      <c r="H472" s="65"/>
      <c r="I472" s="356"/>
      <c r="J472" s="210">
        <f>331+5</f>
        <v>336</v>
      </c>
      <c r="K472" s="65">
        <v>83</v>
      </c>
      <c r="L472" s="426">
        <f t="shared" si="54"/>
        <v>24.702380952380953</v>
      </c>
      <c r="M472" s="161"/>
      <c r="N472" s="162"/>
      <c r="O472" s="356"/>
      <c r="P472" s="65"/>
      <c r="Q472" s="65"/>
      <c r="R472" s="350"/>
    </row>
    <row r="473" spans="1:18" s="12" customFormat="1" ht="24">
      <c r="A473" s="159">
        <v>4170</v>
      </c>
      <c r="B473" s="115" t="s">
        <v>511</v>
      </c>
      <c r="C473" s="161">
        <v>13500</v>
      </c>
      <c r="D473" s="65">
        <f t="shared" si="51"/>
        <v>13500</v>
      </c>
      <c r="E473" s="80">
        <f t="shared" si="55"/>
        <v>3375</v>
      </c>
      <c r="F473" s="452">
        <f t="shared" si="52"/>
        <v>25</v>
      </c>
      <c r="G473" s="161"/>
      <c r="H473" s="65"/>
      <c r="I473" s="356"/>
      <c r="J473" s="210">
        <v>13500</v>
      </c>
      <c r="K473" s="65">
        <v>3375</v>
      </c>
      <c r="L473" s="426">
        <f t="shared" si="54"/>
        <v>25</v>
      </c>
      <c r="M473" s="161"/>
      <c r="N473" s="162"/>
      <c r="O473" s="356"/>
      <c r="P473" s="65"/>
      <c r="Q473" s="65"/>
      <c r="R473" s="350"/>
    </row>
    <row r="474" spans="1:18" s="12" customFormat="1" ht="24">
      <c r="A474" s="111">
        <v>4210</v>
      </c>
      <c r="B474" s="115" t="s">
        <v>614</v>
      </c>
      <c r="C474" s="161">
        <v>425</v>
      </c>
      <c r="D474" s="65">
        <f t="shared" si="51"/>
        <v>420</v>
      </c>
      <c r="E474" s="80">
        <f t="shared" si="55"/>
        <v>0</v>
      </c>
      <c r="F474" s="452">
        <f t="shared" si="52"/>
        <v>0</v>
      </c>
      <c r="G474" s="161"/>
      <c r="H474" s="65"/>
      <c r="I474" s="356"/>
      <c r="J474" s="210">
        <f>425-5</f>
        <v>420</v>
      </c>
      <c r="K474" s="65"/>
      <c r="L474" s="426">
        <f t="shared" si="54"/>
        <v>0</v>
      </c>
      <c r="M474" s="161"/>
      <c r="N474" s="162"/>
      <c r="O474" s="356"/>
      <c r="P474" s="65"/>
      <c r="Q474" s="65"/>
      <c r="R474" s="350"/>
    </row>
    <row r="475" spans="1:18" s="12" customFormat="1" ht="48.75" customHeight="1">
      <c r="A475" s="159">
        <v>4740</v>
      </c>
      <c r="B475" s="326" t="s">
        <v>288</v>
      </c>
      <c r="C475" s="161">
        <v>500</v>
      </c>
      <c r="D475" s="65">
        <f>G475+J475+P475+M475</f>
        <v>500</v>
      </c>
      <c r="E475" s="80">
        <f>SUM(H475+K475+N475+Q475)</f>
        <v>0</v>
      </c>
      <c r="F475" s="452">
        <f>E475/D475*100</f>
        <v>0</v>
      </c>
      <c r="G475" s="161"/>
      <c r="H475" s="65"/>
      <c r="I475" s="356"/>
      <c r="J475" s="210">
        <v>500</v>
      </c>
      <c r="K475" s="65"/>
      <c r="L475" s="426">
        <f t="shared" si="54"/>
        <v>0</v>
      </c>
      <c r="M475" s="161"/>
      <c r="N475" s="162"/>
      <c r="O475" s="356"/>
      <c r="P475" s="65"/>
      <c r="Q475" s="65"/>
      <c r="R475" s="350"/>
    </row>
    <row r="476" spans="1:18" s="105" customFormat="1" ht="36">
      <c r="A476" s="159">
        <v>4750</v>
      </c>
      <c r="B476" s="326" t="s">
        <v>289</v>
      </c>
      <c r="C476" s="79">
        <v>500</v>
      </c>
      <c r="D476" s="65">
        <f t="shared" si="51"/>
        <v>500</v>
      </c>
      <c r="E476" s="80">
        <f t="shared" si="55"/>
        <v>0</v>
      </c>
      <c r="F476" s="452">
        <f t="shared" si="52"/>
        <v>0</v>
      </c>
      <c r="G476" s="79"/>
      <c r="H476" s="80"/>
      <c r="I476" s="356"/>
      <c r="J476" s="141">
        <v>500</v>
      </c>
      <c r="K476" s="80"/>
      <c r="L476" s="426">
        <f t="shared" si="54"/>
        <v>0</v>
      </c>
      <c r="M476" s="79"/>
      <c r="N476" s="113"/>
      <c r="O476" s="356"/>
      <c r="P476" s="80"/>
      <c r="Q476" s="80"/>
      <c r="R476" s="350"/>
    </row>
    <row r="477" spans="1:18" s="105" customFormat="1" ht="36" hidden="1">
      <c r="A477" s="137">
        <v>75107</v>
      </c>
      <c r="B477" s="174" t="s">
        <v>615</v>
      </c>
      <c r="C477" s="85"/>
      <c r="D477" s="86">
        <f t="shared" si="51"/>
        <v>0</v>
      </c>
      <c r="E477" s="86">
        <f t="shared" si="55"/>
        <v>0</v>
      </c>
      <c r="F477" s="432" t="e">
        <f t="shared" si="52"/>
        <v>#DIV/0!</v>
      </c>
      <c r="G477" s="85"/>
      <c r="H477" s="86"/>
      <c r="I477" s="369"/>
      <c r="J477" s="206">
        <f>SUM(J478:J483)</f>
        <v>0</v>
      </c>
      <c r="K477" s="86">
        <f>SUM(K478:K483)</f>
        <v>0</v>
      </c>
      <c r="L477" s="432" t="e">
        <f t="shared" si="54"/>
        <v>#DIV/0!</v>
      </c>
      <c r="M477" s="85"/>
      <c r="N477" s="158"/>
      <c r="O477" s="391"/>
      <c r="P477" s="158"/>
      <c r="Q477" s="86"/>
      <c r="R477" s="358"/>
    </row>
    <row r="478" spans="1:18" s="105" customFormat="1" ht="24" hidden="1">
      <c r="A478" s="159">
        <v>3030</v>
      </c>
      <c r="B478" s="193" t="s">
        <v>469</v>
      </c>
      <c r="C478" s="79"/>
      <c r="D478" s="65">
        <f t="shared" si="51"/>
        <v>0</v>
      </c>
      <c r="E478" s="80">
        <f t="shared" si="55"/>
        <v>0</v>
      </c>
      <c r="F478" s="452" t="e">
        <f t="shared" si="52"/>
        <v>#DIV/0!</v>
      </c>
      <c r="G478" s="79"/>
      <c r="H478" s="80"/>
      <c r="I478" s="356"/>
      <c r="J478" s="207"/>
      <c r="K478" s="80"/>
      <c r="L478" s="426" t="e">
        <f t="shared" si="54"/>
        <v>#DIV/0!</v>
      </c>
      <c r="M478" s="79"/>
      <c r="N478" s="113"/>
      <c r="O478" s="356"/>
      <c r="P478" s="113"/>
      <c r="Q478" s="80"/>
      <c r="R478" s="350"/>
    </row>
    <row r="479" spans="1:18" s="105" customFormat="1" ht="24" hidden="1">
      <c r="A479" s="159">
        <v>4110</v>
      </c>
      <c r="B479" s="193" t="s">
        <v>477</v>
      </c>
      <c r="C479" s="79"/>
      <c r="D479" s="65">
        <f t="shared" si="51"/>
        <v>0</v>
      </c>
      <c r="E479" s="80">
        <f t="shared" si="55"/>
        <v>0</v>
      </c>
      <c r="F479" s="452" t="e">
        <f t="shared" si="52"/>
        <v>#DIV/0!</v>
      </c>
      <c r="G479" s="79"/>
      <c r="H479" s="80"/>
      <c r="I479" s="356"/>
      <c r="J479" s="207"/>
      <c r="K479" s="80"/>
      <c r="L479" s="426" t="e">
        <f t="shared" si="54"/>
        <v>#DIV/0!</v>
      </c>
      <c r="M479" s="79"/>
      <c r="N479" s="113"/>
      <c r="O479" s="356"/>
      <c r="P479" s="113"/>
      <c r="Q479" s="80"/>
      <c r="R479" s="350"/>
    </row>
    <row r="480" spans="1:18" s="105" customFormat="1" ht="12.75" hidden="1">
      <c r="A480" s="159">
        <v>4120</v>
      </c>
      <c r="B480" s="193" t="s">
        <v>547</v>
      </c>
      <c r="C480" s="79"/>
      <c r="D480" s="65">
        <f t="shared" si="51"/>
        <v>0</v>
      </c>
      <c r="E480" s="80">
        <f t="shared" si="55"/>
        <v>0</v>
      </c>
      <c r="F480" s="452" t="e">
        <f t="shared" si="52"/>
        <v>#DIV/0!</v>
      </c>
      <c r="G480" s="79"/>
      <c r="H480" s="80"/>
      <c r="I480" s="356"/>
      <c r="J480" s="207"/>
      <c r="K480" s="80"/>
      <c r="L480" s="426" t="e">
        <f t="shared" si="54"/>
        <v>#DIV/0!</v>
      </c>
      <c r="M480" s="79"/>
      <c r="N480" s="113"/>
      <c r="O480" s="356"/>
      <c r="P480" s="113"/>
      <c r="Q480" s="80"/>
      <c r="R480" s="350"/>
    </row>
    <row r="481" spans="1:18" s="105" customFormat="1" ht="24" hidden="1">
      <c r="A481" s="111">
        <v>4170</v>
      </c>
      <c r="B481" s="115" t="s">
        <v>511</v>
      </c>
      <c r="C481" s="79"/>
      <c r="D481" s="65">
        <f t="shared" si="51"/>
        <v>0</v>
      </c>
      <c r="E481" s="80">
        <f t="shared" si="55"/>
        <v>0</v>
      </c>
      <c r="F481" s="452" t="e">
        <f t="shared" si="52"/>
        <v>#DIV/0!</v>
      </c>
      <c r="G481" s="79"/>
      <c r="H481" s="80"/>
      <c r="I481" s="356"/>
      <c r="J481" s="207"/>
      <c r="K481" s="80"/>
      <c r="L481" s="426" t="e">
        <f t="shared" si="54"/>
        <v>#DIV/0!</v>
      </c>
      <c r="M481" s="79"/>
      <c r="N481" s="113"/>
      <c r="O481" s="356"/>
      <c r="P481" s="113"/>
      <c r="Q481" s="80"/>
      <c r="R481" s="350"/>
    </row>
    <row r="482" spans="1:18" s="105" customFormat="1" ht="24" hidden="1">
      <c r="A482" s="111">
        <v>4210</v>
      </c>
      <c r="B482" s="115" t="s">
        <v>481</v>
      </c>
      <c r="C482" s="79"/>
      <c r="D482" s="65">
        <f t="shared" si="51"/>
        <v>0</v>
      </c>
      <c r="E482" s="80">
        <f t="shared" si="55"/>
        <v>0</v>
      </c>
      <c r="F482" s="452" t="e">
        <f t="shared" si="52"/>
        <v>#DIV/0!</v>
      </c>
      <c r="G482" s="79"/>
      <c r="H482" s="80"/>
      <c r="I482" s="356"/>
      <c r="J482" s="207"/>
      <c r="K482" s="80"/>
      <c r="L482" s="426" t="e">
        <f t="shared" si="54"/>
        <v>#DIV/0!</v>
      </c>
      <c r="M482" s="79"/>
      <c r="N482" s="113"/>
      <c r="O482" s="356"/>
      <c r="P482" s="113"/>
      <c r="Q482" s="80"/>
      <c r="R482" s="350"/>
    </row>
    <row r="483" spans="1:18" s="105" customFormat="1" ht="24" hidden="1">
      <c r="A483" s="111">
        <v>4300</v>
      </c>
      <c r="B483" s="115" t="s">
        <v>489</v>
      </c>
      <c r="C483" s="79"/>
      <c r="D483" s="65">
        <f t="shared" si="51"/>
        <v>0</v>
      </c>
      <c r="E483" s="80">
        <f t="shared" si="55"/>
        <v>0</v>
      </c>
      <c r="F483" s="452" t="e">
        <f t="shared" si="52"/>
        <v>#DIV/0!</v>
      </c>
      <c r="G483" s="79"/>
      <c r="H483" s="80"/>
      <c r="I483" s="356"/>
      <c r="J483" s="207"/>
      <c r="K483" s="80"/>
      <c r="L483" s="426" t="e">
        <f t="shared" si="54"/>
        <v>#DIV/0!</v>
      </c>
      <c r="M483" s="79"/>
      <c r="N483" s="113"/>
      <c r="O483" s="356"/>
      <c r="P483" s="113"/>
      <c r="Q483" s="80"/>
      <c r="R483" s="350"/>
    </row>
    <row r="484" spans="1:18" s="130" customFormat="1" ht="24">
      <c r="A484" s="137">
        <v>75113</v>
      </c>
      <c r="B484" s="174" t="s">
        <v>84</v>
      </c>
      <c r="C484" s="85"/>
      <c r="D484" s="86">
        <f t="shared" si="51"/>
        <v>116350</v>
      </c>
      <c r="E484" s="86">
        <f t="shared" si="55"/>
        <v>93866</v>
      </c>
      <c r="F484" s="460">
        <f t="shared" si="52"/>
        <v>80.67554791577139</v>
      </c>
      <c r="G484" s="85"/>
      <c r="H484" s="86"/>
      <c r="I484" s="369"/>
      <c r="J484" s="238">
        <f>SUM(J485:J495)</f>
        <v>116350</v>
      </c>
      <c r="K484" s="86">
        <f>SUM(K485:K495)</f>
        <v>93866</v>
      </c>
      <c r="L484" s="432">
        <f t="shared" si="54"/>
        <v>80.67554791577139</v>
      </c>
      <c r="M484" s="85"/>
      <c r="N484" s="158"/>
      <c r="O484" s="391"/>
      <c r="P484" s="158"/>
      <c r="Q484" s="86"/>
      <c r="R484" s="358"/>
    </row>
    <row r="485" spans="1:18" s="12" customFormat="1" ht="35.25" customHeight="1" hidden="1">
      <c r="A485" s="159">
        <v>3020</v>
      </c>
      <c r="B485" s="193" t="s">
        <v>616</v>
      </c>
      <c r="C485" s="161"/>
      <c r="D485" s="65">
        <f t="shared" si="51"/>
        <v>0</v>
      </c>
      <c r="E485" s="80">
        <f t="shared" si="55"/>
        <v>0</v>
      </c>
      <c r="F485" s="452" t="e">
        <f t="shared" si="52"/>
        <v>#DIV/0!</v>
      </c>
      <c r="G485" s="161"/>
      <c r="H485" s="65"/>
      <c r="I485" s="356"/>
      <c r="J485" s="65"/>
      <c r="K485" s="162">
        <v>0</v>
      </c>
      <c r="L485" s="426" t="e">
        <f t="shared" si="54"/>
        <v>#DIV/0!</v>
      </c>
      <c r="M485" s="161"/>
      <c r="N485" s="162"/>
      <c r="O485" s="356"/>
      <c r="P485" s="162"/>
      <c r="Q485" s="65"/>
      <c r="R485" s="350"/>
    </row>
    <row r="486" spans="1:18" s="12" customFormat="1" ht="24.75" customHeight="1">
      <c r="A486" s="159">
        <v>3030</v>
      </c>
      <c r="B486" s="193" t="s">
        <v>469</v>
      </c>
      <c r="C486" s="161"/>
      <c r="D486" s="65">
        <f t="shared" si="51"/>
        <v>55710</v>
      </c>
      <c r="E486" s="80">
        <f t="shared" si="55"/>
        <v>54765</v>
      </c>
      <c r="F486" s="452">
        <f t="shared" si="52"/>
        <v>98.30371567043619</v>
      </c>
      <c r="G486" s="161"/>
      <c r="H486" s="65"/>
      <c r="I486" s="356"/>
      <c r="J486" s="65">
        <v>55710</v>
      </c>
      <c r="K486" s="162">
        <v>54765</v>
      </c>
      <c r="L486" s="426">
        <f t="shared" si="54"/>
        <v>98.30371567043619</v>
      </c>
      <c r="M486" s="161"/>
      <c r="N486" s="162"/>
      <c r="O486" s="356"/>
      <c r="P486" s="162"/>
      <c r="Q486" s="65"/>
      <c r="R486" s="350"/>
    </row>
    <row r="487" spans="1:18" s="12" customFormat="1" ht="24.75" customHeight="1">
      <c r="A487" s="159">
        <v>4110</v>
      </c>
      <c r="B487" s="193" t="s">
        <v>477</v>
      </c>
      <c r="C487" s="161"/>
      <c r="D487" s="65">
        <f t="shared" si="51"/>
        <v>2820</v>
      </c>
      <c r="E487" s="80">
        <f t="shared" si="55"/>
        <v>0</v>
      </c>
      <c r="F487" s="452">
        <f t="shared" si="52"/>
        <v>0</v>
      </c>
      <c r="G487" s="161"/>
      <c r="H487" s="65"/>
      <c r="I487" s="356"/>
      <c r="J487" s="65">
        <f>2191+629</f>
        <v>2820</v>
      </c>
      <c r="K487" s="162"/>
      <c r="L487" s="426">
        <f t="shared" si="54"/>
        <v>0</v>
      </c>
      <c r="M487" s="161"/>
      <c r="N487" s="162"/>
      <c r="O487" s="356"/>
      <c r="P487" s="162"/>
      <c r="Q487" s="65"/>
      <c r="R487" s="350"/>
    </row>
    <row r="488" spans="1:18" s="12" customFormat="1" ht="15" customHeight="1">
      <c r="A488" s="159">
        <v>4120</v>
      </c>
      <c r="B488" s="193" t="s">
        <v>547</v>
      </c>
      <c r="C488" s="161"/>
      <c r="D488" s="65">
        <f t="shared" si="51"/>
        <v>455</v>
      </c>
      <c r="E488" s="80">
        <f t="shared" si="55"/>
        <v>0</v>
      </c>
      <c r="F488" s="452">
        <f t="shared" si="52"/>
        <v>0</v>
      </c>
      <c r="G488" s="161"/>
      <c r="H488" s="65"/>
      <c r="I488" s="356"/>
      <c r="J488" s="65">
        <f>354+101</f>
        <v>455</v>
      </c>
      <c r="K488" s="162"/>
      <c r="L488" s="426">
        <f t="shared" si="54"/>
        <v>0</v>
      </c>
      <c r="M488" s="161"/>
      <c r="N488" s="162"/>
      <c r="O488" s="356"/>
      <c r="P488" s="162"/>
      <c r="Q488" s="65"/>
      <c r="R488" s="350"/>
    </row>
    <row r="489" spans="1:18" s="105" customFormat="1" ht="26.25" customHeight="1">
      <c r="A489" s="145">
        <v>4170</v>
      </c>
      <c r="B489" s="146" t="s">
        <v>511</v>
      </c>
      <c r="C489" s="147"/>
      <c r="D489" s="148">
        <f t="shared" si="51"/>
        <v>26770</v>
      </c>
      <c r="E489" s="142">
        <f t="shared" si="55"/>
        <v>8527</v>
      </c>
      <c r="F489" s="453">
        <f t="shared" si="52"/>
        <v>31.852820321255138</v>
      </c>
      <c r="G489" s="147"/>
      <c r="H489" s="142"/>
      <c r="I489" s="375"/>
      <c r="J489" s="142">
        <f>23400+3370</f>
        <v>26770</v>
      </c>
      <c r="K489" s="149">
        <v>8527</v>
      </c>
      <c r="L489" s="446">
        <f t="shared" si="54"/>
        <v>31.852820321255138</v>
      </c>
      <c r="M489" s="147"/>
      <c r="N489" s="149"/>
      <c r="O489" s="375"/>
      <c r="P489" s="149"/>
      <c r="Q489" s="142"/>
      <c r="R489" s="354"/>
    </row>
    <row r="490" spans="1:18" s="105" customFormat="1" ht="24.75" customHeight="1">
      <c r="A490" s="111">
        <v>4210</v>
      </c>
      <c r="B490" s="115" t="s">
        <v>481</v>
      </c>
      <c r="C490" s="79"/>
      <c r="D490" s="65">
        <f t="shared" si="51"/>
        <v>7240</v>
      </c>
      <c r="E490" s="80">
        <f t="shared" si="55"/>
        <v>7238</v>
      </c>
      <c r="F490" s="452">
        <f t="shared" si="52"/>
        <v>99.97237569060773</v>
      </c>
      <c r="G490" s="79"/>
      <c r="H490" s="80"/>
      <c r="I490" s="356"/>
      <c r="J490" s="80">
        <f>10000-2760</f>
        <v>7240</v>
      </c>
      <c r="K490" s="113">
        <v>7238</v>
      </c>
      <c r="L490" s="426">
        <f t="shared" si="54"/>
        <v>99.97237569060773</v>
      </c>
      <c r="M490" s="79"/>
      <c r="N490" s="113"/>
      <c r="O490" s="356"/>
      <c r="P490" s="113"/>
      <c r="Q490" s="80"/>
      <c r="R490" s="350"/>
    </row>
    <row r="491" spans="1:18" s="105" customFormat="1" ht="12.75" hidden="1">
      <c r="A491" s="111">
        <v>4260</v>
      </c>
      <c r="B491" s="115" t="s">
        <v>485</v>
      </c>
      <c r="C491" s="79"/>
      <c r="D491" s="65">
        <f t="shared" si="51"/>
        <v>0</v>
      </c>
      <c r="E491" s="80">
        <f>SUM(H491+K491+N491+Q491)</f>
        <v>0</v>
      </c>
      <c r="F491" s="452" t="e">
        <f>E491/D491*100</f>
        <v>#DIV/0!</v>
      </c>
      <c r="G491" s="79"/>
      <c r="H491" s="80"/>
      <c r="I491" s="356"/>
      <c r="J491" s="80">
        <f>50-50</f>
        <v>0</v>
      </c>
      <c r="K491" s="113"/>
      <c r="L491" s="426" t="e">
        <f t="shared" si="54"/>
        <v>#DIV/0!</v>
      </c>
      <c r="M491" s="79"/>
      <c r="N491" s="113"/>
      <c r="O491" s="356"/>
      <c r="P491" s="113"/>
      <c r="Q491" s="80"/>
      <c r="R491" s="350"/>
    </row>
    <row r="492" spans="1:18" s="105" customFormat="1" ht="18" customHeight="1">
      <c r="A492" s="111">
        <v>4300</v>
      </c>
      <c r="B492" s="115" t="s">
        <v>522</v>
      </c>
      <c r="C492" s="79"/>
      <c r="D492" s="65">
        <f t="shared" si="51"/>
        <v>15120</v>
      </c>
      <c r="E492" s="80">
        <f>SUM(H492+K492+N492+Q492)</f>
        <v>15115</v>
      </c>
      <c r="F492" s="452">
        <f>E492/D492*100</f>
        <v>99.96693121693121</v>
      </c>
      <c r="G492" s="79"/>
      <c r="H492" s="80"/>
      <c r="I492" s="356"/>
      <c r="J492" s="80">
        <f>15000+120</f>
        <v>15120</v>
      </c>
      <c r="K492" s="113">
        <v>15115</v>
      </c>
      <c r="L492" s="426">
        <f t="shared" si="54"/>
        <v>99.96693121693121</v>
      </c>
      <c r="M492" s="79"/>
      <c r="N492" s="113"/>
      <c r="O492" s="356"/>
      <c r="P492" s="113"/>
      <c r="Q492" s="80"/>
      <c r="R492" s="350"/>
    </row>
    <row r="493" spans="1:18" s="105" customFormat="1" ht="48" hidden="1">
      <c r="A493" s="229">
        <v>4370</v>
      </c>
      <c r="B493" s="326" t="s">
        <v>296</v>
      </c>
      <c r="C493" s="79"/>
      <c r="D493" s="65">
        <f t="shared" si="51"/>
        <v>0</v>
      </c>
      <c r="E493" s="80">
        <f>SUM(H493+K493+N493+Q493)</f>
        <v>0</v>
      </c>
      <c r="F493" s="452" t="e">
        <f>E493/D493*100</f>
        <v>#DIV/0!</v>
      </c>
      <c r="G493" s="79"/>
      <c r="H493" s="80"/>
      <c r="I493" s="356"/>
      <c r="J493" s="80">
        <f>200-200</f>
        <v>0</v>
      </c>
      <c r="K493" s="113"/>
      <c r="L493" s="426" t="e">
        <f t="shared" si="54"/>
        <v>#DIV/0!</v>
      </c>
      <c r="M493" s="79"/>
      <c r="N493" s="113"/>
      <c r="O493" s="356"/>
      <c r="P493" s="113"/>
      <c r="Q493" s="80"/>
      <c r="R493" s="350"/>
    </row>
    <row r="494" spans="1:18" s="105" customFormat="1" ht="50.25" customHeight="1">
      <c r="A494" s="159">
        <v>4740</v>
      </c>
      <c r="B494" s="326" t="s">
        <v>288</v>
      </c>
      <c r="C494" s="79"/>
      <c r="D494" s="65">
        <f t="shared" si="51"/>
        <v>675</v>
      </c>
      <c r="E494" s="80">
        <f>SUM(H494+K494+N494+Q494)</f>
        <v>670</v>
      </c>
      <c r="F494" s="452">
        <f>E494/D494*100</f>
        <v>99.25925925925925</v>
      </c>
      <c r="G494" s="79"/>
      <c r="H494" s="80"/>
      <c r="I494" s="356"/>
      <c r="J494" s="80">
        <f>3495-2820</f>
        <v>675</v>
      </c>
      <c r="K494" s="113">
        <v>670</v>
      </c>
      <c r="L494" s="426">
        <f t="shared" si="54"/>
        <v>99.25925925925925</v>
      </c>
      <c r="M494" s="79"/>
      <c r="N494" s="113"/>
      <c r="O494" s="356"/>
      <c r="P494" s="113"/>
      <c r="Q494" s="80"/>
      <c r="R494" s="350"/>
    </row>
    <row r="495" spans="1:18" s="105" customFormat="1" ht="36.75" thickBot="1">
      <c r="A495" s="159">
        <v>4750</v>
      </c>
      <c r="B495" s="326" t="s">
        <v>289</v>
      </c>
      <c r="C495" s="79"/>
      <c r="D495" s="148">
        <f t="shared" si="51"/>
        <v>7560</v>
      </c>
      <c r="E495" s="142">
        <f t="shared" si="55"/>
        <v>7551</v>
      </c>
      <c r="F495" s="452">
        <f t="shared" si="52"/>
        <v>99.88095238095238</v>
      </c>
      <c r="G495" s="147"/>
      <c r="H495" s="142"/>
      <c r="I495" s="375"/>
      <c r="J495" s="142">
        <f>6000+1560</f>
        <v>7560</v>
      </c>
      <c r="K495" s="149">
        <v>7551</v>
      </c>
      <c r="L495" s="426">
        <f t="shared" si="54"/>
        <v>99.88095238095238</v>
      </c>
      <c r="M495" s="147"/>
      <c r="N495" s="149"/>
      <c r="O495" s="375"/>
      <c r="P495" s="149"/>
      <c r="Q495" s="142"/>
      <c r="R495" s="354"/>
    </row>
    <row r="496" spans="1:18" s="130" customFormat="1" ht="17.25" customHeight="1" hidden="1">
      <c r="A496" s="118">
        <v>752</v>
      </c>
      <c r="B496" s="119" t="s">
        <v>639</v>
      </c>
      <c r="C496" s="120">
        <f>C497</f>
        <v>0</v>
      </c>
      <c r="D496" s="51">
        <f t="shared" si="51"/>
        <v>0</v>
      </c>
      <c r="E496" s="51">
        <f t="shared" si="55"/>
        <v>0</v>
      </c>
      <c r="F496" s="503" t="e">
        <f t="shared" si="52"/>
        <v>#DIV/0!</v>
      </c>
      <c r="G496" s="120"/>
      <c r="H496" s="51"/>
      <c r="I496" s="378"/>
      <c r="J496" s="51"/>
      <c r="K496" s="121"/>
      <c r="L496" s="387"/>
      <c r="M496" s="239"/>
      <c r="N496" s="51"/>
      <c r="O496" s="396"/>
      <c r="P496" s="121">
        <f>P497</f>
        <v>0</v>
      </c>
      <c r="Q496" s="51">
        <f>Q497</f>
        <v>0</v>
      </c>
      <c r="R496" s="351" t="e">
        <f aca="true" t="shared" si="56" ref="R496:R502">Q496/P496*100</f>
        <v>#DIV/0!</v>
      </c>
    </row>
    <row r="497" spans="1:18" s="130" customFormat="1" ht="25.5" hidden="1" thickBot="1" thickTop="1">
      <c r="A497" s="200">
        <v>75212</v>
      </c>
      <c r="B497" s="201" t="s">
        <v>640</v>
      </c>
      <c r="C497" s="202">
        <f>SUM(C498:C501)</f>
        <v>0</v>
      </c>
      <c r="D497" s="58">
        <f t="shared" si="51"/>
        <v>0</v>
      </c>
      <c r="E497" s="58">
        <f t="shared" si="55"/>
        <v>0</v>
      </c>
      <c r="F497" s="483" t="e">
        <f t="shared" si="52"/>
        <v>#DIV/0!</v>
      </c>
      <c r="G497" s="202"/>
      <c r="H497" s="58"/>
      <c r="I497" s="401"/>
      <c r="J497" s="58"/>
      <c r="K497" s="204"/>
      <c r="L497" s="393"/>
      <c r="M497" s="203"/>
      <c r="N497" s="58"/>
      <c r="O497" s="397"/>
      <c r="P497" s="204">
        <f>SUM(P498:P501)</f>
        <v>0</v>
      </c>
      <c r="Q497" s="58">
        <f>SUM(Q498:Q501)</f>
        <v>0</v>
      </c>
      <c r="R497" s="365" t="e">
        <f t="shared" si="56"/>
        <v>#DIV/0!</v>
      </c>
    </row>
    <row r="498" spans="1:18" s="12" customFormat="1" ht="24.75" hidden="1" thickBot="1">
      <c r="A498" s="159">
        <v>4170</v>
      </c>
      <c r="B498" s="193" t="s">
        <v>511</v>
      </c>
      <c r="C498" s="161"/>
      <c r="D498" s="65">
        <f t="shared" si="51"/>
        <v>0</v>
      </c>
      <c r="E498" s="80">
        <f t="shared" si="55"/>
        <v>0</v>
      </c>
      <c r="F498" s="452" t="e">
        <f t="shared" si="52"/>
        <v>#DIV/0!</v>
      </c>
      <c r="G498" s="161"/>
      <c r="H498" s="65"/>
      <c r="I498" s="356"/>
      <c r="J498" s="65"/>
      <c r="K498" s="162"/>
      <c r="L498" s="211"/>
      <c r="M498" s="205"/>
      <c r="N498" s="65"/>
      <c r="O498" s="356"/>
      <c r="P498" s="162">
        <f>300-300</f>
        <v>0</v>
      </c>
      <c r="Q498" s="65"/>
      <c r="R498" s="350" t="e">
        <f t="shared" si="56"/>
        <v>#DIV/0!</v>
      </c>
    </row>
    <row r="499" spans="1:18" s="12" customFormat="1" ht="24.75" hidden="1" thickBot="1">
      <c r="A499" s="159">
        <v>4210</v>
      </c>
      <c r="B499" s="193" t="s">
        <v>481</v>
      </c>
      <c r="C499" s="161"/>
      <c r="D499" s="65">
        <f t="shared" si="51"/>
        <v>0</v>
      </c>
      <c r="E499" s="80">
        <f t="shared" si="55"/>
        <v>0</v>
      </c>
      <c r="F499" s="452" t="e">
        <f t="shared" si="52"/>
        <v>#DIV/0!</v>
      </c>
      <c r="G499" s="161"/>
      <c r="H499" s="65"/>
      <c r="I499" s="356"/>
      <c r="J499" s="65"/>
      <c r="K499" s="162"/>
      <c r="L499" s="211"/>
      <c r="M499" s="205"/>
      <c r="N499" s="65"/>
      <c r="O499" s="356"/>
      <c r="P499" s="162"/>
      <c r="Q499" s="65"/>
      <c r="R499" s="350" t="e">
        <f t="shared" si="56"/>
        <v>#DIV/0!</v>
      </c>
    </row>
    <row r="500" spans="1:18" s="12" customFormat="1" ht="24.75" hidden="1" thickBot="1">
      <c r="A500" s="159">
        <v>4240</v>
      </c>
      <c r="B500" s="193" t="s">
        <v>641</v>
      </c>
      <c r="C500" s="161"/>
      <c r="D500" s="65">
        <f t="shared" si="51"/>
        <v>0</v>
      </c>
      <c r="E500" s="80">
        <f t="shared" si="55"/>
        <v>0</v>
      </c>
      <c r="F500" s="452" t="e">
        <f t="shared" si="52"/>
        <v>#DIV/0!</v>
      </c>
      <c r="G500" s="161"/>
      <c r="H500" s="65"/>
      <c r="I500" s="356"/>
      <c r="J500" s="65"/>
      <c r="K500" s="162"/>
      <c r="L500" s="211"/>
      <c r="M500" s="205"/>
      <c r="N500" s="65"/>
      <c r="O500" s="356"/>
      <c r="P500" s="162">
        <f>200-200</f>
        <v>0</v>
      </c>
      <c r="Q500" s="65"/>
      <c r="R500" s="350" t="e">
        <f t="shared" si="56"/>
        <v>#DIV/0!</v>
      </c>
    </row>
    <row r="501" spans="1:18" s="105" customFormat="1" ht="24.75" hidden="1" thickBot="1">
      <c r="A501" s="111">
        <v>4300</v>
      </c>
      <c r="B501" s="115" t="s">
        <v>489</v>
      </c>
      <c r="C501" s="79"/>
      <c r="D501" s="65">
        <f t="shared" si="51"/>
        <v>0</v>
      </c>
      <c r="E501" s="80">
        <f t="shared" si="55"/>
        <v>0</v>
      </c>
      <c r="F501" s="452" t="e">
        <f t="shared" si="52"/>
        <v>#DIV/0!</v>
      </c>
      <c r="G501" s="79"/>
      <c r="H501" s="80"/>
      <c r="I501" s="356"/>
      <c r="J501" s="80"/>
      <c r="K501" s="113"/>
      <c r="L501" s="211"/>
      <c r="M501" s="141"/>
      <c r="N501" s="80"/>
      <c r="O501" s="356"/>
      <c r="P501" s="113">
        <f>200-200</f>
        <v>0</v>
      </c>
      <c r="Q501" s="80"/>
      <c r="R501" s="350"/>
    </row>
    <row r="502" spans="1:18" s="105" customFormat="1" ht="55.5" customHeight="1" thickBot="1" thickTop="1">
      <c r="A502" s="101">
        <v>754</v>
      </c>
      <c r="B502" s="102" t="s">
        <v>642</v>
      </c>
      <c r="C502" s="103">
        <f>C544+C507+C542+C503+C553+C551</f>
        <v>7598500</v>
      </c>
      <c r="D502" s="51">
        <f>G502+J502+P502+M502</f>
        <v>9062956</v>
      </c>
      <c r="E502" s="51">
        <f>H502+K502+Q502+N502</f>
        <v>4706150</v>
      </c>
      <c r="F502" s="480">
        <f t="shared" si="52"/>
        <v>51.92731819507895</v>
      </c>
      <c r="G502" s="103">
        <f>G544+G507+G542+G503+G553+G551</f>
        <v>179500</v>
      </c>
      <c r="H502" s="98">
        <f>SUM(H503+H507+H542+H544)+H553+H551</f>
        <v>32053</v>
      </c>
      <c r="I502" s="343">
        <f>H502/G502*100</f>
        <v>17.856824512534818</v>
      </c>
      <c r="J502" s="98">
        <f>J544</f>
        <v>10000</v>
      </c>
      <c r="K502" s="98">
        <f>K544</f>
        <v>4479</v>
      </c>
      <c r="L502" s="387">
        <f>K502/J502*100</f>
        <v>44.79</v>
      </c>
      <c r="M502" s="209">
        <f>M503+M507</f>
        <v>855000</v>
      </c>
      <c r="N502" s="98">
        <f>N503+N507</f>
        <v>635000</v>
      </c>
      <c r="O502" s="447">
        <f aca="true" t="shared" si="57" ref="O502:O507">N502/M502*100</f>
        <v>74.26900584795322</v>
      </c>
      <c r="P502" s="103">
        <f>P544+P507+P542+P503+P553</f>
        <v>8018456</v>
      </c>
      <c r="Q502" s="98">
        <f>Q544+Q507+Q542+Q503+Q553</f>
        <v>4034618</v>
      </c>
      <c r="R502" s="343">
        <f t="shared" si="56"/>
        <v>50.316644501135876</v>
      </c>
    </row>
    <row r="503" spans="1:18" s="105" customFormat="1" ht="26.25" customHeight="1" thickTop="1">
      <c r="A503" s="240">
        <v>75405</v>
      </c>
      <c r="B503" s="241" t="s">
        <v>643</v>
      </c>
      <c r="C503" s="242">
        <f>SUM(C506)</f>
        <v>0</v>
      </c>
      <c r="D503" s="58">
        <f t="shared" si="51"/>
        <v>450000</v>
      </c>
      <c r="E503" s="173">
        <f>H503+K503+Q503+N503</f>
        <v>450000</v>
      </c>
      <c r="F503" s="501">
        <f t="shared" si="52"/>
        <v>100</v>
      </c>
      <c r="G503" s="242"/>
      <c r="H503" s="179"/>
      <c r="I503" s="375"/>
      <c r="J503" s="180"/>
      <c r="K503" s="179"/>
      <c r="L503" s="409"/>
      <c r="M503" s="179">
        <f>SUM(M504:M506)</f>
        <v>450000</v>
      </c>
      <c r="N503" s="179">
        <f>SUM(N504:N506)</f>
        <v>450000</v>
      </c>
      <c r="O503" s="446">
        <f t="shared" si="57"/>
        <v>100</v>
      </c>
      <c r="P503" s="179"/>
      <c r="Q503" s="179"/>
      <c r="R503" s="259"/>
    </row>
    <row r="504" spans="1:18" s="105" customFormat="1" ht="24">
      <c r="A504" s="111">
        <v>3000</v>
      </c>
      <c r="B504" s="193" t="s">
        <v>644</v>
      </c>
      <c r="C504" s="79"/>
      <c r="D504" s="94">
        <f t="shared" si="51"/>
        <v>350000</v>
      </c>
      <c r="E504" s="94">
        <f>H504+K504+N504+Q504</f>
        <v>350000</v>
      </c>
      <c r="F504" s="454">
        <f t="shared" si="52"/>
        <v>100</v>
      </c>
      <c r="G504" s="168"/>
      <c r="H504" s="169"/>
      <c r="I504" s="356"/>
      <c r="J504" s="170"/>
      <c r="K504" s="169"/>
      <c r="L504" s="392"/>
      <c r="M504" s="81">
        <v>350000</v>
      </c>
      <c r="N504" s="95">
        <v>350000</v>
      </c>
      <c r="O504" s="448">
        <f t="shared" si="57"/>
        <v>100</v>
      </c>
      <c r="P504" s="81"/>
      <c r="Q504" s="80"/>
      <c r="R504" s="211"/>
    </row>
    <row r="505" spans="1:18" s="105" customFormat="1" ht="24" hidden="1">
      <c r="A505" s="111">
        <v>4300</v>
      </c>
      <c r="B505" s="193" t="s">
        <v>489</v>
      </c>
      <c r="C505" s="79"/>
      <c r="D505" s="65">
        <f t="shared" si="51"/>
        <v>0</v>
      </c>
      <c r="E505" s="94">
        <f>H505+K505+N505+Q505</f>
        <v>0</v>
      </c>
      <c r="F505" s="452" t="e">
        <f t="shared" si="52"/>
        <v>#DIV/0!</v>
      </c>
      <c r="G505" s="168"/>
      <c r="H505" s="170"/>
      <c r="I505" s="356"/>
      <c r="J505" s="170"/>
      <c r="K505" s="169"/>
      <c r="L505" s="392"/>
      <c r="M505" s="79"/>
      <c r="N505" s="80"/>
      <c r="O505" s="426"/>
      <c r="P505" s="79"/>
      <c r="Q505" s="80"/>
      <c r="R505" s="211"/>
    </row>
    <row r="506" spans="1:18" s="105" customFormat="1" ht="60">
      <c r="A506" s="145">
        <v>6170</v>
      </c>
      <c r="B506" s="243" t="s">
        <v>260</v>
      </c>
      <c r="C506" s="147"/>
      <c r="D506" s="148">
        <f t="shared" si="51"/>
        <v>100000</v>
      </c>
      <c r="E506" s="148">
        <f>H506+K506+N506+Q506</f>
        <v>100000</v>
      </c>
      <c r="F506" s="453">
        <f t="shared" si="52"/>
        <v>100</v>
      </c>
      <c r="G506" s="177"/>
      <c r="H506" s="180"/>
      <c r="I506" s="375"/>
      <c r="J506" s="180"/>
      <c r="K506" s="179"/>
      <c r="L506" s="409"/>
      <c r="M506" s="147">
        <v>100000</v>
      </c>
      <c r="N506" s="80">
        <v>100000</v>
      </c>
      <c r="O506" s="426">
        <f t="shared" si="57"/>
        <v>100</v>
      </c>
      <c r="P506" s="147"/>
      <c r="Q506" s="142"/>
      <c r="R506" s="259"/>
    </row>
    <row r="507" spans="1:18" s="105" customFormat="1" ht="36.75" customHeight="1">
      <c r="A507" s="175">
        <v>75411</v>
      </c>
      <c r="B507" s="176" t="s">
        <v>645</v>
      </c>
      <c r="C507" s="190">
        <f>SUM(C508:C541)</f>
        <v>7410000</v>
      </c>
      <c r="D507" s="109">
        <f t="shared" si="51"/>
        <v>8372320</v>
      </c>
      <c r="E507" s="109">
        <f aca="true" t="shared" si="58" ref="E507:E541">SUM(H507+K507+N507+Q507)</f>
        <v>4218204</v>
      </c>
      <c r="F507" s="453">
        <f t="shared" si="52"/>
        <v>50.38273740134156</v>
      </c>
      <c r="G507" s="177"/>
      <c r="H507" s="110"/>
      <c r="I507" s="369"/>
      <c r="J507" s="110"/>
      <c r="K507" s="75"/>
      <c r="L507" s="406"/>
      <c r="M507" s="75">
        <f>SUM(M508:M541)</f>
        <v>405000</v>
      </c>
      <c r="N507" s="75">
        <f>SUM(N508:N541)</f>
        <v>185000</v>
      </c>
      <c r="O507" s="432">
        <f t="shared" si="57"/>
        <v>45.67901234567901</v>
      </c>
      <c r="P507" s="108">
        <f>SUM(P508:P541)</f>
        <v>7967320</v>
      </c>
      <c r="Q507" s="75">
        <f>SUM(Q508:Q541)</f>
        <v>4033204</v>
      </c>
      <c r="R507" s="432">
        <f aca="true" t="shared" si="59" ref="R507:R539">Q507/P507*100</f>
        <v>50.62184021728762</v>
      </c>
    </row>
    <row r="508" spans="1:18" s="105" customFormat="1" ht="48">
      <c r="A508" s="159">
        <v>3070</v>
      </c>
      <c r="B508" s="115" t="s">
        <v>646</v>
      </c>
      <c r="C508" s="79">
        <v>400000</v>
      </c>
      <c r="D508" s="65">
        <f t="shared" si="51"/>
        <v>365952</v>
      </c>
      <c r="E508" s="80">
        <f t="shared" si="58"/>
        <v>222453</v>
      </c>
      <c r="F508" s="452">
        <f t="shared" si="52"/>
        <v>60.78748032528857</v>
      </c>
      <c r="G508" s="168"/>
      <c r="H508" s="169"/>
      <c r="I508" s="356"/>
      <c r="J508" s="244"/>
      <c r="K508" s="169"/>
      <c r="L508" s="392"/>
      <c r="M508" s="169"/>
      <c r="N508" s="170"/>
      <c r="O508" s="356"/>
      <c r="P508" s="79">
        <f>400000-36000+1952</f>
        <v>365952</v>
      </c>
      <c r="Q508" s="80">
        <v>222453</v>
      </c>
      <c r="R508" s="426">
        <f t="shared" si="59"/>
        <v>60.78748032528857</v>
      </c>
    </row>
    <row r="509" spans="1:18" s="105" customFormat="1" ht="27.75" customHeight="1">
      <c r="A509" s="159">
        <v>4010</v>
      </c>
      <c r="B509" s="115" t="s">
        <v>647</v>
      </c>
      <c r="C509" s="79">
        <v>124000</v>
      </c>
      <c r="D509" s="65">
        <f t="shared" si="51"/>
        <v>136539</v>
      </c>
      <c r="E509" s="80">
        <f t="shared" si="58"/>
        <v>57360</v>
      </c>
      <c r="F509" s="452">
        <f t="shared" si="52"/>
        <v>42.0099751719289</v>
      </c>
      <c r="G509" s="168"/>
      <c r="H509" s="169"/>
      <c r="I509" s="356"/>
      <c r="J509" s="244"/>
      <c r="K509" s="169"/>
      <c r="L509" s="392"/>
      <c r="M509" s="169"/>
      <c r="N509" s="170"/>
      <c r="O509" s="356"/>
      <c r="P509" s="79">
        <f>124000+12539</f>
        <v>136539</v>
      </c>
      <c r="Q509" s="80">
        <v>57360</v>
      </c>
      <c r="R509" s="426">
        <f t="shared" si="59"/>
        <v>42.0099751719289</v>
      </c>
    </row>
    <row r="510" spans="1:18" s="105" customFormat="1" ht="36">
      <c r="A510" s="159">
        <v>4020</v>
      </c>
      <c r="B510" s="115" t="s">
        <v>473</v>
      </c>
      <c r="C510" s="79">
        <v>79000</v>
      </c>
      <c r="D510" s="65">
        <f t="shared" si="51"/>
        <v>85263</v>
      </c>
      <c r="E510" s="80">
        <f t="shared" si="58"/>
        <v>39842</v>
      </c>
      <c r="F510" s="452">
        <f t="shared" si="52"/>
        <v>46.72835813893483</v>
      </c>
      <c r="G510" s="168"/>
      <c r="H510" s="169"/>
      <c r="I510" s="356"/>
      <c r="J510" s="245"/>
      <c r="K510" s="169"/>
      <c r="L510" s="392"/>
      <c r="M510" s="169"/>
      <c r="N510" s="170"/>
      <c r="O510" s="356"/>
      <c r="P510" s="79">
        <f>79000+6263</f>
        <v>85263</v>
      </c>
      <c r="Q510" s="80">
        <v>39842</v>
      </c>
      <c r="R510" s="426">
        <f t="shared" si="59"/>
        <v>46.72835813893483</v>
      </c>
    </row>
    <row r="511" spans="1:18" s="105" customFormat="1" ht="24">
      <c r="A511" s="184">
        <v>4040</v>
      </c>
      <c r="B511" s="146" t="s">
        <v>475</v>
      </c>
      <c r="C511" s="147">
        <v>11000</v>
      </c>
      <c r="D511" s="148">
        <f t="shared" si="51"/>
        <v>17340</v>
      </c>
      <c r="E511" s="142">
        <f t="shared" si="58"/>
        <v>9783</v>
      </c>
      <c r="F511" s="453">
        <f t="shared" si="52"/>
        <v>56.41868512110727</v>
      </c>
      <c r="G511" s="177"/>
      <c r="H511" s="179"/>
      <c r="I511" s="375"/>
      <c r="J511" s="247"/>
      <c r="K511" s="179"/>
      <c r="L511" s="409"/>
      <c r="M511" s="179"/>
      <c r="N511" s="180"/>
      <c r="O511" s="375"/>
      <c r="P511" s="147">
        <f>11000+6340</f>
        <v>17340</v>
      </c>
      <c r="Q511" s="142">
        <v>9783</v>
      </c>
      <c r="R511" s="446">
        <f t="shared" si="59"/>
        <v>56.41868512110727</v>
      </c>
    </row>
    <row r="512" spans="1:18" s="105" customFormat="1" ht="48">
      <c r="A512" s="159">
        <v>4050</v>
      </c>
      <c r="B512" s="115" t="s">
        <v>254</v>
      </c>
      <c r="C512" s="79">
        <v>4905000</v>
      </c>
      <c r="D512" s="65">
        <f t="shared" si="51"/>
        <v>5400884</v>
      </c>
      <c r="E512" s="80">
        <f t="shared" si="58"/>
        <v>2588649</v>
      </c>
      <c r="F512" s="452">
        <f t="shared" si="52"/>
        <v>47.93009810986498</v>
      </c>
      <c r="G512" s="168"/>
      <c r="H512" s="169"/>
      <c r="I512" s="356"/>
      <c r="J512" s="245"/>
      <c r="K512" s="169"/>
      <c r="L512" s="392"/>
      <c r="M512" s="169"/>
      <c r="N512" s="170"/>
      <c r="O512" s="356"/>
      <c r="P512" s="79">
        <f>4905000+492+495392</f>
        <v>5400884</v>
      </c>
      <c r="Q512" s="80">
        <v>2588649</v>
      </c>
      <c r="R512" s="426">
        <f t="shared" si="59"/>
        <v>47.93009810986498</v>
      </c>
    </row>
    <row r="513" spans="1:18" s="105" customFormat="1" ht="48">
      <c r="A513" s="159">
        <v>4060</v>
      </c>
      <c r="B513" s="115" t="s">
        <v>255</v>
      </c>
      <c r="C513" s="79">
        <v>337000</v>
      </c>
      <c r="D513" s="65">
        <f t="shared" si="51"/>
        <v>344846</v>
      </c>
      <c r="E513" s="80">
        <f t="shared" si="58"/>
        <v>87434</v>
      </c>
      <c r="F513" s="452">
        <f t="shared" si="52"/>
        <v>25.354506069375894</v>
      </c>
      <c r="G513" s="168"/>
      <c r="H513" s="169"/>
      <c r="I513" s="356"/>
      <c r="J513" s="245"/>
      <c r="K513" s="169"/>
      <c r="L513" s="392"/>
      <c r="M513" s="169"/>
      <c r="N513" s="170"/>
      <c r="O513" s="356"/>
      <c r="P513" s="79">
        <f>337000+417+7429</f>
        <v>344846</v>
      </c>
      <c r="Q513" s="80">
        <v>87434</v>
      </c>
      <c r="R513" s="426">
        <f t="shared" si="59"/>
        <v>25.354506069375894</v>
      </c>
    </row>
    <row r="514" spans="1:18" s="105" customFormat="1" ht="50.25" customHeight="1">
      <c r="A514" s="159">
        <v>4070</v>
      </c>
      <c r="B514" s="115" t="s">
        <v>256</v>
      </c>
      <c r="C514" s="79">
        <v>409000</v>
      </c>
      <c r="D514" s="65">
        <f t="shared" si="51"/>
        <v>443462</v>
      </c>
      <c r="E514" s="80">
        <f t="shared" si="58"/>
        <v>376633</v>
      </c>
      <c r="F514" s="452">
        <f t="shared" si="52"/>
        <v>84.93016312558912</v>
      </c>
      <c r="G514" s="168"/>
      <c r="H514" s="169"/>
      <c r="I514" s="356"/>
      <c r="J514" s="245"/>
      <c r="K514" s="169"/>
      <c r="L514" s="392"/>
      <c r="M514" s="169"/>
      <c r="N514" s="170"/>
      <c r="O514" s="356"/>
      <c r="P514" s="79">
        <f>409000+29042+5420</f>
        <v>443462</v>
      </c>
      <c r="Q514" s="80">
        <v>376633</v>
      </c>
      <c r="R514" s="426">
        <f t="shared" si="59"/>
        <v>84.93016312558912</v>
      </c>
    </row>
    <row r="515" spans="1:18" s="105" customFormat="1" ht="54" customHeight="1">
      <c r="A515" s="159">
        <v>4080</v>
      </c>
      <c r="B515" s="115" t="s">
        <v>257</v>
      </c>
      <c r="C515" s="79">
        <v>22000</v>
      </c>
      <c r="D515" s="65">
        <f t="shared" si="51"/>
        <v>22000</v>
      </c>
      <c r="E515" s="80">
        <f t="shared" si="58"/>
        <v>21982</v>
      </c>
      <c r="F515" s="452">
        <f t="shared" si="52"/>
        <v>99.91818181818182</v>
      </c>
      <c r="G515" s="168"/>
      <c r="H515" s="169"/>
      <c r="I515" s="356"/>
      <c r="J515" s="244"/>
      <c r="K515" s="169"/>
      <c r="L515" s="392"/>
      <c r="M515" s="169"/>
      <c r="N515" s="170"/>
      <c r="O515" s="356"/>
      <c r="P515" s="79">
        <v>22000</v>
      </c>
      <c r="Q515" s="80">
        <v>21982</v>
      </c>
      <c r="R515" s="426">
        <f t="shared" si="59"/>
        <v>99.91818181818182</v>
      </c>
    </row>
    <row r="516" spans="1:18" s="105" customFormat="1" ht="24">
      <c r="A516" s="159">
        <v>4110</v>
      </c>
      <c r="B516" s="115" t="s">
        <v>477</v>
      </c>
      <c r="C516" s="79">
        <v>37500</v>
      </c>
      <c r="D516" s="65">
        <f t="shared" si="51"/>
        <v>39108</v>
      </c>
      <c r="E516" s="80">
        <f t="shared" si="58"/>
        <v>19334</v>
      </c>
      <c r="F516" s="452">
        <f t="shared" si="52"/>
        <v>49.43745525212233</v>
      </c>
      <c r="G516" s="168"/>
      <c r="H516" s="169"/>
      <c r="I516" s="356"/>
      <c r="J516" s="245"/>
      <c r="K516" s="169"/>
      <c r="L516" s="392"/>
      <c r="M516" s="169"/>
      <c r="N516" s="170"/>
      <c r="O516" s="356"/>
      <c r="P516" s="79">
        <f>37500+1608</f>
        <v>39108</v>
      </c>
      <c r="Q516" s="80">
        <v>19334</v>
      </c>
      <c r="R516" s="426">
        <f t="shared" si="59"/>
        <v>49.43745525212233</v>
      </c>
    </row>
    <row r="517" spans="1:18" s="105" customFormat="1" ht="18" customHeight="1">
      <c r="A517" s="159">
        <v>4120</v>
      </c>
      <c r="B517" s="115" t="s">
        <v>553</v>
      </c>
      <c r="C517" s="79">
        <v>5500</v>
      </c>
      <c r="D517" s="65">
        <f t="shared" si="51"/>
        <v>5859</v>
      </c>
      <c r="E517" s="80">
        <f t="shared" si="58"/>
        <v>2674</v>
      </c>
      <c r="F517" s="452">
        <f t="shared" si="52"/>
        <v>45.639187574671446</v>
      </c>
      <c r="G517" s="168"/>
      <c r="H517" s="169"/>
      <c r="I517" s="356"/>
      <c r="J517" s="244"/>
      <c r="K517" s="169"/>
      <c r="L517" s="392"/>
      <c r="M517" s="169"/>
      <c r="N517" s="170"/>
      <c r="O517" s="356"/>
      <c r="P517" s="79">
        <f>5500+359</f>
        <v>5859</v>
      </c>
      <c r="Q517" s="80">
        <v>2674</v>
      </c>
      <c r="R517" s="426">
        <f t="shared" si="59"/>
        <v>45.639187574671446</v>
      </c>
    </row>
    <row r="518" spans="1:18" s="105" customFormat="1" ht="24">
      <c r="A518" s="159">
        <v>4170</v>
      </c>
      <c r="B518" s="115" t="s">
        <v>511</v>
      </c>
      <c r="C518" s="79">
        <v>20000</v>
      </c>
      <c r="D518" s="65">
        <f t="shared" si="51"/>
        <v>20000</v>
      </c>
      <c r="E518" s="80">
        <f t="shared" si="58"/>
        <v>3592</v>
      </c>
      <c r="F518" s="452">
        <f t="shared" si="52"/>
        <v>17.96</v>
      </c>
      <c r="G518" s="161"/>
      <c r="H518" s="65"/>
      <c r="I518" s="356"/>
      <c r="J518" s="244"/>
      <c r="K518" s="169"/>
      <c r="L518" s="392"/>
      <c r="M518" s="169"/>
      <c r="N518" s="170"/>
      <c r="O518" s="356"/>
      <c r="P518" s="79">
        <v>20000</v>
      </c>
      <c r="Q518" s="80">
        <v>3592</v>
      </c>
      <c r="R518" s="426">
        <f t="shared" si="59"/>
        <v>17.96</v>
      </c>
    </row>
    <row r="519" spans="1:18" s="105" customFormat="1" ht="39" customHeight="1">
      <c r="A519" s="159">
        <v>4180</v>
      </c>
      <c r="B519" s="115" t="s">
        <v>648</v>
      </c>
      <c r="C519" s="79">
        <v>231850</v>
      </c>
      <c r="D519" s="65">
        <f t="shared" si="51"/>
        <v>215163</v>
      </c>
      <c r="E519" s="80">
        <f t="shared" si="58"/>
        <v>215162</v>
      </c>
      <c r="F519" s="452">
        <f t="shared" si="52"/>
        <v>99.99953523607684</v>
      </c>
      <c r="G519" s="161"/>
      <c r="H519" s="65"/>
      <c r="I519" s="356"/>
      <c r="J519" s="244"/>
      <c r="K519" s="169"/>
      <c r="L519" s="392"/>
      <c r="M519" s="169"/>
      <c r="N519" s="170"/>
      <c r="O519" s="356"/>
      <c r="P519" s="79">
        <f>231850-16687</f>
        <v>215163</v>
      </c>
      <c r="Q519" s="80">
        <f>215163-1</f>
        <v>215162</v>
      </c>
      <c r="R519" s="426">
        <f t="shared" si="59"/>
        <v>99.99953523607684</v>
      </c>
    </row>
    <row r="520" spans="1:18" s="105" customFormat="1" ht="24">
      <c r="A520" s="111">
        <v>4210</v>
      </c>
      <c r="B520" s="115" t="s">
        <v>481</v>
      </c>
      <c r="C520" s="79">
        <v>210382</v>
      </c>
      <c r="D520" s="65">
        <f>G520+J520+P520+M520</f>
        <v>233188</v>
      </c>
      <c r="E520" s="80">
        <f t="shared" si="58"/>
        <v>103097</v>
      </c>
      <c r="F520" s="452">
        <f t="shared" si="52"/>
        <v>44.21196631044479</v>
      </c>
      <c r="G520" s="161"/>
      <c r="H520" s="65"/>
      <c r="I520" s="356"/>
      <c r="J520" s="244"/>
      <c r="K520" s="169"/>
      <c r="L520" s="392"/>
      <c r="M520" s="65">
        <f>40000-20100</f>
        <v>19900</v>
      </c>
      <c r="N520" s="162">
        <v>19900</v>
      </c>
      <c r="O520" s="426">
        <f>N520/M520*100</f>
        <v>100</v>
      </c>
      <c r="P520" s="79">
        <f>170382-24821+10358+57369</f>
        <v>213288</v>
      </c>
      <c r="Q520" s="80">
        <v>83197</v>
      </c>
      <c r="R520" s="426">
        <f t="shared" si="59"/>
        <v>39.00688271257643</v>
      </c>
    </row>
    <row r="521" spans="1:18" s="105" customFormat="1" ht="24" hidden="1">
      <c r="A521" s="111">
        <v>4250</v>
      </c>
      <c r="B521" s="115" t="s">
        <v>649</v>
      </c>
      <c r="C521" s="79"/>
      <c r="D521" s="65">
        <f t="shared" si="51"/>
        <v>0</v>
      </c>
      <c r="E521" s="80">
        <f t="shared" si="58"/>
        <v>0</v>
      </c>
      <c r="F521" s="452" t="e">
        <f t="shared" si="52"/>
        <v>#DIV/0!</v>
      </c>
      <c r="G521" s="161"/>
      <c r="H521" s="65"/>
      <c r="I521" s="356" t="e">
        <f>H521/G521*100</f>
        <v>#DIV/0!</v>
      </c>
      <c r="J521" s="244"/>
      <c r="K521" s="169"/>
      <c r="L521" s="392"/>
      <c r="M521" s="65"/>
      <c r="N521" s="162"/>
      <c r="O521" s="426" t="e">
        <f aca="true" t="shared" si="60" ref="O521:O526">N521/M521*100</f>
        <v>#DIV/0!</v>
      </c>
      <c r="P521" s="79"/>
      <c r="Q521" s="80"/>
      <c r="R521" s="426" t="e">
        <f t="shared" si="59"/>
        <v>#DIV/0!</v>
      </c>
    </row>
    <row r="522" spans="1:18" s="105" customFormat="1" ht="24" hidden="1">
      <c r="A522" s="111">
        <v>4220</v>
      </c>
      <c r="B522" s="115" t="s">
        <v>650</v>
      </c>
      <c r="C522" s="79"/>
      <c r="D522" s="65">
        <f t="shared" si="51"/>
        <v>0</v>
      </c>
      <c r="E522" s="80">
        <f t="shared" si="58"/>
        <v>0</v>
      </c>
      <c r="F522" s="452" t="e">
        <f>E522/D522*100</f>
        <v>#DIV/0!</v>
      </c>
      <c r="G522" s="161"/>
      <c r="H522" s="65"/>
      <c r="I522" s="356"/>
      <c r="J522" s="244"/>
      <c r="K522" s="169"/>
      <c r="L522" s="392"/>
      <c r="M522" s="65"/>
      <c r="N522" s="162"/>
      <c r="O522" s="426" t="e">
        <f t="shared" si="60"/>
        <v>#DIV/0!</v>
      </c>
      <c r="P522" s="79"/>
      <c r="Q522" s="80"/>
      <c r="R522" s="426" t="e">
        <f t="shared" si="59"/>
        <v>#DIV/0!</v>
      </c>
    </row>
    <row r="523" spans="1:18" s="105" customFormat="1" ht="19.5" customHeight="1" hidden="1">
      <c r="A523" s="111">
        <v>4230</v>
      </c>
      <c r="B523" s="115" t="s">
        <v>483</v>
      </c>
      <c r="C523" s="79"/>
      <c r="D523" s="65">
        <f t="shared" si="51"/>
        <v>0</v>
      </c>
      <c r="E523" s="80">
        <f t="shared" si="58"/>
        <v>0</v>
      </c>
      <c r="F523" s="452" t="e">
        <f>E523/D523*100</f>
        <v>#DIV/0!</v>
      </c>
      <c r="G523" s="161"/>
      <c r="H523" s="65"/>
      <c r="I523" s="356"/>
      <c r="J523" s="244"/>
      <c r="K523" s="169"/>
      <c r="L523" s="392"/>
      <c r="M523" s="65"/>
      <c r="N523" s="162"/>
      <c r="O523" s="426" t="e">
        <f t="shared" si="60"/>
        <v>#DIV/0!</v>
      </c>
      <c r="P523" s="79"/>
      <c r="Q523" s="80"/>
      <c r="R523" s="426" t="e">
        <f t="shared" si="59"/>
        <v>#DIV/0!</v>
      </c>
    </row>
    <row r="524" spans="1:18" s="105" customFormat="1" ht="24" hidden="1">
      <c r="A524" s="111">
        <v>4250</v>
      </c>
      <c r="B524" s="115" t="s">
        <v>651</v>
      </c>
      <c r="C524" s="79"/>
      <c r="D524" s="65">
        <f t="shared" si="51"/>
        <v>0</v>
      </c>
      <c r="E524" s="80">
        <f t="shared" si="58"/>
        <v>0</v>
      </c>
      <c r="F524" s="452"/>
      <c r="G524" s="161"/>
      <c r="H524" s="65"/>
      <c r="I524" s="356"/>
      <c r="J524" s="244"/>
      <c r="K524" s="169"/>
      <c r="L524" s="392"/>
      <c r="M524" s="65"/>
      <c r="N524" s="162"/>
      <c r="O524" s="426" t="e">
        <f t="shared" si="60"/>
        <v>#DIV/0!</v>
      </c>
      <c r="P524" s="79"/>
      <c r="Q524" s="80"/>
      <c r="R524" s="426" t="e">
        <f t="shared" si="59"/>
        <v>#DIV/0!</v>
      </c>
    </row>
    <row r="525" spans="1:18" s="105" customFormat="1" ht="12.75">
      <c r="A525" s="111">
        <v>4260</v>
      </c>
      <c r="B525" s="115" t="s">
        <v>485</v>
      </c>
      <c r="C525" s="79">
        <v>260000</v>
      </c>
      <c r="D525" s="65">
        <f t="shared" si="51"/>
        <v>260000</v>
      </c>
      <c r="E525" s="80">
        <f t="shared" si="58"/>
        <v>152824</v>
      </c>
      <c r="F525" s="452">
        <f aca="true" t="shared" si="61" ref="F525:F536">E525/D525*100</f>
        <v>58.778461538461535</v>
      </c>
      <c r="G525" s="161"/>
      <c r="H525" s="65"/>
      <c r="I525" s="356"/>
      <c r="J525" s="245"/>
      <c r="K525" s="169"/>
      <c r="L525" s="392"/>
      <c r="M525" s="65"/>
      <c r="N525" s="162"/>
      <c r="O525" s="426"/>
      <c r="P525" s="79">
        <v>260000</v>
      </c>
      <c r="Q525" s="80">
        <v>152824</v>
      </c>
      <c r="R525" s="426">
        <f t="shared" si="59"/>
        <v>58.778461538461535</v>
      </c>
    </row>
    <row r="526" spans="1:18" s="105" customFormat="1" ht="16.5" customHeight="1">
      <c r="A526" s="111">
        <v>4270</v>
      </c>
      <c r="B526" s="115" t="s">
        <v>487</v>
      </c>
      <c r="C526" s="79">
        <v>40000</v>
      </c>
      <c r="D526" s="65">
        <f aca="true" t="shared" si="62" ref="D526:D563">G526+J526+P526+M526</f>
        <v>160000</v>
      </c>
      <c r="E526" s="80">
        <f t="shared" si="58"/>
        <v>145114</v>
      </c>
      <c r="F526" s="452">
        <f t="shared" si="61"/>
        <v>90.69625</v>
      </c>
      <c r="G526" s="161"/>
      <c r="H526" s="65"/>
      <c r="I526" s="356"/>
      <c r="J526" s="245"/>
      <c r="K526" s="169"/>
      <c r="L526" s="392"/>
      <c r="M526" s="65">
        <v>120000</v>
      </c>
      <c r="N526" s="162">
        <v>120000</v>
      </c>
      <c r="O526" s="426">
        <f t="shared" si="60"/>
        <v>100</v>
      </c>
      <c r="P526" s="79">
        <f>40000</f>
        <v>40000</v>
      </c>
      <c r="Q526" s="80">
        <v>25114</v>
      </c>
      <c r="R526" s="426">
        <f t="shared" si="59"/>
        <v>62.785000000000004</v>
      </c>
    </row>
    <row r="527" spans="1:18" s="105" customFormat="1" ht="17.25" customHeight="1">
      <c r="A527" s="111">
        <v>4280</v>
      </c>
      <c r="B527" s="115" t="s">
        <v>520</v>
      </c>
      <c r="C527" s="79">
        <v>25000</v>
      </c>
      <c r="D527" s="65">
        <f t="shared" si="62"/>
        <v>25000</v>
      </c>
      <c r="E527" s="80">
        <f t="shared" si="58"/>
        <v>9434</v>
      </c>
      <c r="F527" s="452">
        <f t="shared" si="61"/>
        <v>37.736</v>
      </c>
      <c r="G527" s="161"/>
      <c r="H527" s="65"/>
      <c r="I527" s="356"/>
      <c r="J527" s="245"/>
      <c r="K527" s="169"/>
      <c r="L527" s="392"/>
      <c r="M527" s="65"/>
      <c r="N527" s="162"/>
      <c r="O527" s="211"/>
      <c r="P527" s="79">
        <v>25000</v>
      </c>
      <c r="Q527" s="80">
        <v>9434</v>
      </c>
      <c r="R527" s="426">
        <f t="shared" si="59"/>
        <v>37.736</v>
      </c>
    </row>
    <row r="528" spans="1:18" s="105" customFormat="1" ht="19.5" customHeight="1">
      <c r="A528" s="111">
        <v>4300</v>
      </c>
      <c r="B528" s="115" t="s">
        <v>489</v>
      </c>
      <c r="C528" s="79">
        <v>135000</v>
      </c>
      <c r="D528" s="65">
        <f t="shared" si="62"/>
        <v>135000</v>
      </c>
      <c r="E528" s="80">
        <f t="shared" si="58"/>
        <v>48867</v>
      </c>
      <c r="F528" s="452">
        <f t="shared" si="61"/>
        <v>36.19777777777778</v>
      </c>
      <c r="G528" s="161"/>
      <c r="H528" s="65"/>
      <c r="I528" s="356"/>
      <c r="J528" s="245"/>
      <c r="K528" s="169"/>
      <c r="L528" s="392"/>
      <c r="M528" s="65"/>
      <c r="N528" s="162"/>
      <c r="O528" s="426"/>
      <c r="P528" s="79">
        <v>135000</v>
      </c>
      <c r="Q528" s="80">
        <v>48867</v>
      </c>
      <c r="R528" s="426">
        <f t="shared" si="59"/>
        <v>36.19777777777778</v>
      </c>
    </row>
    <row r="529" spans="1:18" s="105" customFormat="1" ht="24">
      <c r="A529" s="111">
        <v>4350</v>
      </c>
      <c r="B529" s="115" t="s">
        <v>7</v>
      </c>
      <c r="C529" s="79">
        <v>500</v>
      </c>
      <c r="D529" s="65">
        <f t="shared" si="62"/>
        <v>500</v>
      </c>
      <c r="E529" s="80">
        <f t="shared" si="58"/>
        <v>414</v>
      </c>
      <c r="F529" s="452">
        <f t="shared" si="61"/>
        <v>82.8</v>
      </c>
      <c r="G529" s="161"/>
      <c r="H529" s="65"/>
      <c r="I529" s="356"/>
      <c r="J529" s="245"/>
      <c r="K529" s="169"/>
      <c r="L529" s="392"/>
      <c r="M529" s="65"/>
      <c r="N529" s="162"/>
      <c r="O529" s="211"/>
      <c r="P529" s="79">
        <v>500</v>
      </c>
      <c r="Q529" s="80">
        <v>414</v>
      </c>
      <c r="R529" s="426">
        <f t="shared" si="59"/>
        <v>82.8</v>
      </c>
    </row>
    <row r="530" spans="1:18" s="105" customFormat="1" ht="39" customHeight="1">
      <c r="A530" s="159">
        <v>4360</v>
      </c>
      <c r="B530" s="326" t="s">
        <v>295</v>
      </c>
      <c r="C530" s="79">
        <v>8000</v>
      </c>
      <c r="D530" s="65">
        <f t="shared" si="62"/>
        <v>8000</v>
      </c>
      <c r="E530" s="80">
        <f t="shared" si="58"/>
        <v>3902</v>
      </c>
      <c r="F530" s="452">
        <f t="shared" si="61"/>
        <v>48.775</v>
      </c>
      <c r="G530" s="161"/>
      <c r="H530" s="65"/>
      <c r="I530" s="356"/>
      <c r="J530" s="245"/>
      <c r="K530" s="169"/>
      <c r="L530" s="392"/>
      <c r="M530" s="169"/>
      <c r="N530" s="170"/>
      <c r="O530" s="211"/>
      <c r="P530" s="79">
        <v>8000</v>
      </c>
      <c r="Q530" s="80">
        <v>3902</v>
      </c>
      <c r="R530" s="426">
        <f t="shared" si="59"/>
        <v>48.775</v>
      </c>
    </row>
    <row r="531" spans="1:18" s="105" customFormat="1" ht="39.75" customHeight="1">
      <c r="A531" s="184">
        <v>4370</v>
      </c>
      <c r="B531" s="185" t="s">
        <v>296</v>
      </c>
      <c r="C531" s="147">
        <v>22000</v>
      </c>
      <c r="D531" s="148">
        <f t="shared" si="62"/>
        <v>48687</v>
      </c>
      <c r="E531" s="142">
        <f t="shared" si="58"/>
        <v>22048</v>
      </c>
      <c r="F531" s="453">
        <f t="shared" si="61"/>
        <v>45.285189064842776</v>
      </c>
      <c r="G531" s="163"/>
      <c r="H531" s="148"/>
      <c r="I531" s="375"/>
      <c r="J531" s="247"/>
      <c r="K531" s="179"/>
      <c r="L531" s="409"/>
      <c r="M531" s="179"/>
      <c r="N531" s="180"/>
      <c r="O531" s="259"/>
      <c r="P531" s="147">
        <f>22000+16687+10000</f>
        <v>48687</v>
      </c>
      <c r="Q531" s="142">
        <v>22048</v>
      </c>
      <c r="R531" s="446">
        <f t="shared" si="59"/>
        <v>45.285189064842776</v>
      </c>
    </row>
    <row r="532" spans="1:18" s="105" customFormat="1" ht="15.75" customHeight="1">
      <c r="A532" s="111">
        <v>4410</v>
      </c>
      <c r="B532" s="115" t="s">
        <v>463</v>
      </c>
      <c r="C532" s="79">
        <v>11000</v>
      </c>
      <c r="D532" s="65">
        <f t="shared" si="62"/>
        <v>11000</v>
      </c>
      <c r="E532" s="80">
        <f t="shared" si="58"/>
        <v>7136</v>
      </c>
      <c r="F532" s="452">
        <f t="shared" si="61"/>
        <v>64.87272727272727</v>
      </c>
      <c r="G532" s="161"/>
      <c r="H532" s="65"/>
      <c r="I532" s="356"/>
      <c r="J532" s="245"/>
      <c r="K532" s="169"/>
      <c r="L532" s="392"/>
      <c r="M532" s="169"/>
      <c r="N532" s="170"/>
      <c r="O532" s="211"/>
      <c r="P532" s="79">
        <v>11000</v>
      </c>
      <c r="Q532" s="80">
        <v>7136</v>
      </c>
      <c r="R532" s="426">
        <f t="shared" si="59"/>
        <v>64.87272727272727</v>
      </c>
    </row>
    <row r="533" spans="1:18" s="105" customFormat="1" ht="11.25" customHeight="1">
      <c r="A533" s="111">
        <v>4430</v>
      </c>
      <c r="B533" s="115" t="s">
        <v>491</v>
      </c>
      <c r="C533" s="79">
        <v>500</v>
      </c>
      <c r="D533" s="65">
        <f t="shared" si="62"/>
        <v>500</v>
      </c>
      <c r="E533" s="80">
        <f t="shared" si="58"/>
        <v>141</v>
      </c>
      <c r="F533" s="452">
        <f t="shared" si="61"/>
        <v>28.199999999999996</v>
      </c>
      <c r="G533" s="161"/>
      <c r="H533" s="65"/>
      <c r="I533" s="356"/>
      <c r="J533" s="245"/>
      <c r="K533" s="169"/>
      <c r="L533" s="392"/>
      <c r="M533" s="169"/>
      <c r="N533" s="170"/>
      <c r="O533" s="211"/>
      <c r="P533" s="79">
        <v>500</v>
      </c>
      <c r="Q533" s="80">
        <v>141</v>
      </c>
      <c r="R533" s="426">
        <f t="shared" si="59"/>
        <v>28.199999999999996</v>
      </c>
    </row>
    <row r="534" spans="1:18" s="105" customFormat="1" ht="11.25" customHeight="1">
      <c r="A534" s="111">
        <v>4440</v>
      </c>
      <c r="B534" s="115" t="s">
        <v>652</v>
      </c>
      <c r="C534" s="79">
        <v>5600</v>
      </c>
      <c r="D534" s="65">
        <f t="shared" si="62"/>
        <v>7000</v>
      </c>
      <c r="E534" s="80">
        <f t="shared" si="58"/>
        <v>1400</v>
      </c>
      <c r="F534" s="452">
        <f t="shared" si="61"/>
        <v>20</v>
      </c>
      <c r="G534" s="161"/>
      <c r="H534" s="65"/>
      <c r="I534" s="356"/>
      <c r="J534" s="245"/>
      <c r="K534" s="169"/>
      <c r="L534" s="392"/>
      <c r="M534" s="169"/>
      <c r="N534" s="170"/>
      <c r="O534" s="211"/>
      <c r="P534" s="79">
        <f>5600+1400</f>
        <v>7000</v>
      </c>
      <c r="Q534" s="246">
        <v>1400</v>
      </c>
      <c r="R534" s="426">
        <f t="shared" si="59"/>
        <v>20</v>
      </c>
    </row>
    <row r="535" spans="1:18" s="105" customFormat="1" ht="43.5" customHeight="1">
      <c r="A535" s="111">
        <v>4500</v>
      </c>
      <c r="B535" s="115" t="s">
        <v>653</v>
      </c>
      <c r="C535" s="79">
        <v>40435</v>
      </c>
      <c r="D535" s="65">
        <f t="shared" si="62"/>
        <v>44196</v>
      </c>
      <c r="E535" s="80">
        <f>SUM(H535+K535+N535+Q535)</f>
        <v>22098</v>
      </c>
      <c r="F535" s="452">
        <f t="shared" si="61"/>
        <v>50</v>
      </c>
      <c r="G535" s="161"/>
      <c r="H535" s="65"/>
      <c r="I535" s="356"/>
      <c r="J535" s="244"/>
      <c r="K535" s="169"/>
      <c r="L535" s="392"/>
      <c r="M535" s="169"/>
      <c r="N535" s="170"/>
      <c r="O535" s="211"/>
      <c r="P535" s="79">
        <f>40435+3761</f>
        <v>44196</v>
      </c>
      <c r="Q535" s="246">
        <v>22098</v>
      </c>
      <c r="R535" s="426">
        <f t="shared" si="59"/>
        <v>50</v>
      </c>
    </row>
    <row r="536" spans="1:18" s="105" customFormat="1" ht="24">
      <c r="A536" s="111">
        <v>4510</v>
      </c>
      <c r="B536" s="276" t="s">
        <v>654</v>
      </c>
      <c r="C536" s="79">
        <v>1233</v>
      </c>
      <c r="D536" s="65">
        <f t="shared" si="62"/>
        <v>1233</v>
      </c>
      <c r="E536" s="80">
        <f t="shared" si="58"/>
        <v>1233</v>
      </c>
      <c r="F536" s="452">
        <f t="shared" si="61"/>
        <v>100</v>
      </c>
      <c r="G536" s="161"/>
      <c r="H536" s="65"/>
      <c r="I536" s="356"/>
      <c r="J536" s="244"/>
      <c r="K536" s="169"/>
      <c r="L536" s="392"/>
      <c r="M536" s="65"/>
      <c r="N536" s="162"/>
      <c r="O536" s="211"/>
      <c r="P536" s="79">
        <v>1233</v>
      </c>
      <c r="Q536" s="246">
        <v>1233</v>
      </c>
      <c r="R536" s="426">
        <f t="shared" si="59"/>
        <v>100</v>
      </c>
    </row>
    <row r="537" spans="1:18" s="105" customFormat="1" ht="52.5" customHeight="1">
      <c r="A537" s="159">
        <v>4740</v>
      </c>
      <c r="B537" s="326" t="s">
        <v>288</v>
      </c>
      <c r="C537" s="79">
        <v>3500</v>
      </c>
      <c r="D537" s="65">
        <f t="shared" si="62"/>
        <v>3500</v>
      </c>
      <c r="E537" s="80">
        <f>SUM(H537+K537+N537+Q537)</f>
        <v>0</v>
      </c>
      <c r="F537" s="452">
        <f aca="true" t="shared" si="63" ref="F537:F555">E537/D537*100</f>
        <v>0</v>
      </c>
      <c r="G537" s="161"/>
      <c r="H537" s="65"/>
      <c r="I537" s="356"/>
      <c r="J537" s="244"/>
      <c r="K537" s="169"/>
      <c r="L537" s="392"/>
      <c r="M537" s="65"/>
      <c r="N537" s="162"/>
      <c r="O537" s="211"/>
      <c r="P537" s="79">
        <v>3500</v>
      </c>
      <c r="Q537" s="246"/>
      <c r="R537" s="426">
        <f t="shared" si="59"/>
        <v>0</v>
      </c>
    </row>
    <row r="538" spans="1:18" s="105" customFormat="1" ht="34.5" customHeight="1">
      <c r="A538" s="159">
        <v>4750</v>
      </c>
      <c r="B538" s="326" t="s">
        <v>289</v>
      </c>
      <c r="C538" s="79">
        <v>15000</v>
      </c>
      <c r="D538" s="65">
        <f t="shared" si="62"/>
        <v>23000</v>
      </c>
      <c r="E538" s="80">
        <f t="shared" si="58"/>
        <v>10498</v>
      </c>
      <c r="F538" s="452">
        <f t="shared" si="63"/>
        <v>45.643478260869564</v>
      </c>
      <c r="G538" s="161"/>
      <c r="H538" s="65"/>
      <c r="I538" s="356"/>
      <c r="J538" s="244"/>
      <c r="K538" s="169"/>
      <c r="L538" s="392"/>
      <c r="M538" s="169"/>
      <c r="N538" s="162"/>
      <c r="O538" s="211"/>
      <c r="P538" s="79">
        <f>15000+8000</f>
        <v>23000</v>
      </c>
      <c r="Q538" s="246">
        <v>10498</v>
      </c>
      <c r="R538" s="426">
        <f t="shared" si="59"/>
        <v>45.643478260869564</v>
      </c>
    </row>
    <row r="539" spans="1:18" s="105" customFormat="1" ht="24">
      <c r="A539" s="111">
        <v>6050</v>
      </c>
      <c r="B539" s="115" t="s">
        <v>549</v>
      </c>
      <c r="C539" s="79">
        <v>50000</v>
      </c>
      <c r="D539" s="65">
        <f t="shared" si="62"/>
        <v>50000</v>
      </c>
      <c r="E539" s="80">
        <f t="shared" si="58"/>
        <v>0</v>
      </c>
      <c r="F539" s="452">
        <f t="shared" si="63"/>
        <v>0</v>
      </c>
      <c r="G539" s="168"/>
      <c r="H539" s="169"/>
      <c r="I539" s="356"/>
      <c r="J539" s="244"/>
      <c r="K539" s="169"/>
      <c r="L539" s="392"/>
      <c r="M539" s="65"/>
      <c r="N539" s="162"/>
      <c r="O539" s="426"/>
      <c r="P539" s="79">
        <v>50000</v>
      </c>
      <c r="Q539" s="246"/>
      <c r="R539" s="426">
        <f t="shared" si="59"/>
        <v>0</v>
      </c>
    </row>
    <row r="540" spans="1:18" s="105" customFormat="1" ht="87" customHeight="1">
      <c r="A540" s="111">
        <v>6220</v>
      </c>
      <c r="B540" s="115" t="s">
        <v>393</v>
      </c>
      <c r="C540" s="79"/>
      <c r="D540" s="65">
        <f>G540+J540+P540+M540</f>
        <v>220000</v>
      </c>
      <c r="E540" s="80">
        <f>SUM(H540+K540+N540+Q540)</f>
        <v>0</v>
      </c>
      <c r="F540" s="452">
        <f t="shared" si="63"/>
        <v>0</v>
      </c>
      <c r="G540" s="168"/>
      <c r="H540" s="169"/>
      <c r="I540" s="356"/>
      <c r="J540" s="244"/>
      <c r="K540" s="169"/>
      <c r="L540" s="392"/>
      <c r="M540" s="65">
        <v>220000</v>
      </c>
      <c r="N540" s="162"/>
      <c r="O540" s="426">
        <f>N540/M540*100</f>
        <v>0</v>
      </c>
      <c r="P540" s="79"/>
      <c r="Q540" s="246"/>
      <c r="R540" s="426"/>
    </row>
    <row r="541" spans="1:18" s="105" customFormat="1" ht="22.5" customHeight="1">
      <c r="A541" s="145">
        <v>6060</v>
      </c>
      <c r="B541" s="338" t="s">
        <v>528</v>
      </c>
      <c r="C541" s="147"/>
      <c r="D541" s="148">
        <f t="shared" si="62"/>
        <v>45100</v>
      </c>
      <c r="E541" s="142">
        <f t="shared" si="58"/>
        <v>45100</v>
      </c>
      <c r="F541" s="452">
        <f t="shared" si="63"/>
        <v>100</v>
      </c>
      <c r="G541" s="177"/>
      <c r="H541" s="179"/>
      <c r="I541" s="375"/>
      <c r="J541" s="247"/>
      <c r="K541" s="179"/>
      <c r="L541" s="409"/>
      <c r="M541" s="148">
        <v>45100</v>
      </c>
      <c r="N541" s="164">
        <v>45100</v>
      </c>
      <c r="O541" s="426">
        <f>N541/M541*100</f>
        <v>100</v>
      </c>
      <c r="P541" s="163"/>
      <c r="Q541" s="142"/>
      <c r="R541" s="426"/>
    </row>
    <row r="542" spans="1:18" ht="24" customHeight="1">
      <c r="A542" s="106">
        <v>75412</v>
      </c>
      <c r="B542" s="172" t="s">
        <v>655</v>
      </c>
      <c r="C542" s="108">
        <f>SUM(C543)</f>
        <v>22000</v>
      </c>
      <c r="D542" s="86">
        <f t="shared" si="62"/>
        <v>22000</v>
      </c>
      <c r="E542" s="75">
        <f>SUM(E543)</f>
        <v>12000</v>
      </c>
      <c r="F542" s="451">
        <f t="shared" si="63"/>
        <v>54.54545454545454</v>
      </c>
      <c r="G542" s="108">
        <f>SUM(G543)</f>
        <v>22000</v>
      </c>
      <c r="H542" s="86">
        <f>SUM(H543)</f>
        <v>12000</v>
      </c>
      <c r="I542" s="432">
        <f aca="true" t="shared" si="64" ref="I542:I605">H542/G542*100</f>
        <v>54.54545454545454</v>
      </c>
      <c r="J542" s="110"/>
      <c r="K542" s="75"/>
      <c r="L542" s="406"/>
      <c r="M542" s="134"/>
      <c r="N542" s="75"/>
      <c r="O542" s="369"/>
      <c r="P542" s="108"/>
      <c r="Q542" s="75"/>
      <c r="R542" s="360"/>
    </row>
    <row r="543" spans="1:18" ht="48.75" customHeight="1">
      <c r="A543" s="145">
        <v>2820</v>
      </c>
      <c r="B543" s="146" t="s">
        <v>656</v>
      </c>
      <c r="C543" s="79">
        <v>22000</v>
      </c>
      <c r="D543" s="65">
        <f t="shared" si="62"/>
        <v>22000</v>
      </c>
      <c r="E543" s="80">
        <f>SUM(H543+K543+N543+Q543)</f>
        <v>12000</v>
      </c>
      <c r="F543" s="452">
        <f t="shared" si="63"/>
        <v>54.54545454545454</v>
      </c>
      <c r="G543" s="248">
        <v>22000</v>
      </c>
      <c r="H543" s="150">
        <f>7000+5000</f>
        <v>12000</v>
      </c>
      <c r="I543" s="426">
        <f t="shared" si="64"/>
        <v>54.54545454545454</v>
      </c>
      <c r="J543" s="249"/>
      <c r="K543" s="150"/>
      <c r="L543" s="259"/>
      <c r="M543" s="150"/>
      <c r="N543" s="150"/>
      <c r="O543" s="398"/>
      <c r="P543" s="248"/>
      <c r="Q543" s="150"/>
      <c r="R543" s="366"/>
    </row>
    <row r="544" spans="1:18" ht="12.75" customHeight="1">
      <c r="A544" s="106">
        <v>75414</v>
      </c>
      <c r="B544" s="172" t="s">
        <v>657</v>
      </c>
      <c r="C544" s="108">
        <f>SUM(C545:C550)</f>
        <v>51500</v>
      </c>
      <c r="D544" s="86">
        <f t="shared" si="62"/>
        <v>52500</v>
      </c>
      <c r="E544" s="86">
        <f>H544+K544+Q544+N544</f>
        <v>9532</v>
      </c>
      <c r="F544" s="451">
        <f t="shared" si="63"/>
        <v>18.156190476190474</v>
      </c>
      <c r="G544" s="108">
        <f>SUM(G545:G550)</f>
        <v>42500</v>
      </c>
      <c r="H544" s="75">
        <f>SUM(H545:H550)</f>
        <v>5053</v>
      </c>
      <c r="I544" s="432">
        <f t="shared" si="64"/>
        <v>11.889411764705882</v>
      </c>
      <c r="J544" s="75">
        <f>SUM(J548:J550)</f>
        <v>10000</v>
      </c>
      <c r="K544" s="75">
        <f>SUM(K548:K550)</f>
        <v>4479</v>
      </c>
      <c r="L544" s="432">
        <f>K544/J544*100</f>
        <v>44.79</v>
      </c>
      <c r="M544" s="75"/>
      <c r="N544" s="75"/>
      <c r="O544" s="369"/>
      <c r="P544" s="108"/>
      <c r="Q544" s="75"/>
      <c r="R544" s="360"/>
    </row>
    <row r="545" spans="1:18" ht="36" hidden="1">
      <c r="A545" s="111">
        <v>3020</v>
      </c>
      <c r="B545" s="115" t="s">
        <v>515</v>
      </c>
      <c r="C545" s="79">
        <v>0</v>
      </c>
      <c r="D545" s="65">
        <f t="shared" si="62"/>
        <v>0</v>
      </c>
      <c r="E545" s="80">
        <f aca="true" t="shared" si="65" ref="E545:E563">SUM(H545+K545+N545+Q545)</f>
        <v>0</v>
      </c>
      <c r="F545" s="452" t="e">
        <f t="shared" si="63"/>
        <v>#DIV/0!</v>
      </c>
      <c r="G545" s="79">
        <v>0</v>
      </c>
      <c r="H545" s="80"/>
      <c r="I545" s="426" t="e">
        <f t="shared" si="64"/>
        <v>#DIV/0!</v>
      </c>
      <c r="J545" s="113"/>
      <c r="K545" s="114"/>
      <c r="L545" s="432"/>
      <c r="M545" s="80"/>
      <c r="N545" s="80"/>
      <c r="O545" s="356"/>
      <c r="P545" s="79"/>
      <c r="Q545" s="80"/>
      <c r="R545" s="350"/>
    </row>
    <row r="546" spans="1:18" ht="24" hidden="1">
      <c r="A546" s="111">
        <v>4110</v>
      </c>
      <c r="B546" s="115" t="s">
        <v>477</v>
      </c>
      <c r="C546" s="79">
        <v>0</v>
      </c>
      <c r="D546" s="65">
        <f t="shared" si="62"/>
        <v>0</v>
      </c>
      <c r="E546" s="80">
        <f t="shared" si="65"/>
        <v>0</v>
      </c>
      <c r="F546" s="452" t="e">
        <f t="shared" si="63"/>
        <v>#DIV/0!</v>
      </c>
      <c r="G546" s="79">
        <v>0</v>
      </c>
      <c r="H546" s="80"/>
      <c r="I546" s="426" t="e">
        <f t="shared" si="64"/>
        <v>#DIV/0!</v>
      </c>
      <c r="J546" s="113"/>
      <c r="K546" s="114"/>
      <c r="L546" s="432"/>
      <c r="M546" s="80"/>
      <c r="N546" s="80"/>
      <c r="O546" s="356"/>
      <c r="P546" s="79"/>
      <c r="Q546" s="80"/>
      <c r="R546" s="350"/>
    </row>
    <row r="547" spans="1:18" ht="60" hidden="1">
      <c r="A547" s="111">
        <v>6060</v>
      </c>
      <c r="B547" s="115" t="s">
        <v>658</v>
      </c>
      <c r="C547" s="79"/>
      <c r="D547" s="65">
        <f t="shared" si="62"/>
        <v>0</v>
      </c>
      <c r="E547" s="80">
        <f t="shared" si="65"/>
        <v>0</v>
      </c>
      <c r="F547" s="452" t="e">
        <f t="shared" si="63"/>
        <v>#DIV/0!</v>
      </c>
      <c r="G547" s="79"/>
      <c r="H547" s="80"/>
      <c r="I547" s="426"/>
      <c r="J547" s="113"/>
      <c r="K547" s="114"/>
      <c r="L547" s="448"/>
      <c r="M547" s="80"/>
      <c r="N547" s="80"/>
      <c r="O547" s="356"/>
      <c r="P547" s="79"/>
      <c r="Q547" s="80"/>
      <c r="R547" s="350" t="e">
        <f>Q547/P547*100</f>
        <v>#DIV/0!</v>
      </c>
    </row>
    <row r="548" spans="1:18" ht="23.25" customHeight="1">
      <c r="A548" s="111">
        <v>4210</v>
      </c>
      <c r="B548" s="115" t="s">
        <v>481</v>
      </c>
      <c r="C548" s="79">
        <v>26000</v>
      </c>
      <c r="D548" s="65">
        <f t="shared" si="62"/>
        <v>26000</v>
      </c>
      <c r="E548" s="80">
        <f t="shared" si="65"/>
        <v>3094</v>
      </c>
      <c r="F548" s="452">
        <f t="shared" si="63"/>
        <v>11.899999999999999</v>
      </c>
      <c r="G548" s="79">
        <v>26000</v>
      </c>
      <c r="H548" s="80">
        <f>3094</f>
        <v>3094</v>
      </c>
      <c r="I548" s="426">
        <f t="shared" si="64"/>
        <v>11.899999999999999</v>
      </c>
      <c r="J548" s="113"/>
      <c r="K548" s="114"/>
      <c r="L548" s="426"/>
      <c r="M548" s="80"/>
      <c r="N548" s="80"/>
      <c r="O548" s="356"/>
      <c r="P548" s="79"/>
      <c r="Q548" s="80"/>
      <c r="R548" s="350"/>
    </row>
    <row r="549" spans="1:18" ht="15.75" customHeight="1">
      <c r="A549" s="111">
        <v>4270</v>
      </c>
      <c r="B549" s="444" t="s">
        <v>487</v>
      </c>
      <c r="C549" s="79"/>
      <c r="D549" s="65">
        <f t="shared" si="62"/>
        <v>6700</v>
      </c>
      <c r="E549" s="80">
        <f>SUM(H549+K549+N549+Q549)</f>
        <v>0</v>
      </c>
      <c r="F549" s="452">
        <f t="shared" si="63"/>
        <v>0</v>
      </c>
      <c r="G549" s="79">
        <v>4200</v>
      </c>
      <c r="H549" s="80"/>
      <c r="I549" s="426">
        <f t="shared" si="64"/>
        <v>0</v>
      </c>
      <c r="J549" s="113">
        <v>2500</v>
      </c>
      <c r="K549" s="114"/>
      <c r="L549" s="426">
        <f>K549/J549*100</f>
        <v>0</v>
      </c>
      <c r="M549" s="80"/>
      <c r="N549" s="80"/>
      <c r="O549" s="356"/>
      <c r="P549" s="79"/>
      <c r="Q549" s="80"/>
      <c r="R549" s="350"/>
    </row>
    <row r="550" spans="1:18" ht="16.5" customHeight="1">
      <c r="A550" s="145">
        <v>4300</v>
      </c>
      <c r="B550" s="525" t="s">
        <v>522</v>
      </c>
      <c r="C550" s="147">
        <v>25500</v>
      </c>
      <c r="D550" s="148">
        <f t="shared" si="62"/>
        <v>19800</v>
      </c>
      <c r="E550" s="142">
        <f t="shared" si="65"/>
        <v>6438</v>
      </c>
      <c r="F550" s="446">
        <f t="shared" si="63"/>
        <v>32.515151515151516</v>
      </c>
      <c r="G550" s="147">
        <f>16500-4200</f>
        <v>12300</v>
      </c>
      <c r="H550" s="150">
        <v>1959</v>
      </c>
      <c r="I550" s="446">
        <f t="shared" si="64"/>
        <v>15.926829268292684</v>
      </c>
      <c r="J550" s="249">
        <f>9000-2500+1000</f>
        <v>7500</v>
      </c>
      <c r="K550" s="150">
        <f>4479</f>
        <v>4479</v>
      </c>
      <c r="L550" s="446">
        <f>K550/J550*100</f>
        <v>59.72</v>
      </c>
      <c r="M550" s="150"/>
      <c r="N550" s="150"/>
      <c r="O550" s="398"/>
      <c r="P550" s="248"/>
      <c r="Q550" s="150"/>
      <c r="R550" s="366"/>
    </row>
    <row r="551" spans="1:18" ht="24" hidden="1">
      <c r="A551" s="137">
        <v>75421</v>
      </c>
      <c r="B551" s="138" t="s">
        <v>422</v>
      </c>
      <c r="C551" s="85">
        <f>SUM(C552)</f>
        <v>0</v>
      </c>
      <c r="D551" s="86">
        <f t="shared" si="62"/>
        <v>0</v>
      </c>
      <c r="E551" s="86">
        <f>SUM(H551+K551+N551+Q551)</f>
        <v>0</v>
      </c>
      <c r="F551" s="468" t="e">
        <f t="shared" si="63"/>
        <v>#DIV/0!</v>
      </c>
      <c r="G551" s="85">
        <f>SUM(G552)</f>
        <v>0</v>
      </c>
      <c r="H551" s="74">
        <f>SUM(H552)</f>
        <v>0</v>
      </c>
      <c r="I551" s="301" t="e">
        <f t="shared" si="64"/>
        <v>#DIV/0!</v>
      </c>
      <c r="J551" s="139"/>
      <c r="K551" s="74"/>
      <c r="L551" s="468"/>
      <c r="M551" s="74"/>
      <c r="N551" s="74"/>
      <c r="O551" s="399"/>
      <c r="P551" s="89"/>
      <c r="Q551" s="74"/>
      <c r="R551" s="355"/>
    </row>
    <row r="552" spans="1:18" ht="45.75" hidden="1">
      <c r="A552" s="111">
        <v>4810</v>
      </c>
      <c r="B552" s="112" t="s">
        <v>423</v>
      </c>
      <c r="C552" s="79"/>
      <c r="D552" s="65">
        <f t="shared" si="62"/>
        <v>0</v>
      </c>
      <c r="E552" s="80">
        <f>SUM(H552+K552+N552+Q552)</f>
        <v>0</v>
      </c>
      <c r="F552" s="426" t="e">
        <f t="shared" si="63"/>
        <v>#DIV/0!</v>
      </c>
      <c r="G552" s="79"/>
      <c r="H552" s="114"/>
      <c r="I552" s="301" t="e">
        <f t="shared" si="64"/>
        <v>#DIV/0!</v>
      </c>
      <c r="J552" s="140"/>
      <c r="K552" s="114"/>
      <c r="L552" s="426"/>
      <c r="M552" s="114"/>
      <c r="N552" s="114"/>
      <c r="O552" s="390"/>
      <c r="P552" s="488"/>
      <c r="Q552" s="114"/>
      <c r="R552" s="349"/>
    </row>
    <row r="553" spans="1:18" s="130" customFormat="1" ht="12.75">
      <c r="A553" s="137">
        <v>75495</v>
      </c>
      <c r="B553" s="138" t="s">
        <v>504</v>
      </c>
      <c r="C553" s="85">
        <f>SUM(C554:C555)</f>
        <v>115000</v>
      </c>
      <c r="D553" s="86">
        <f t="shared" si="62"/>
        <v>166136</v>
      </c>
      <c r="E553" s="86">
        <f t="shared" si="65"/>
        <v>16414</v>
      </c>
      <c r="F553" s="432">
        <f t="shared" si="63"/>
        <v>9.879857466172293</v>
      </c>
      <c r="G553" s="85">
        <f>SUM(G554:G555)</f>
        <v>115000</v>
      </c>
      <c r="H553" s="74">
        <f>SUM(H554:H555)</f>
        <v>15000</v>
      </c>
      <c r="I553" s="301">
        <f t="shared" si="64"/>
        <v>13.043478260869565</v>
      </c>
      <c r="J553" s="139"/>
      <c r="K553" s="74"/>
      <c r="L553" s="256"/>
      <c r="M553" s="74"/>
      <c r="N553" s="74"/>
      <c r="O553" s="399"/>
      <c r="P553" s="89">
        <f>SUM(P554:P556)</f>
        <v>51136</v>
      </c>
      <c r="Q553" s="74">
        <f>SUM(Q554:Q556)</f>
        <v>1414</v>
      </c>
      <c r="R553" s="355">
        <f>Q553/P553*100</f>
        <v>2.7651752190237797</v>
      </c>
    </row>
    <row r="554" spans="1:18" s="12" customFormat="1" ht="24">
      <c r="A554" s="159">
        <v>3000</v>
      </c>
      <c r="B554" s="485" t="s">
        <v>644</v>
      </c>
      <c r="C554" s="161">
        <v>15000</v>
      </c>
      <c r="D554" s="65">
        <f t="shared" si="62"/>
        <v>15000</v>
      </c>
      <c r="E554" s="80">
        <f>SUM(H554+K554+N554+Q554)</f>
        <v>15000</v>
      </c>
      <c r="F554" s="452">
        <f t="shared" si="63"/>
        <v>100</v>
      </c>
      <c r="G554" s="161">
        <v>15000</v>
      </c>
      <c r="H554" s="66">
        <v>15000</v>
      </c>
      <c r="I554" s="426">
        <f t="shared" si="64"/>
        <v>100</v>
      </c>
      <c r="J554" s="67"/>
      <c r="K554" s="66"/>
      <c r="L554" s="211"/>
      <c r="M554" s="66"/>
      <c r="N554" s="66"/>
      <c r="O554" s="390"/>
      <c r="P554" s="64"/>
      <c r="Q554" s="66"/>
      <c r="R554" s="349"/>
    </row>
    <row r="555" spans="1:18" ht="24">
      <c r="A555" s="111">
        <v>6050</v>
      </c>
      <c r="B555" s="112" t="s">
        <v>512</v>
      </c>
      <c r="C555" s="79">
        <v>100000</v>
      </c>
      <c r="D555" s="65">
        <f t="shared" si="62"/>
        <v>100000</v>
      </c>
      <c r="E555" s="80">
        <f t="shared" si="65"/>
        <v>0</v>
      </c>
      <c r="F555" s="452">
        <f t="shared" si="63"/>
        <v>0</v>
      </c>
      <c r="G555" s="79">
        <v>100000</v>
      </c>
      <c r="H555" s="114"/>
      <c r="I555" s="211">
        <f t="shared" si="64"/>
        <v>0</v>
      </c>
      <c r="J555" s="140"/>
      <c r="K555" s="114"/>
      <c r="L555" s="211"/>
      <c r="M555" s="114"/>
      <c r="N555" s="114"/>
      <c r="O555" s="390"/>
      <c r="P555" s="488"/>
      <c r="Q555" s="114"/>
      <c r="R555" s="349"/>
    </row>
    <row r="556" spans="1:18" s="264" customFormat="1" ht="81">
      <c r="A556" s="540"/>
      <c r="B556" s="546" t="s">
        <v>49</v>
      </c>
      <c r="C556" s="214"/>
      <c r="D556" s="215">
        <f t="shared" si="62"/>
        <v>51136</v>
      </c>
      <c r="E556" s="215">
        <f t="shared" si="65"/>
        <v>1414</v>
      </c>
      <c r="F556" s="461">
        <f aca="true" t="shared" si="66" ref="F556:F563">E556/D556*100</f>
        <v>2.7651752190237797</v>
      </c>
      <c r="G556" s="214"/>
      <c r="H556" s="594"/>
      <c r="I556" s="337"/>
      <c r="J556" s="595"/>
      <c r="K556" s="594"/>
      <c r="L556" s="337"/>
      <c r="M556" s="594"/>
      <c r="N556" s="594"/>
      <c r="O556" s="337"/>
      <c r="P556" s="596">
        <f>SUM(P557:P563)</f>
        <v>51136</v>
      </c>
      <c r="Q556" s="594">
        <f>SUM(Q557:Q563)</f>
        <v>1414</v>
      </c>
      <c r="R556" s="374">
        <f>Q556/P556*100</f>
        <v>2.7651752190237797</v>
      </c>
    </row>
    <row r="557" spans="1:18" ht="24">
      <c r="A557" s="111">
        <v>4110</v>
      </c>
      <c r="B557" s="262" t="s">
        <v>477</v>
      </c>
      <c r="C557" s="79"/>
      <c r="D557" s="65">
        <f t="shared" si="62"/>
        <v>4840</v>
      </c>
      <c r="E557" s="80">
        <f t="shared" si="65"/>
        <v>0</v>
      </c>
      <c r="F557" s="452">
        <f t="shared" si="66"/>
        <v>0</v>
      </c>
      <c r="G557" s="79"/>
      <c r="H557" s="114"/>
      <c r="I557" s="211"/>
      <c r="J557" s="140"/>
      <c r="K557" s="114"/>
      <c r="L557" s="211"/>
      <c r="M557" s="114"/>
      <c r="N557" s="114"/>
      <c r="O557" s="390"/>
      <c r="P557" s="488">
        <v>4840</v>
      </c>
      <c r="Q557" s="114"/>
      <c r="R557" s="265">
        <f aca="true" t="shared" si="67" ref="R557:R563">Q557/P557*100</f>
        <v>0</v>
      </c>
    </row>
    <row r="558" spans="1:18" ht="12.75">
      <c r="A558" s="111">
        <v>4120</v>
      </c>
      <c r="B558" s="262" t="s">
        <v>547</v>
      </c>
      <c r="C558" s="79"/>
      <c r="D558" s="65">
        <f t="shared" si="62"/>
        <v>741</v>
      </c>
      <c r="E558" s="80">
        <f t="shared" si="65"/>
        <v>0</v>
      </c>
      <c r="F558" s="452">
        <f t="shared" si="66"/>
        <v>0</v>
      </c>
      <c r="G558" s="79"/>
      <c r="H558" s="114"/>
      <c r="I558" s="211"/>
      <c r="J558" s="140"/>
      <c r="K558" s="114"/>
      <c r="L558" s="211"/>
      <c r="M558" s="114"/>
      <c r="N558" s="114"/>
      <c r="O558" s="390"/>
      <c r="P558" s="488">
        <v>741</v>
      </c>
      <c r="Q558" s="114"/>
      <c r="R558" s="265">
        <f t="shared" si="67"/>
        <v>0</v>
      </c>
    </row>
    <row r="559" spans="1:18" ht="24">
      <c r="A559" s="111">
        <v>4170</v>
      </c>
      <c r="B559" s="262" t="s">
        <v>511</v>
      </c>
      <c r="C559" s="79"/>
      <c r="D559" s="65">
        <f t="shared" si="62"/>
        <v>30219</v>
      </c>
      <c r="E559" s="80">
        <f t="shared" si="65"/>
        <v>0</v>
      </c>
      <c r="F559" s="452">
        <f t="shared" si="66"/>
        <v>0</v>
      </c>
      <c r="G559" s="79"/>
      <c r="H559" s="114"/>
      <c r="I559" s="211"/>
      <c r="J559" s="140"/>
      <c r="K559" s="114"/>
      <c r="L559" s="211"/>
      <c r="M559" s="114"/>
      <c r="N559" s="114"/>
      <c r="O559" s="390"/>
      <c r="P559" s="488">
        <v>30219</v>
      </c>
      <c r="Q559" s="114"/>
      <c r="R559" s="265">
        <f t="shared" si="67"/>
        <v>0</v>
      </c>
    </row>
    <row r="560" spans="1:18" ht="24">
      <c r="A560" s="111">
        <v>4210</v>
      </c>
      <c r="B560" s="262" t="s">
        <v>481</v>
      </c>
      <c r="C560" s="79"/>
      <c r="D560" s="65">
        <f t="shared" si="62"/>
        <v>4300</v>
      </c>
      <c r="E560" s="80">
        <f t="shared" si="65"/>
        <v>414</v>
      </c>
      <c r="F560" s="452">
        <f t="shared" si="66"/>
        <v>9.627906976744185</v>
      </c>
      <c r="G560" s="79"/>
      <c r="H560" s="114"/>
      <c r="I560" s="211"/>
      <c r="J560" s="140"/>
      <c r="K560" s="114"/>
      <c r="L560" s="211"/>
      <c r="M560" s="114"/>
      <c r="N560" s="114"/>
      <c r="O560" s="390"/>
      <c r="P560" s="488">
        <v>4300</v>
      </c>
      <c r="Q560" s="114">
        <v>414</v>
      </c>
      <c r="R560" s="265">
        <f t="shared" si="67"/>
        <v>9.627906976744185</v>
      </c>
    </row>
    <row r="561" spans="1:18" ht="15.75" customHeight="1">
      <c r="A561" s="111">
        <v>4300</v>
      </c>
      <c r="B561" s="276" t="s">
        <v>489</v>
      </c>
      <c r="C561" s="79"/>
      <c r="D561" s="65">
        <f t="shared" si="62"/>
        <v>10100</v>
      </c>
      <c r="E561" s="80">
        <f t="shared" si="65"/>
        <v>1000</v>
      </c>
      <c r="F561" s="452">
        <f t="shared" si="66"/>
        <v>9.900990099009901</v>
      </c>
      <c r="G561" s="79"/>
      <c r="H561" s="114"/>
      <c r="I561" s="211"/>
      <c r="J561" s="140"/>
      <c r="K561" s="114"/>
      <c r="L561" s="211"/>
      <c r="M561" s="114"/>
      <c r="N561" s="114"/>
      <c r="O561" s="390"/>
      <c r="P561" s="488">
        <v>10100</v>
      </c>
      <c r="Q561" s="114">
        <v>1000</v>
      </c>
      <c r="R561" s="265">
        <f t="shared" si="67"/>
        <v>9.900990099009901</v>
      </c>
    </row>
    <row r="562" spans="1:18" ht="48" customHeight="1">
      <c r="A562" s="159">
        <v>4740</v>
      </c>
      <c r="B562" s="326" t="s">
        <v>288</v>
      </c>
      <c r="C562" s="79"/>
      <c r="D562" s="65">
        <f t="shared" si="62"/>
        <v>100</v>
      </c>
      <c r="E562" s="80">
        <f t="shared" si="65"/>
        <v>0</v>
      </c>
      <c r="F562" s="452">
        <f t="shared" si="66"/>
        <v>0</v>
      </c>
      <c r="G562" s="79"/>
      <c r="H562" s="114"/>
      <c r="I562" s="211"/>
      <c r="J562" s="140"/>
      <c r="K562" s="114"/>
      <c r="L562" s="211"/>
      <c r="M562" s="114"/>
      <c r="N562" s="114"/>
      <c r="O562" s="390"/>
      <c r="P562" s="488">
        <v>100</v>
      </c>
      <c r="Q562" s="114"/>
      <c r="R562" s="265">
        <f t="shared" si="67"/>
        <v>0</v>
      </c>
    </row>
    <row r="563" spans="1:18" ht="36.75" thickBot="1">
      <c r="A563" s="159">
        <v>4750</v>
      </c>
      <c r="B563" s="326" t="s">
        <v>50</v>
      </c>
      <c r="C563" s="79"/>
      <c r="D563" s="65">
        <f t="shared" si="62"/>
        <v>836</v>
      </c>
      <c r="E563" s="80">
        <f t="shared" si="65"/>
        <v>0</v>
      </c>
      <c r="F563" s="452">
        <f t="shared" si="66"/>
        <v>0</v>
      </c>
      <c r="G563" s="79"/>
      <c r="H563" s="114"/>
      <c r="I563" s="211"/>
      <c r="J563" s="140"/>
      <c r="K563" s="114"/>
      <c r="L563" s="211"/>
      <c r="M563" s="114"/>
      <c r="N563" s="114"/>
      <c r="O563" s="390"/>
      <c r="P563" s="488">
        <v>836</v>
      </c>
      <c r="Q563" s="114"/>
      <c r="R563" s="265">
        <f t="shared" si="67"/>
        <v>0</v>
      </c>
    </row>
    <row r="564" spans="1:18" s="130" customFormat="1" ht="109.5" customHeight="1" thickBot="1" thickTop="1">
      <c r="A564" s="118">
        <v>756</v>
      </c>
      <c r="B564" s="250" t="s">
        <v>659</v>
      </c>
      <c r="C564" s="120">
        <f>C565</f>
        <v>624700</v>
      </c>
      <c r="D564" s="51">
        <f>G564</f>
        <v>624700</v>
      </c>
      <c r="E564" s="51">
        <f>H564</f>
        <v>262860</v>
      </c>
      <c r="F564" s="503">
        <f>E564/D564*100</f>
        <v>42.07779734272451</v>
      </c>
      <c r="G564" s="120">
        <f>G565</f>
        <v>624700</v>
      </c>
      <c r="H564" s="251">
        <f>H565</f>
        <v>262860</v>
      </c>
      <c r="I564" s="343">
        <f>H564/G564*100</f>
        <v>42.07779734272451</v>
      </c>
      <c r="J564" s="252"/>
      <c r="K564" s="251"/>
      <c r="L564" s="387"/>
      <c r="M564" s="251"/>
      <c r="N564" s="251"/>
      <c r="O564" s="400"/>
      <c r="P564" s="490"/>
      <c r="Q564" s="251"/>
      <c r="R564" s="367"/>
    </row>
    <row r="565" spans="1:18" ht="48.75" thickTop="1">
      <c r="A565" s="236">
        <v>75647</v>
      </c>
      <c r="B565" s="189" t="s">
        <v>660</v>
      </c>
      <c r="C565" s="190">
        <f>SUM(C566:C580)</f>
        <v>624700</v>
      </c>
      <c r="D565" s="109">
        <f aca="true" t="shared" si="68" ref="D565:D583">G565+J565+P565+M565</f>
        <v>624700</v>
      </c>
      <c r="E565" s="109">
        <f>H565+K565+Q565+N565</f>
        <v>262860</v>
      </c>
      <c r="F565" s="504">
        <f>E565/D565*100</f>
        <v>42.07779734272451</v>
      </c>
      <c r="G565" s="190">
        <f>SUM(G566:G580)</f>
        <v>624700</v>
      </c>
      <c r="H565" s="109">
        <f>SUM(H566:H580)</f>
        <v>262860</v>
      </c>
      <c r="I565" s="259">
        <f>H565/G565*100</f>
        <v>42.07779734272451</v>
      </c>
      <c r="J565" s="191"/>
      <c r="K565" s="109"/>
      <c r="L565" s="282"/>
      <c r="M565" s="109"/>
      <c r="N565" s="109"/>
      <c r="O565" s="377"/>
      <c r="P565" s="109"/>
      <c r="Q565" s="109"/>
      <c r="R565" s="282"/>
    </row>
    <row r="566" spans="1:18" s="12" customFormat="1" ht="36" hidden="1">
      <c r="A566" s="234">
        <v>4010</v>
      </c>
      <c r="B566" s="182" t="s">
        <v>661</v>
      </c>
      <c r="C566" s="93"/>
      <c r="D566" s="65">
        <f t="shared" si="68"/>
        <v>0</v>
      </c>
      <c r="E566" s="80">
        <f aca="true" t="shared" si="69" ref="E566:E583">SUM(H566+K566+N566+Q566)</f>
        <v>0</v>
      </c>
      <c r="F566" s="452" t="e">
        <f aca="true" t="shared" si="70" ref="F566:F583">E566/D566*100</f>
        <v>#DIV/0!</v>
      </c>
      <c r="G566" s="93"/>
      <c r="H566" s="94"/>
      <c r="I566" s="211" t="e">
        <f aca="true" t="shared" si="71" ref="I566:I583">H566/G566*100</f>
        <v>#DIV/0!</v>
      </c>
      <c r="J566" s="183"/>
      <c r="K566" s="94"/>
      <c r="L566" s="289"/>
      <c r="M566" s="94"/>
      <c r="N566" s="94"/>
      <c r="O566" s="376"/>
      <c r="P566" s="94"/>
      <c r="Q566" s="94"/>
      <c r="R566" s="289"/>
    </row>
    <row r="567" spans="1:18" ht="29.25" customHeight="1">
      <c r="A567" s="607">
        <v>4100</v>
      </c>
      <c r="B567" s="146" t="s">
        <v>662</v>
      </c>
      <c r="C567" s="147">
        <v>170000</v>
      </c>
      <c r="D567" s="148">
        <f t="shared" si="68"/>
        <v>169000</v>
      </c>
      <c r="E567" s="142">
        <f t="shared" si="69"/>
        <v>72567</v>
      </c>
      <c r="F567" s="453">
        <f t="shared" si="70"/>
        <v>42.93905325443787</v>
      </c>
      <c r="G567" s="147">
        <f>170000-1000</f>
        <v>169000</v>
      </c>
      <c r="H567" s="609">
        <v>72567</v>
      </c>
      <c r="I567" s="259">
        <f t="shared" si="71"/>
        <v>42.93905325443787</v>
      </c>
      <c r="J567" s="149"/>
      <c r="K567" s="142"/>
      <c r="L567" s="259"/>
      <c r="M567" s="142"/>
      <c r="N567" s="142"/>
      <c r="O567" s="375"/>
      <c r="P567" s="142"/>
      <c r="Q567" s="142"/>
      <c r="R567" s="259"/>
    </row>
    <row r="568" spans="1:18" ht="27.75" customHeight="1">
      <c r="A568" s="171">
        <v>4100</v>
      </c>
      <c r="B568" s="115" t="s">
        <v>663</v>
      </c>
      <c r="C568" s="79">
        <v>20000</v>
      </c>
      <c r="D568" s="65">
        <f t="shared" si="68"/>
        <v>14200</v>
      </c>
      <c r="E568" s="80">
        <f t="shared" si="69"/>
        <v>4854</v>
      </c>
      <c r="F568" s="452">
        <f t="shared" si="70"/>
        <v>34.183098591549296</v>
      </c>
      <c r="G568" s="79">
        <f>20000-5800</f>
        <v>14200</v>
      </c>
      <c r="H568" s="80">
        <v>4854</v>
      </c>
      <c r="I568" s="211">
        <f t="shared" si="71"/>
        <v>34.183098591549296</v>
      </c>
      <c r="J568" s="113"/>
      <c r="K568" s="80"/>
      <c r="L568" s="211"/>
      <c r="M568" s="80"/>
      <c r="N568" s="80"/>
      <c r="O568" s="356"/>
      <c r="P568" s="80"/>
      <c r="Q568" s="80"/>
      <c r="R568" s="211"/>
    </row>
    <row r="569" spans="1:18" ht="24">
      <c r="A569" s="111">
        <v>4110</v>
      </c>
      <c r="B569" s="115" t="s">
        <v>664</v>
      </c>
      <c r="C569" s="79">
        <v>6800</v>
      </c>
      <c r="D569" s="65">
        <f t="shared" si="68"/>
        <v>6800</v>
      </c>
      <c r="E569" s="80">
        <f t="shared" si="69"/>
        <v>1626</v>
      </c>
      <c r="F569" s="452">
        <f t="shared" si="70"/>
        <v>23.91176470588235</v>
      </c>
      <c r="G569" s="79">
        <v>6800</v>
      </c>
      <c r="H569" s="80">
        <v>1626</v>
      </c>
      <c r="I569" s="211">
        <f t="shared" si="71"/>
        <v>23.91176470588235</v>
      </c>
      <c r="J569" s="113"/>
      <c r="K569" s="80"/>
      <c r="L569" s="211"/>
      <c r="M569" s="80"/>
      <c r="N569" s="80"/>
      <c r="O569" s="356"/>
      <c r="P569" s="80"/>
      <c r="Q569" s="80"/>
      <c r="R569" s="211"/>
    </row>
    <row r="570" spans="1:18" ht="24">
      <c r="A570" s="111">
        <v>4110</v>
      </c>
      <c r="B570" s="115" t="s">
        <v>672</v>
      </c>
      <c r="C570" s="79">
        <v>24600</v>
      </c>
      <c r="D570" s="65">
        <f t="shared" si="68"/>
        <v>24600</v>
      </c>
      <c r="E570" s="80">
        <f t="shared" si="69"/>
        <v>5506</v>
      </c>
      <c r="F570" s="452">
        <f t="shared" si="70"/>
        <v>22.382113821138212</v>
      </c>
      <c r="G570" s="79">
        <v>24600</v>
      </c>
      <c r="H570" s="80">
        <v>5506</v>
      </c>
      <c r="I570" s="211">
        <f t="shared" si="71"/>
        <v>22.382113821138212</v>
      </c>
      <c r="J570" s="113"/>
      <c r="K570" s="80"/>
      <c r="L570" s="211"/>
      <c r="M570" s="80"/>
      <c r="N570" s="80"/>
      <c r="O570" s="356"/>
      <c r="P570" s="80"/>
      <c r="Q570" s="80"/>
      <c r="R570" s="211"/>
    </row>
    <row r="571" spans="1:18" ht="12.75">
      <c r="A571" s="111">
        <v>4120</v>
      </c>
      <c r="B571" s="115" t="s">
        <v>673</v>
      </c>
      <c r="C571" s="79">
        <v>1100</v>
      </c>
      <c r="D571" s="65">
        <f t="shared" si="68"/>
        <v>1100</v>
      </c>
      <c r="E571" s="80">
        <f t="shared" si="69"/>
        <v>312</v>
      </c>
      <c r="F571" s="452">
        <f t="shared" si="70"/>
        <v>28.363636363636363</v>
      </c>
      <c r="G571" s="79">
        <v>1100</v>
      </c>
      <c r="H571" s="80">
        <v>312</v>
      </c>
      <c r="I571" s="211">
        <f t="shared" si="71"/>
        <v>28.363636363636363</v>
      </c>
      <c r="J571" s="113"/>
      <c r="K571" s="80"/>
      <c r="L571" s="211"/>
      <c r="M571" s="80"/>
      <c r="N571" s="80"/>
      <c r="O571" s="356"/>
      <c r="P571" s="80"/>
      <c r="Q571" s="80"/>
      <c r="R571" s="211"/>
    </row>
    <row r="572" spans="1:18" ht="12.75">
      <c r="A572" s="111">
        <v>4120</v>
      </c>
      <c r="B572" s="115" t="s">
        <v>674</v>
      </c>
      <c r="C572" s="79">
        <v>4200</v>
      </c>
      <c r="D572" s="65">
        <f t="shared" si="68"/>
        <v>4200</v>
      </c>
      <c r="E572" s="80">
        <f t="shared" si="69"/>
        <v>888</v>
      </c>
      <c r="F572" s="452">
        <f t="shared" si="70"/>
        <v>21.142857142857142</v>
      </c>
      <c r="G572" s="79">
        <v>4200</v>
      </c>
      <c r="H572" s="80">
        <v>888</v>
      </c>
      <c r="I572" s="211">
        <f t="shared" si="71"/>
        <v>21.142857142857142</v>
      </c>
      <c r="J572" s="113"/>
      <c r="K572" s="80"/>
      <c r="L572" s="211"/>
      <c r="M572" s="80"/>
      <c r="N572" s="80"/>
      <c r="O572" s="356"/>
      <c r="P572" s="80"/>
      <c r="Q572" s="80"/>
      <c r="R572" s="211"/>
    </row>
    <row r="573" spans="1:18" ht="24">
      <c r="A573" s="111">
        <v>4170</v>
      </c>
      <c r="B573" s="115" t="s">
        <v>675</v>
      </c>
      <c r="C573" s="79">
        <v>23000</v>
      </c>
      <c r="D573" s="65">
        <f t="shared" si="68"/>
        <v>28800</v>
      </c>
      <c r="E573" s="80">
        <f t="shared" si="69"/>
        <v>13164</v>
      </c>
      <c r="F573" s="452">
        <f t="shared" si="70"/>
        <v>45.708333333333336</v>
      </c>
      <c r="G573" s="79">
        <f>23000+5800</f>
        <v>28800</v>
      </c>
      <c r="H573" s="80">
        <v>13164</v>
      </c>
      <c r="I573" s="211">
        <f t="shared" si="71"/>
        <v>45.708333333333336</v>
      </c>
      <c r="J573" s="113"/>
      <c r="K573" s="80"/>
      <c r="L573" s="211"/>
      <c r="M573" s="80"/>
      <c r="N573" s="80"/>
      <c r="O573" s="356"/>
      <c r="P573" s="80"/>
      <c r="Q573" s="80"/>
      <c r="R573" s="211"/>
    </row>
    <row r="574" spans="1:18" ht="24" hidden="1">
      <c r="A574" s="111">
        <v>4300</v>
      </c>
      <c r="B574" s="115" t="s">
        <v>676</v>
      </c>
      <c r="C574" s="79"/>
      <c r="D574" s="65">
        <f t="shared" si="68"/>
        <v>0</v>
      </c>
      <c r="E574" s="80">
        <f t="shared" si="69"/>
        <v>0</v>
      </c>
      <c r="F574" s="452" t="e">
        <f t="shared" si="70"/>
        <v>#DIV/0!</v>
      </c>
      <c r="G574" s="79"/>
      <c r="H574" s="80"/>
      <c r="I574" s="211" t="e">
        <f t="shared" si="71"/>
        <v>#DIV/0!</v>
      </c>
      <c r="J574" s="113"/>
      <c r="K574" s="80"/>
      <c r="L574" s="211"/>
      <c r="M574" s="80"/>
      <c r="N574" s="80"/>
      <c r="O574" s="356"/>
      <c r="P574" s="80"/>
      <c r="Q574" s="80"/>
      <c r="R574" s="211"/>
    </row>
    <row r="575" spans="1:18" ht="24">
      <c r="A575" s="111">
        <v>4300</v>
      </c>
      <c r="B575" s="115" t="s">
        <v>677</v>
      </c>
      <c r="C575" s="79">
        <v>300000</v>
      </c>
      <c r="D575" s="65">
        <f t="shared" si="68"/>
        <v>300000</v>
      </c>
      <c r="E575" s="80">
        <f t="shared" si="69"/>
        <v>136826</v>
      </c>
      <c r="F575" s="452">
        <f t="shared" si="70"/>
        <v>45.608666666666664</v>
      </c>
      <c r="G575" s="79">
        <v>300000</v>
      </c>
      <c r="H575" s="80">
        <v>136826</v>
      </c>
      <c r="I575" s="211">
        <f t="shared" si="71"/>
        <v>45.608666666666664</v>
      </c>
      <c r="J575" s="113"/>
      <c r="K575" s="80"/>
      <c r="L575" s="211"/>
      <c r="M575" s="80"/>
      <c r="N575" s="80"/>
      <c r="O575" s="356"/>
      <c r="P575" s="80"/>
      <c r="Q575" s="80"/>
      <c r="R575" s="211"/>
    </row>
    <row r="576" spans="1:18" ht="24" hidden="1">
      <c r="A576" s="111">
        <v>4430</v>
      </c>
      <c r="B576" s="115" t="s">
        <v>330</v>
      </c>
      <c r="C576" s="79"/>
      <c r="D576" s="65">
        <f t="shared" si="68"/>
        <v>0</v>
      </c>
      <c r="E576" s="80">
        <f t="shared" si="69"/>
        <v>0</v>
      </c>
      <c r="F576" s="452" t="e">
        <f t="shared" si="70"/>
        <v>#DIV/0!</v>
      </c>
      <c r="G576" s="79"/>
      <c r="H576" s="80"/>
      <c r="I576" s="211" t="e">
        <f t="shared" si="71"/>
        <v>#DIV/0!</v>
      </c>
      <c r="J576" s="113"/>
      <c r="K576" s="80"/>
      <c r="L576" s="211"/>
      <c r="M576" s="80"/>
      <c r="N576" s="80"/>
      <c r="O576" s="356"/>
      <c r="P576" s="80"/>
      <c r="Q576" s="80"/>
      <c r="R576" s="211"/>
    </row>
    <row r="577" spans="1:18" ht="16.5" customHeight="1">
      <c r="A577" s="111">
        <v>4430</v>
      </c>
      <c r="B577" s="115" t="s">
        <v>442</v>
      </c>
      <c r="C577" s="79"/>
      <c r="D577" s="65">
        <f t="shared" si="68"/>
        <v>1000</v>
      </c>
      <c r="E577" s="80">
        <f t="shared" si="69"/>
        <v>618</v>
      </c>
      <c r="F577" s="452">
        <f t="shared" si="70"/>
        <v>61.8</v>
      </c>
      <c r="G577" s="79">
        <v>1000</v>
      </c>
      <c r="H577" s="80">
        <v>618</v>
      </c>
      <c r="I577" s="211">
        <f t="shared" si="71"/>
        <v>61.8</v>
      </c>
      <c r="J577" s="113"/>
      <c r="K577" s="80"/>
      <c r="L577" s="211"/>
      <c r="M577" s="80"/>
      <c r="N577" s="80"/>
      <c r="O577" s="356"/>
      <c r="P577" s="80"/>
      <c r="Q577" s="80"/>
      <c r="R577" s="211"/>
    </row>
    <row r="578" spans="1:18" ht="15" customHeight="1">
      <c r="A578" s="111">
        <v>4430</v>
      </c>
      <c r="B578" s="115" t="s">
        <v>330</v>
      </c>
      <c r="C578" s="79">
        <v>5000</v>
      </c>
      <c r="D578" s="65">
        <f>G578+J578+P578+M578</f>
        <v>5000</v>
      </c>
      <c r="E578" s="80">
        <f>SUM(H578+K578+N578+Q578)</f>
        <v>2560</v>
      </c>
      <c r="F578" s="452">
        <f>E578/D578*100</f>
        <v>51.2</v>
      </c>
      <c r="G578" s="79">
        <v>5000</v>
      </c>
      <c r="H578" s="80">
        <v>2560</v>
      </c>
      <c r="I578" s="211">
        <f t="shared" si="71"/>
        <v>51.2</v>
      </c>
      <c r="J578" s="113"/>
      <c r="K578" s="80"/>
      <c r="L578" s="211"/>
      <c r="M578" s="80"/>
      <c r="N578" s="80"/>
      <c r="O578" s="356"/>
      <c r="P578" s="80"/>
      <c r="Q578" s="80"/>
      <c r="R578" s="211"/>
    </row>
    <row r="579" spans="1:18" ht="24">
      <c r="A579" s="111">
        <v>4510</v>
      </c>
      <c r="B579" s="115" t="s">
        <v>181</v>
      </c>
      <c r="C579" s="79">
        <v>3000</v>
      </c>
      <c r="D579" s="65">
        <f>G579+J579+P579+M579</f>
        <v>3000</v>
      </c>
      <c r="E579" s="80">
        <f>SUM(H579+K579+N579+Q579)</f>
        <v>0</v>
      </c>
      <c r="F579" s="452">
        <f>E579/D579*100</f>
        <v>0</v>
      </c>
      <c r="G579" s="79">
        <v>3000</v>
      </c>
      <c r="H579" s="80"/>
      <c r="I579" s="211">
        <f t="shared" si="71"/>
        <v>0</v>
      </c>
      <c r="J579" s="113"/>
      <c r="K579" s="80"/>
      <c r="L579" s="211"/>
      <c r="M579" s="80"/>
      <c r="N579" s="80"/>
      <c r="O579" s="356"/>
      <c r="P579" s="80"/>
      <c r="Q579" s="80"/>
      <c r="R579" s="211"/>
    </row>
    <row r="580" spans="1:18" ht="36">
      <c r="A580" s="111">
        <v>4610</v>
      </c>
      <c r="B580" s="115" t="s">
        <v>548</v>
      </c>
      <c r="C580" s="79">
        <f>SUM(C581:C582)</f>
        <v>67000</v>
      </c>
      <c r="D580" s="65">
        <f t="shared" si="68"/>
        <v>67000</v>
      </c>
      <c r="E580" s="80">
        <f t="shared" si="69"/>
        <v>23939</v>
      </c>
      <c r="F580" s="452">
        <f t="shared" si="70"/>
        <v>35.72985074626865</v>
      </c>
      <c r="G580" s="79">
        <f>SUM(G581:G583)</f>
        <v>67000</v>
      </c>
      <c r="H580" s="80">
        <f>SUM(H581:H583)</f>
        <v>23939</v>
      </c>
      <c r="I580" s="211">
        <f t="shared" si="71"/>
        <v>35.72985074626865</v>
      </c>
      <c r="J580" s="113"/>
      <c r="K580" s="80"/>
      <c r="L580" s="211"/>
      <c r="M580" s="80"/>
      <c r="N580" s="80"/>
      <c r="O580" s="356"/>
      <c r="P580" s="80"/>
      <c r="Q580" s="80"/>
      <c r="R580" s="211"/>
    </row>
    <row r="581" spans="1:18" s="11" customFormat="1" ht="12.75">
      <c r="A581" s="151"/>
      <c r="B581" s="220" t="s">
        <v>443</v>
      </c>
      <c r="C581" s="153">
        <v>7000</v>
      </c>
      <c r="D581" s="154">
        <f t="shared" si="68"/>
        <v>7000</v>
      </c>
      <c r="E581" s="154">
        <f t="shared" si="69"/>
        <v>1924</v>
      </c>
      <c r="F581" s="452">
        <f t="shared" si="70"/>
        <v>27.485714285714284</v>
      </c>
      <c r="G581" s="153">
        <v>7000</v>
      </c>
      <c r="H581" s="154">
        <v>1924</v>
      </c>
      <c r="I581" s="426">
        <f t="shared" si="71"/>
        <v>27.485714285714284</v>
      </c>
      <c r="J581" s="155"/>
      <c r="K581" s="154"/>
      <c r="L581" s="211"/>
      <c r="M581" s="154"/>
      <c r="N581" s="154"/>
      <c r="O581" s="379"/>
      <c r="P581" s="154"/>
      <c r="Q581" s="154"/>
      <c r="R581" s="211"/>
    </row>
    <row r="582" spans="1:18" s="11" customFormat="1" ht="13.5" thickBot="1">
      <c r="A582" s="151"/>
      <c r="B582" s="220" t="s">
        <v>577</v>
      </c>
      <c r="C582" s="153">
        <v>60000</v>
      </c>
      <c r="D582" s="154">
        <f>G582+J582+P582+M582</f>
        <v>60000</v>
      </c>
      <c r="E582" s="154">
        <f t="shared" si="69"/>
        <v>22015</v>
      </c>
      <c r="F582" s="452">
        <f t="shared" si="70"/>
        <v>36.69166666666667</v>
      </c>
      <c r="G582" s="153">
        <v>60000</v>
      </c>
      <c r="H582" s="154">
        <v>22015</v>
      </c>
      <c r="I582" s="211">
        <f t="shared" si="71"/>
        <v>36.69166666666667</v>
      </c>
      <c r="J582" s="155"/>
      <c r="K582" s="154"/>
      <c r="L582" s="211"/>
      <c r="M582" s="154"/>
      <c r="N582" s="154"/>
      <c r="O582" s="379"/>
      <c r="P582" s="154"/>
      <c r="Q582" s="154"/>
      <c r="R582" s="211"/>
    </row>
    <row r="583" spans="1:18" s="11" customFormat="1" ht="13.5" hidden="1" thickBot="1">
      <c r="A583" s="151"/>
      <c r="B583" s="220" t="s">
        <v>444</v>
      </c>
      <c r="C583" s="429"/>
      <c r="D583" s="154">
        <f t="shared" si="68"/>
        <v>0</v>
      </c>
      <c r="E583" s="154">
        <f t="shared" si="69"/>
        <v>0</v>
      </c>
      <c r="F583" s="452" t="e">
        <f t="shared" si="70"/>
        <v>#DIV/0!</v>
      </c>
      <c r="G583" s="429">
        <f>500-500</f>
        <v>0</v>
      </c>
      <c r="H583" s="430"/>
      <c r="I583" s="211" t="e">
        <f t="shared" si="71"/>
        <v>#DIV/0!</v>
      </c>
      <c r="J583" s="431"/>
      <c r="K583" s="430"/>
      <c r="L583" s="259"/>
      <c r="M583" s="430"/>
      <c r="N583" s="430"/>
      <c r="O583" s="404"/>
      <c r="P583" s="430"/>
      <c r="Q583" s="430"/>
      <c r="R583" s="259"/>
    </row>
    <row r="584" spans="1:18" s="105" customFormat="1" ht="27" customHeight="1" thickBot="1" thickTop="1">
      <c r="A584" s="101">
        <v>757</v>
      </c>
      <c r="B584" s="102" t="s">
        <v>678</v>
      </c>
      <c r="C584" s="103">
        <f>SUM(C585)</f>
        <v>3200000</v>
      </c>
      <c r="D584" s="51">
        <f>G584+J584+P584+M584</f>
        <v>3200000</v>
      </c>
      <c r="E584" s="98">
        <f>H584+K584+Q584+N584</f>
        <v>1420861</v>
      </c>
      <c r="F584" s="480">
        <f aca="true" t="shared" si="72" ref="F584:F593">E584/D584*100</f>
        <v>44.40190625</v>
      </c>
      <c r="G584" s="103">
        <f>SUM(G585)</f>
        <v>3200000</v>
      </c>
      <c r="H584" s="98">
        <f>SUM(H585)</f>
        <v>1420861</v>
      </c>
      <c r="I584" s="343">
        <f t="shared" si="64"/>
        <v>44.40190625</v>
      </c>
      <c r="J584" s="104"/>
      <c r="K584" s="98"/>
      <c r="L584" s="407"/>
      <c r="M584" s="98"/>
      <c r="N584" s="98"/>
      <c r="O584" s="378"/>
      <c r="P584" s="103"/>
      <c r="Q584" s="98"/>
      <c r="R584" s="361"/>
    </row>
    <row r="585" spans="1:18" ht="48.75" thickTop="1">
      <c r="A585" s="106">
        <v>75702</v>
      </c>
      <c r="B585" s="172" t="s">
        <v>220</v>
      </c>
      <c r="C585" s="108">
        <f>SUM(C586:C588)</f>
        <v>3200000</v>
      </c>
      <c r="D585" s="109">
        <f>G585+J585+P585+M585</f>
        <v>3200000</v>
      </c>
      <c r="E585" s="173">
        <f>H585+K585+Q585+N585</f>
        <v>1420861</v>
      </c>
      <c r="F585" s="453">
        <f t="shared" si="72"/>
        <v>44.40190625</v>
      </c>
      <c r="G585" s="108">
        <f>SUM(G586:G588)</f>
        <v>3200000</v>
      </c>
      <c r="H585" s="75">
        <f>SUM(H586:H588)</f>
        <v>1420861</v>
      </c>
      <c r="I585" s="259">
        <f t="shared" si="64"/>
        <v>44.40190625</v>
      </c>
      <c r="J585" s="110"/>
      <c r="K585" s="75"/>
      <c r="L585" s="406"/>
      <c r="M585" s="75"/>
      <c r="N585" s="75"/>
      <c r="O585" s="369"/>
      <c r="P585" s="108"/>
      <c r="Q585" s="75"/>
      <c r="R585" s="360"/>
    </row>
    <row r="586" spans="1:18" s="12" customFormat="1" ht="68.25" customHeight="1" thickBot="1">
      <c r="A586" s="99">
        <v>8070</v>
      </c>
      <c r="B586" s="334" t="s">
        <v>258</v>
      </c>
      <c r="C586" s="161">
        <v>3200000</v>
      </c>
      <c r="D586" s="94">
        <f aca="true" t="shared" si="73" ref="D586:D651">G586+J586+P586+M586</f>
        <v>3200000</v>
      </c>
      <c r="E586" s="95">
        <f>SUM(H586+K586+N586+Q586)</f>
        <v>1420861</v>
      </c>
      <c r="F586" s="454">
        <f t="shared" si="72"/>
        <v>44.40190625</v>
      </c>
      <c r="G586" s="93">
        <v>3200000</v>
      </c>
      <c r="H586" s="94">
        <v>1420861</v>
      </c>
      <c r="I586" s="211">
        <f t="shared" si="64"/>
        <v>44.40190625</v>
      </c>
      <c r="J586" s="162"/>
      <c r="K586" s="65"/>
      <c r="L586" s="379"/>
      <c r="M586" s="65"/>
      <c r="N586" s="65"/>
      <c r="O586" s="356"/>
      <c r="P586" s="161"/>
      <c r="Q586" s="65"/>
      <c r="R586" s="350"/>
    </row>
    <row r="587" spans="1:18" s="12" customFormat="1" ht="24.75" hidden="1" thickBot="1">
      <c r="A587" s="111">
        <v>4300</v>
      </c>
      <c r="B587" s="276" t="s">
        <v>489</v>
      </c>
      <c r="C587" s="161"/>
      <c r="D587" s="65">
        <f t="shared" si="73"/>
        <v>0</v>
      </c>
      <c r="E587" s="80">
        <f>SUM(H587+K587+N587+Q587)</f>
        <v>0</v>
      </c>
      <c r="F587" s="452" t="e">
        <f t="shared" si="72"/>
        <v>#DIV/0!</v>
      </c>
      <c r="G587" s="161"/>
      <c r="H587" s="65"/>
      <c r="I587" s="211" t="e">
        <f t="shared" si="64"/>
        <v>#DIV/0!</v>
      </c>
      <c r="J587" s="162"/>
      <c r="K587" s="65"/>
      <c r="L587" s="379"/>
      <c r="M587" s="65"/>
      <c r="N587" s="65"/>
      <c r="O587" s="356"/>
      <c r="P587" s="161"/>
      <c r="Q587" s="65"/>
      <c r="R587" s="350"/>
    </row>
    <row r="588" spans="1:18" s="105" customFormat="1" ht="72.75" hidden="1" thickBot="1">
      <c r="A588" s="335">
        <v>8079</v>
      </c>
      <c r="B588" s="276" t="s">
        <v>258</v>
      </c>
      <c r="C588" s="116"/>
      <c r="D588" s="117">
        <f t="shared" si="73"/>
        <v>0</v>
      </c>
      <c r="E588" s="208">
        <f>SUM(H588+K588+N588+Q588)</f>
        <v>0</v>
      </c>
      <c r="F588" s="505" t="e">
        <f t="shared" si="72"/>
        <v>#DIV/0!</v>
      </c>
      <c r="G588" s="116"/>
      <c r="H588" s="208"/>
      <c r="I588" s="211" t="e">
        <f t="shared" si="64"/>
        <v>#DIV/0!</v>
      </c>
      <c r="J588" s="149"/>
      <c r="K588" s="142"/>
      <c r="L588" s="404"/>
      <c r="M588" s="142"/>
      <c r="N588" s="142"/>
      <c r="O588" s="356"/>
      <c r="P588" s="147"/>
      <c r="Q588" s="142"/>
      <c r="R588" s="354"/>
    </row>
    <row r="589" spans="1:18" ht="19.5" customHeight="1" thickBot="1" thickTop="1">
      <c r="A589" s="101">
        <v>758</v>
      </c>
      <c r="B589" s="102" t="s">
        <v>679</v>
      </c>
      <c r="C589" s="103">
        <f>C592+C590</f>
        <v>9608446</v>
      </c>
      <c r="D589" s="51">
        <f t="shared" si="73"/>
        <v>8437164</v>
      </c>
      <c r="E589" s="98">
        <f>E592+E590</f>
        <v>2199224</v>
      </c>
      <c r="F589" s="480">
        <f t="shared" si="72"/>
        <v>26.065915039698172</v>
      </c>
      <c r="G589" s="209">
        <f>G592+G590</f>
        <v>4038718</v>
      </c>
      <c r="H589" s="98">
        <f>H592+H590</f>
        <v>0</v>
      </c>
      <c r="I589" s="343">
        <f t="shared" si="64"/>
        <v>0</v>
      </c>
      <c r="J589" s="104"/>
      <c r="K589" s="98"/>
      <c r="L589" s="407"/>
      <c r="M589" s="98">
        <f>M590</f>
        <v>4398446</v>
      </c>
      <c r="N589" s="98">
        <f>N590</f>
        <v>2199224</v>
      </c>
      <c r="O589" s="378">
        <f>N589/M589*100</f>
        <v>50.000022735302416</v>
      </c>
      <c r="P589" s="103"/>
      <c r="Q589" s="98"/>
      <c r="R589" s="361"/>
    </row>
    <row r="590" spans="1:18" ht="36.75" thickTop="1">
      <c r="A590" s="240">
        <v>75832</v>
      </c>
      <c r="B590" s="241" t="s">
        <v>680</v>
      </c>
      <c r="C590" s="242">
        <f>C591</f>
        <v>4398446</v>
      </c>
      <c r="D590" s="58">
        <f t="shared" si="73"/>
        <v>4398446</v>
      </c>
      <c r="E590" s="173">
        <f>E591</f>
        <v>2199224</v>
      </c>
      <c r="F590" s="501">
        <f t="shared" si="72"/>
        <v>50.000022735302416</v>
      </c>
      <c r="G590" s="242"/>
      <c r="H590" s="254"/>
      <c r="I590" s="344"/>
      <c r="J590" s="254"/>
      <c r="K590" s="173"/>
      <c r="L590" s="408"/>
      <c r="M590" s="173">
        <f>M591</f>
        <v>4398446</v>
      </c>
      <c r="N590" s="173">
        <f>N591</f>
        <v>2199224</v>
      </c>
      <c r="O590" s="449">
        <f>N590/M590*100</f>
        <v>50.000022735302416</v>
      </c>
      <c r="P590" s="242"/>
      <c r="Q590" s="173"/>
      <c r="R590" s="368"/>
    </row>
    <row r="591" spans="1:18" s="12" customFormat="1" ht="36">
      <c r="A591" s="598">
        <v>2930</v>
      </c>
      <c r="B591" s="599" t="s">
        <v>0</v>
      </c>
      <c r="C591" s="600">
        <v>4398446</v>
      </c>
      <c r="D591" s="134">
        <f t="shared" si="73"/>
        <v>4398446</v>
      </c>
      <c r="E591" s="136">
        <f aca="true" t="shared" si="74" ref="E591:E597">SUM(H591+K591+N591+Q591)</f>
        <v>2199224</v>
      </c>
      <c r="F591" s="451">
        <f t="shared" si="72"/>
        <v>50.000022735302416</v>
      </c>
      <c r="G591" s="600"/>
      <c r="H591" s="134"/>
      <c r="I591" s="301"/>
      <c r="J591" s="601"/>
      <c r="K591" s="134"/>
      <c r="L591" s="395"/>
      <c r="M591" s="134">
        <v>4398446</v>
      </c>
      <c r="N591" s="134">
        <f>366539+366537+366537+366537+366537+366537</f>
        <v>2199224</v>
      </c>
      <c r="O591" s="473">
        <f>N591/M591*100</f>
        <v>50.000022735302416</v>
      </c>
      <c r="P591" s="600"/>
      <c r="Q591" s="134"/>
      <c r="R591" s="360"/>
    </row>
    <row r="592" spans="1:18" ht="24">
      <c r="A592" s="106">
        <v>75818</v>
      </c>
      <c r="B592" s="172" t="s">
        <v>1</v>
      </c>
      <c r="C592" s="108">
        <f>SUM(C593:C597)</f>
        <v>5210000</v>
      </c>
      <c r="D592" s="109">
        <f t="shared" si="73"/>
        <v>4038718</v>
      </c>
      <c r="E592" s="495">
        <f t="shared" si="74"/>
        <v>0</v>
      </c>
      <c r="F592" s="453">
        <f t="shared" si="72"/>
        <v>0</v>
      </c>
      <c r="G592" s="108">
        <f>SUM(G593:G597)</f>
        <v>4038718</v>
      </c>
      <c r="H592" s="110">
        <f>SUM(H593:H597)</f>
        <v>0</v>
      </c>
      <c r="I592" s="259">
        <f t="shared" si="64"/>
        <v>0</v>
      </c>
      <c r="J592" s="110"/>
      <c r="K592" s="75"/>
      <c r="L592" s="406"/>
      <c r="M592" s="75"/>
      <c r="N592" s="75"/>
      <c r="O592" s="369"/>
      <c r="P592" s="108"/>
      <c r="Q592" s="75"/>
      <c r="R592" s="360"/>
    </row>
    <row r="593" spans="1:18" s="12" customFormat="1" ht="39" customHeight="1">
      <c r="A593" s="181">
        <v>4810</v>
      </c>
      <c r="B593" s="182" t="s">
        <v>424</v>
      </c>
      <c r="C593" s="93">
        <v>2850000</v>
      </c>
      <c r="D593" s="94">
        <f t="shared" si="73"/>
        <v>1892622</v>
      </c>
      <c r="E593" s="94">
        <f t="shared" si="74"/>
        <v>0</v>
      </c>
      <c r="F593" s="454">
        <f t="shared" si="72"/>
        <v>0</v>
      </c>
      <c r="G593" s="93">
        <f>2850000-768038-179340-10000</f>
        <v>1892622</v>
      </c>
      <c r="H593" s="94"/>
      <c r="I593" s="289">
        <f t="shared" si="64"/>
        <v>0</v>
      </c>
      <c r="J593" s="183"/>
      <c r="K593" s="94"/>
      <c r="L593" s="403"/>
      <c r="M593" s="94"/>
      <c r="N593" s="94"/>
      <c r="O593" s="376"/>
      <c r="P593" s="93"/>
      <c r="Q593" s="94"/>
      <c r="R593" s="353"/>
    </row>
    <row r="594" spans="1:18" s="12" customFormat="1" ht="24">
      <c r="A594" s="159">
        <v>4810</v>
      </c>
      <c r="B594" s="326" t="s">
        <v>182</v>
      </c>
      <c r="C594" s="161">
        <v>210000</v>
      </c>
      <c r="D594" s="65">
        <f t="shared" si="73"/>
        <v>0</v>
      </c>
      <c r="E594" s="80">
        <f>SUM(H594+K594+N594+Q594)</f>
        <v>0</v>
      </c>
      <c r="F594" s="452"/>
      <c r="G594" s="161">
        <f>210000-210000</f>
        <v>0</v>
      </c>
      <c r="H594" s="65"/>
      <c r="I594" s="211"/>
      <c r="J594" s="162"/>
      <c r="K594" s="65"/>
      <c r="L594" s="379"/>
      <c r="M594" s="65"/>
      <c r="N594" s="65"/>
      <c r="O594" s="356"/>
      <c r="P594" s="161"/>
      <c r="Q594" s="65"/>
      <c r="R594" s="350"/>
    </row>
    <row r="595" spans="1:18" s="12" customFormat="1" ht="48">
      <c r="A595" s="159">
        <v>4810</v>
      </c>
      <c r="B595" s="326" t="s">
        <v>183</v>
      </c>
      <c r="C595" s="161">
        <v>500000</v>
      </c>
      <c r="D595" s="65">
        <f>G595+J595+P595+M595</f>
        <v>500000</v>
      </c>
      <c r="E595" s="80">
        <f>SUM(H595+K595+N595+Q595)</f>
        <v>0</v>
      </c>
      <c r="F595" s="452">
        <f aca="true" t="shared" si="75" ref="F595:F605">E595/D595*100</f>
        <v>0</v>
      </c>
      <c r="G595" s="161">
        <v>500000</v>
      </c>
      <c r="H595" s="65"/>
      <c r="I595" s="211">
        <f t="shared" si="64"/>
        <v>0</v>
      </c>
      <c r="J595" s="162"/>
      <c r="K595" s="65"/>
      <c r="L595" s="379"/>
      <c r="M595" s="65"/>
      <c r="N595" s="65"/>
      <c r="O595" s="356"/>
      <c r="P595" s="161"/>
      <c r="Q595" s="65"/>
      <c r="R595" s="350"/>
    </row>
    <row r="596" spans="1:18" s="12" customFormat="1" ht="36">
      <c r="A596" s="159">
        <v>6800</v>
      </c>
      <c r="B596" s="193" t="s">
        <v>426</v>
      </c>
      <c r="C596" s="161">
        <v>150000</v>
      </c>
      <c r="D596" s="65">
        <f t="shared" si="73"/>
        <v>146096</v>
      </c>
      <c r="E596" s="80">
        <f t="shared" si="74"/>
        <v>0</v>
      </c>
      <c r="F596" s="452">
        <f t="shared" si="75"/>
        <v>0</v>
      </c>
      <c r="G596" s="161">
        <f>150000-3904</f>
        <v>146096</v>
      </c>
      <c r="H596" s="65"/>
      <c r="I596" s="211">
        <f t="shared" si="64"/>
        <v>0</v>
      </c>
      <c r="J596" s="162"/>
      <c r="K596" s="65"/>
      <c r="L596" s="379"/>
      <c r="M596" s="65"/>
      <c r="N596" s="65"/>
      <c r="O596" s="356"/>
      <c r="P596" s="161"/>
      <c r="Q596" s="65"/>
      <c r="R596" s="350"/>
    </row>
    <row r="597" spans="1:18" ht="24.75" thickBot="1">
      <c r="A597" s="111">
        <v>4810</v>
      </c>
      <c r="B597" s="115" t="s">
        <v>2</v>
      </c>
      <c r="C597" s="79">
        <v>1500000</v>
      </c>
      <c r="D597" s="65">
        <f t="shared" si="73"/>
        <v>1500000</v>
      </c>
      <c r="E597" s="80">
        <f t="shared" si="74"/>
        <v>0</v>
      </c>
      <c r="F597" s="452">
        <f t="shared" si="75"/>
        <v>0</v>
      </c>
      <c r="G597" s="79">
        <v>1500000</v>
      </c>
      <c r="H597" s="80"/>
      <c r="I597" s="211">
        <f t="shared" si="64"/>
        <v>0</v>
      </c>
      <c r="J597" s="113"/>
      <c r="K597" s="80"/>
      <c r="L597" s="379"/>
      <c r="M597" s="80"/>
      <c r="N597" s="80"/>
      <c r="O597" s="356"/>
      <c r="P597" s="79"/>
      <c r="Q597" s="80"/>
      <c r="R597" s="350"/>
    </row>
    <row r="598" spans="1:18" s="105" customFormat="1" ht="27" customHeight="1" thickBot="1" thickTop="1">
      <c r="A598" s="101">
        <v>801</v>
      </c>
      <c r="B598" s="102" t="s">
        <v>3</v>
      </c>
      <c r="C598" s="103">
        <f>C599+C629+C666+C687+C715+C758+C787+C809+C842+C864+C890+C893+C910+C670+C654+C737</f>
        <v>133843220</v>
      </c>
      <c r="D598" s="51">
        <f t="shared" si="73"/>
        <v>136794906</v>
      </c>
      <c r="E598" s="51">
        <f>H598+K598+Q598+N598</f>
        <v>71285772</v>
      </c>
      <c r="F598" s="480">
        <f t="shared" si="75"/>
        <v>52.11142292096754</v>
      </c>
      <c r="G598" s="103">
        <f>G599+G629+G666+G687+G715+G758+G787+G809+G842+G864+G890+G893+G910+G670+G654+G737</f>
        <v>80663749</v>
      </c>
      <c r="H598" s="98">
        <f>H599+H629+H666+H687+H715+H758+H787+H809+H842+H864+H890+H893+H910+H670+H654+H737</f>
        <v>42841109</v>
      </c>
      <c r="I598" s="447">
        <f t="shared" si="64"/>
        <v>53.110733794433486</v>
      </c>
      <c r="J598" s="98"/>
      <c r="K598" s="98"/>
      <c r="L598" s="447"/>
      <c r="M598" s="98">
        <f>M599+M629+M666+M687+M715+M758+M787+M809+M842+M864+M890+M893+M910+M670</f>
        <v>56131157</v>
      </c>
      <c r="N598" s="98">
        <f>N599+N629+N666+N687+N715+N758+N787+N809+N842+N864+N890+N893+N910+N670</f>
        <v>28444663</v>
      </c>
      <c r="O598" s="343">
        <f>N598/M598*100</f>
        <v>50.675354865747735</v>
      </c>
      <c r="P598" s="103"/>
      <c r="Q598" s="98"/>
      <c r="R598" s="361"/>
    </row>
    <row r="599" spans="1:18" ht="18.75" customHeight="1" thickTop="1">
      <c r="A599" s="106">
        <v>80101</v>
      </c>
      <c r="B599" s="172" t="s">
        <v>4</v>
      </c>
      <c r="C599" s="108">
        <f>SUM(C600:C628)</f>
        <v>35208600</v>
      </c>
      <c r="D599" s="109">
        <f t="shared" si="73"/>
        <v>36067608</v>
      </c>
      <c r="E599" s="173">
        <f>H599+K599+Q599+N599</f>
        <v>19501304</v>
      </c>
      <c r="F599" s="453">
        <f t="shared" si="75"/>
        <v>54.068747780557004</v>
      </c>
      <c r="G599" s="108">
        <f>SUM(G600:G628)</f>
        <v>36067608</v>
      </c>
      <c r="H599" s="75">
        <f>SUM(H600:H628)</f>
        <v>19501304</v>
      </c>
      <c r="I599" s="446">
        <f t="shared" si="64"/>
        <v>54.068747780557004</v>
      </c>
      <c r="J599" s="75"/>
      <c r="K599" s="75"/>
      <c r="L599" s="259"/>
      <c r="M599" s="75"/>
      <c r="N599" s="75"/>
      <c r="O599" s="369"/>
      <c r="P599" s="108"/>
      <c r="Q599" s="75"/>
      <c r="R599" s="360"/>
    </row>
    <row r="600" spans="1:18" ht="39.75" customHeight="1">
      <c r="A600" s="111">
        <v>2540</v>
      </c>
      <c r="B600" s="115" t="s">
        <v>5</v>
      </c>
      <c r="C600" s="79">
        <v>850000</v>
      </c>
      <c r="D600" s="65">
        <f t="shared" si="73"/>
        <v>850000</v>
      </c>
      <c r="E600" s="80">
        <f>SUM(H600+K600+N600+Q600)</f>
        <v>414596</v>
      </c>
      <c r="F600" s="452">
        <f t="shared" si="75"/>
        <v>48.776</v>
      </c>
      <c r="G600" s="79">
        <v>850000</v>
      </c>
      <c r="H600" s="80">
        <v>414596</v>
      </c>
      <c r="I600" s="426">
        <f t="shared" si="64"/>
        <v>48.776</v>
      </c>
      <c r="J600" s="113"/>
      <c r="K600" s="80"/>
      <c r="L600" s="379"/>
      <c r="M600" s="80"/>
      <c r="N600" s="80"/>
      <c r="O600" s="356"/>
      <c r="P600" s="79"/>
      <c r="Q600" s="80"/>
      <c r="R600" s="350"/>
    </row>
    <row r="601" spans="1:18" ht="36">
      <c r="A601" s="111">
        <v>3020</v>
      </c>
      <c r="B601" s="115" t="s">
        <v>259</v>
      </c>
      <c r="C601" s="79">
        <v>102400</v>
      </c>
      <c r="D601" s="65">
        <f t="shared" si="73"/>
        <v>102400</v>
      </c>
      <c r="E601" s="80">
        <f aca="true" t="shared" si="76" ref="E601:E614">SUM(H601+K601+N601+Q601)</f>
        <v>23114</v>
      </c>
      <c r="F601" s="452">
        <f t="shared" si="75"/>
        <v>22.572265625</v>
      </c>
      <c r="G601" s="79">
        <v>102400</v>
      </c>
      <c r="H601" s="80">
        <v>23114</v>
      </c>
      <c r="I601" s="426">
        <f t="shared" si="64"/>
        <v>22.572265625</v>
      </c>
      <c r="J601" s="113"/>
      <c r="K601" s="80"/>
      <c r="L601" s="379"/>
      <c r="M601" s="80"/>
      <c r="N601" s="80"/>
      <c r="O601" s="356"/>
      <c r="P601" s="79"/>
      <c r="Q601" s="80"/>
      <c r="R601" s="350"/>
    </row>
    <row r="602" spans="1:18" ht="24.75" customHeight="1">
      <c r="A602" s="111">
        <v>4010</v>
      </c>
      <c r="B602" s="115" t="s">
        <v>471</v>
      </c>
      <c r="C602" s="79">
        <v>20334000</v>
      </c>
      <c r="D602" s="65">
        <f t="shared" si="73"/>
        <v>20297700</v>
      </c>
      <c r="E602" s="80">
        <f t="shared" si="76"/>
        <v>10011397</v>
      </c>
      <c r="F602" s="452">
        <f t="shared" si="75"/>
        <v>49.32281490021037</v>
      </c>
      <c r="G602" s="79">
        <f>20334000-52000+15700</f>
        <v>20297700</v>
      </c>
      <c r="H602" s="80">
        <v>10011397</v>
      </c>
      <c r="I602" s="426">
        <f t="shared" si="64"/>
        <v>49.32281490021037</v>
      </c>
      <c r="J602" s="113"/>
      <c r="K602" s="80"/>
      <c r="L602" s="379"/>
      <c r="M602" s="80"/>
      <c r="N602" s="80"/>
      <c r="O602" s="356"/>
      <c r="P602" s="79"/>
      <c r="Q602" s="80"/>
      <c r="R602" s="350"/>
    </row>
    <row r="603" spans="1:18" ht="24.75" customHeight="1">
      <c r="A603" s="111">
        <v>4040</v>
      </c>
      <c r="B603" s="115" t="s">
        <v>516</v>
      </c>
      <c r="C603" s="79">
        <v>1590300</v>
      </c>
      <c r="D603" s="65">
        <f t="shared" si="73"/>
        <v>1510624</v>
      </c>
      <c r="E603" s="80">
        <f t="shared" si="76"/>
        <v>1510585</v>
      </c>
      <c r="F603" s="452">
        <f t="shared" si="75"/>
        <v>99.99741828542376</v>
      </c>
      <c r="G603" s="79">
        <f>1590300-70670-9006</f>
        <v>1510624</v>
      </c>
      <c r="H603" s="80">
        <f>1510585</f>
        <v>1510585</v>
      </c>
      <c r="I603" s="426">
        <f t="shared" si="64"/>
        <v>99.99741828542376</v>
      </c>
      <c r="J603" s="113"/>
      <c r="K603" s="80"/>
      <c r="L603" s="379"/>
      <c r="M603" s="80"/>
      <c r="N603" s="80"/>
      <c r="O603" s="356"/>
      <c r="P603" s="79"/>
      <c r="Q603" s="80"/>
      <c r="R603" s="350"/>
    </row>
    <row r="604" spans="1:18" ht="23.25" customHeight="1">
      <c r="A604" s="111">
        <v>4110</v>
      </c>
      <c r="B604" s="115" t="s">
        <v>477</v>
      </c>
      <c r="C604" s="79">
        <v>3501200</v>
      </c>
      <c r="D604" s="65">
        <f t="shared" si="73"/>
        <v>3495800</v>
      </c>
      <c r="E604" s="80">
        <f>SUM(H604+K604+N604+Q604)</f>
        <v>1701295</v>
      </c>
      <c r="F604" s="452">
        <f t="shared" si="75"/>
        <v>48.666828765947706</v>
      </c>
      <c r="G604" s="79">
        <f>3501200-7800+2400</f>
        <v>3495800</v>
      </c>
      <c r="H604" s="80">
        <v>1701295</v>
      </c>
      <c r="I604" s="426">
        <f t="shared" si="64"/>
        <v>48.666828765947706</v>
      </c>
      <c r="J604" s="113"/>
      <c r="K604" s="80"/>
      <c r="L604" s="379"/>
      <c r="M604" s="80"/>
      <c r="N604" s="80"/>
      <c r="O604" s="356"/>
      <c r="P604" s="79"/>
      <c r="Q604" s="80"/>
      <c r="R604" s="350"/>
    </row>
    <row r="605" spans="1:18" ht="15" customHeight="1">
      <c r="A605" s="111">
        <v>4120</v>
      </c>
      <c r="B605" s="115" t="s">
        <v>547</v>
      </c>
      <c r="C605" s="79">
        <v>543400</v>
      </c>
      <c r="D605" s="65">
        <f t="shared" si="73"/>
        <v>542500</v>
      </c>
      <c r="E605" s="80">
        <f>SUM(H605+K605+N605+Q605)</f>
        <v>268967</v>
      </c>
      <c r="F605" s="452">
        <f t="shared" si="75"/>
        <v>49.57917050691244</v>
      </c>
      <c r="G605" s="79">
        <f>543400-1300+400</f>
        <v>542500</v>
      </c>
      <c r="H605" s="80">
        <v>268967</v>
      </c>
      <c r="I605" s="426">
        <f t="shared" si="64"/>
        <v>49.57917050691244</v>
      </c>
      <c r="J605" s="113"/>
      <c r="K605" s="80"/>
      <c r="L605" s="379"/>
      <c r="M605" s="80"/>
      <c r="N605" s="80"/>
      <c r="O605" s="356"/>
      <c r="P605" s="79"/>
      <c r="Q605" s="80"/>
      <c r="R605" s="350"/>
    </row>
    <row r="606" spans="1:18" ht="15" customHeight="1">
      <c r="A606" s="111">
        <v>4140</v>
      </c>
      <c r="B606" s="115" t="s">
        <v>519</v>
      </c>
      <c r="C606" s="79">
        <v>113300</v>
      </c>
      <c r="D606" s="65">
        <f t="shared" si="73"/>
        <v>90700</v>
      </c>
      <c r="E606" s="80">
        <f>SUM(H606+K606+N606+Q606)</f>
        <v>42027</v>
      </c>
      <c r="F606" s="452">
        <f aca="true" t="shared" si="77" ref="F606:F667">E606/D606*100</f>
        <v>46.336273428886436</v>
      </c>
      <c r="G606" s="79">
        <f>113300-10500-12100</f>
        <v>90700</v>
      </c>
      <c r="H606" s="80">
        <v>42027</v>
      </c>
      <c r="I606" s="426">
        <f aca="true" t="shared" si="78" ref="I606:I628">H606/G606*100</f>
        <v>46.336273428886436</v>
      </c>
      <c r="J606" s="113"/>
      <c r="K606" s="80"/>
      <c r="L606" s="379"/>
      <c r="M606" s="80"/>
      <c r="N606" s="80"/>
      <c r="O606" s="356"/>
      <c r="P606" s="79"/>
      <c r="Q606" s="80"/>
      <c r="R606" s="350"/>
    </row>
    <row r="607" spans="1:18" ht="24">
      <c r="A607" s="111">
        <v>4170</v>
      </c>
      <c r="B607" s="115" t="s">
        <v>511</v>
      </c>
      <c r="C607" s="79"/>
      <c r="D607" s="65">
        <f t="shared" si="73"/>
        <v>125100</v>
      </c>
      <c r="E607" s="80">
        <f>SUM(H607+K607+N607+Q607)</f>
        <v>4151</v>
      </c>
      <c r="F607" s="452">
        <f t="shared" si="77"/>
        <v>3.3181454836131095</v>
      </c>
      <c r="G607" s="79">
        <v>125100</v>
      </c>
      <c r="H607" s="80">
        <v>4151</v>
      </c>
      <c r="I607" s="426">
        <f t="shared" si="78"/>
        <v>3.3181454836131095</v>
      </c>
      <c r="J607" s="113"/>
      <c r="K607" s="80"/>
      <c r="L607" s="379"/>
      <c r="M607" s="80"/>
      <c r="N607" s="80"/>
      <c r="O607" s="356"/>
      <c r="P607" s="79"/>
      <c r="Q607" s="80"/>
      <c r="R607" s="350"/>
    </row>
    <row r="608" spans="1:18" ht="24" customHeight="1">
      <c r="A608" s="111">
        <v>4210</v>
      </c>
      <c r="B608" s="115" t="s">
        <v>481</v>
      </c>
      <c r="C608" s="79">
        <v>614600</v>
      </c>
      <c r="D608" s="65">
        <f t="shared" si="73"/>
        <v>648500</v>
      </c>
      <c r="E608" s="80">
        <f t="shared" si="76"/>
        <v>372216</v>
      </c>
      <c r="F608" s="452">
        <f t="shared" si="77"/>
        <v>57.396453353893605</v>
      </c>
      <c r="G608" s="79">
        <f>614600+13000+10000+8500+2400</f>
        <v>648500</v>
      </c>
      <c r="H608" s="80">
        <v>372216</v>
      </c>
      <c r="I608" s="426">
        <f t="shared" si="78"/>
        <v>57.396453353893605</v>
      </c>
      <c r="J608" s="113"/>
      <c r="K608" s="80"/>
      <c r="L608" s="211"/>
      <c r="M608" s="80"/>
      <c r="N608" s="80"/>
      <c r="O608" s="356"/>
      <c r="P608" s="79"/>
      <c r="Q608" s="80"/>
      <c r="R608" s="350"/>
    </row>
    <row r="609" spans="1:18" ht="23.25" customHeight="1">
      <c r="A609" s="145">
        <v>4240</v>
      </c>
      <c r="B609" s="146" t="s">
        <v>6</v>
      </c>
      <c r="C609" s="147">
        <v>65600</v>
      </c>
      <c r="D609" s="148">
        <f t="shared" si="73"/>
        <v>72400</v>
      </c>
      <c r="E609" s="142">
        <f>SUM(H609+K609+N609+Q609)</f>
        <v>35740</v>
      </c>
      <c r="F609" s="453">
        <f t="shared" si="77"/>
        <v>49.3646408839779</v>
      </c>
      <c r="G609" s="147">
        <f>65600+5000+1800</f>
        <v>72400</v>
      </c>
      <c r="H609" s="142">
        <v>35740</v>
      </c>
      <c r="I609" s="446">
        <f t="shared" si="78"/>
        <v>49.3646408839779</v>
      </c>
      <c r="J609" s="149"/>
      <c r="K609" s="142"/>
      <c r="L609" s="404"/>
      <c r="M609" s="142"/>
      <c r="N609" s="142"/>
      <c r="O609" s="375"/>
      <c r="P609" s="147"/>
      <c r="Q609" s="142"/>
      <c r="R609" s="354"/>
    </row>
    <row r="610" spans="1:18" ht="15" customHeight="1">
      <c r="A610" s="111">
        <v>4260</v>
      </c>
      <c r="B610" s="192" t="s">
        <v>485</v>
      </c>
      <c r="C610" s="79">
        <v>1783800</v>
      </c>
      <c r="D610" s="65">
        <f t="shared" si="73"/>
        <v>1823060</v>
      </c>
      <c r="E610" s="80">
        <f t="shared" si="76"/>
        <v>1241733</v>
      </c>
      <c r="F610" s="452">
        <f t="shared" si="77"/>
        <v>68.11256897743354</v>
      </c>
      <c r="G610" s="79">
        <f>1783800+8460+30800</f>
        <v>1823060</v>
      </c>
      <c r="H610" s="80">
        <v>1241733</v>
      </c>
      <c r="I610" s="426">
        <f t="shared" si="78"/>
        <v>68.11256897743354</v>
      </c>
      <c r="J610" s="113"/>
      <c r="K610" s="80"/>
      <c r="L610" s="379"/>
      <c r="M610" s="80"/>
      <c r="N610" s="80"/>
      <c r="O610" s="356"/>
      <c r="P610" s="79"/>
      <c r="Q610" s="80"/>
      <c r="R610" s="350"/>
    </row>
    <row r="611" spans="1:18" ht="15" customHeight="1">
      <c r="A611" s="111">
        <v>4270</v>
      </c>
      <c r="B611" s="115" t="s">
        <v>487</v>
      </c>
      <c r="C611" s="79">
        <v>76600</v>
      </c>
      <c r="D611" s="65">
        <f t="shared" si="73"/>
        <v>93400</v>
      </c>
      <c r="E611" s="80">
        <f t="shared" si="76"/>
        <v>35691</v>
      </c>
      <c r="F611" s="452">
        <f t="shared" si="77"/>
        <v>38.21306209850107</v>
      </c>
      <c r="G611" s="79">
        <f>76600+16800</f>
        <v>93400</v>
      </c>
      <c r="H611" s="80">
        <v>35691</v>
      </c>
      <c r="I611" s="426">
        <f t="shared" si="78"/>
        <v>38.21306209850107</v>
      </c>
      <c r="J611" s="113"/>
      <c r="K611" s="80"/>
      <c r="L611" s="379"/>
      <c r="M611" s="80"/>
      <c r="N611" s="80"/>
      <c r="O611" s="356"/>
      <c r="P611" s="79"/>
      <c r="Q611" s="80"/>
      <c r="R611" s="350"/>
    </row>
    <row r="612" spans="1:18" ht="15" customHeight="1">
      <c r="A612" s="111">
        <v>4280</v>
      </c>
      <c r="B612" s="115" t="s">
        <v>520</v>
      </c>
      <c r="C612" s="79">
        <v>26700</v>
      </c>
      <c r="D612" s="65">
        <f t="shared" si="73"/>
        <v>26700</v>
      </c>
      <c r="E612" s="80">
        <f t="shared" si="76"/>
        <v>9665</v>
      </c>
      <c r="F612" s="452">
        <f t="shared" si="77"/>
        <v>36.19850187265918</v>
      </c>
      <c r="G612" s="79">
        <v>26700</v>
      </c>
      <c r="H612" s="80">
        <v>9665</v>
      </c>
      <c r="I612" s="426">
        <f t="shared" si="78"/>
        <v>36.19850187265918</v>
      </c>
      <c r="J612" s="113"/>
      <c r="K612" s="80"/>
      <c r="L612" s="379"/>
      <c r="M612" s="80"/>
      <c r="N612" s="80"/>
      <c r="O612" s="356"/>
      <c r="P612" s="79"/>
      <c r="Q612" s="80"/>
      <c r="R612" s="350"/>
    </row>
    <row r="613" spans="1:18" ht="14.25" customHeight="1">
      <c r="A613" s="111">
        <v>4300</v>
      </c>
      <c r="B613" s="115" t="s">
        <v>489</v>
      </c>
      <c r="C613" s="79">
        <v>402000</v>
      </c>
      <c r="D613" s="65">
        <f t="shared" si="73"/>
        <v>445080</v>
      </c>
      <c r="E613" s="80">
        <f t="shared" si="76"/>
        <v>244627</v>
      </c>
      <c r="F613" s="452">
        <f t="shared" si="77"/>
        <v>54.96247865552261</v>
      </c>
      <c r="G613" s="79">
        <f>402000+1100+2500+32400+4000+3080</f>
        <v>445080</v>
      </c>
      <c r="H613" s="80">
        <v>244627</v>
      </c>
      <c r="I613" s="426">
        <f t="shared" si="78"/>
        <v>54.96247865552261</v>
      </c>
      <c r="J613" s="113"/>
      <c r="K613" s="80"/>
      <c r="L613" s="379"/>
      <c r="M613" s="80"/>
      <c r="N613" s="80"/>
      <c r="O613" s="356"/>
      <c r="P613" s="79"/>
      <c r="Q613" s="80"/>
      <c r="R613" s="350"/>
    </row>
    <row r="614" spans="1:18" ht="24">
      <c r="A614" s="111">
        <v>4350</v>
      </c>
      <c r="B614" s="115" t="s">
        <v>7</v>
      </c>
      <c r="C614" s="79">
        <v>30300</v>
      </c>
      <c r="D614" s="65">
        <f t="shared" si="73"/>
        <v>30605</v>
      </c>
      <c r="E614" s="80">
        <f t="shared" si="76"/>
        <v>11230</v>
      </c>
      <c r="F614" s="452">
        <f t="shared" si="77"/>
        <v>36.693350759679795</v>
      </c>
      <c r="G614" s="79">
        <f>30300+305</f>
        <v>30605</v>
      </c>
      <c r="H614" s="80">
        <v>11230</v>
      </c>
      <c r="I614" s="426">
        <f t="shared" si="78"/>
        <v>36.693350759679795</v>
      </c>
      <c r="J614" s="113"/>
      <c r="K614" s="80"/>
      <c r="L614" s="379"/>
      <c r="M614" s="80"/>
      <c r="N614" s="80"/>
      <c r="O614" s="356"/>
      <c r="P614" s="79"/>
      <c r="Q614" s="80"/>
      <c r="R614" s="350"/>
    </row>
    <row r="615" spans="1:18" ht="39" customHeight="1">
      <c r="A615" s="159">
        <v>4360</v>
      </c>
      <c r="B615" s="326" t="s">
        <v>295</v>
      </c>
      <c r="C615" s="79">
        <v>1900</v>
      </c>
      <c r="D615" s="65">
        <f t="shared" si="73"/>
        <v>1900</v>
      </c>
      <c r="E615" s="80">
        <f>SUM(H615+K615+N615+Q615)</f>
        <v>571</v>
      </c>
      <c r="F615" s="452">
        <f t="shared" si="77"/>
        <v>30.05263157894737</v>
      </c>
      <c r="G615" s="79">
        <v>1900</v>
      </c>
      <c r="H615" s="80">
        <f>570+1</f>
        <v>571</v>
      </c>
      <c r="I615" s="426">
        <f t="shared" si="78"/>
        <v>30.05263157894737</v>
      </c>
      <c r="J615" s="113"/>
      <c r="K615" s="80"/>
      <c r="L615" s="379"/>
      <c r="M615" s="80"/>
      <c r="N615" s="80"/>
      <c r="O615" s="356"/>
      <c r="P615" s="79"/>
      <c r="Q615" s="80"/>
      <c r="R615" s="350"/>
    </row>
    <row r="616" spans="1:18" ht="37.5" customHeight="1">
      <c r="A616" s="159">
        <v>4370</v>
      </c>
      <c r="B616" s="326" t="s">
        <v>296</v>
      </c>
      <c r="C616" s="79">
        <v>68900</v>
      </c>
      <c r="D616" s="65">
        <f t="shared" si="73"/>
        <v>67700</v>
      </c>
      <c r="E616" s="80">
        <f>SUM(H616+K616+N616+Q616)</f>
        <v>30488</v>
      </c>
      <c r="F616" s="452">
        <f t="shared" si="77"/>
        <v>45.03397341211226</v>
      </c>
      <c r="G616" s="79">
        <f>68900-1200</f>
        <v>67700</v>
      </c>
      <c r="H616" s="80">
        <v>30488</v>
      </c>
      <c r="I616" s="426">
        <f t="shared" si="78"/>
        <v>45.03397341211226</v>
      </c>
      <c r="J616" s="113"/>
      <c r="K616" s="80"/>
      <c r="L616" s="379"/>
      <c r="M616" s="80"/>
      <c r="N616" s="80"/>
      <c r="O616" s="356"/>
      <c r="P616" s="79"/>
      <c r="Q616" s="80"/>
      <c r="R616" s="350"/>
    </row>
    <row r="617" spans="1:18" ht="36" hidden="1">
      <c r="A617" s="111">
        <v>4380</v>
      </c>
      <c r="B617" s="115" t="s">
        <v>297</v>
      </c>
      <c r="C617" s="79"/>
      <c r="D617" s="65">
        <f t="shared" si="73"/>
        <v>0</v>
      </c>
      <c r="E617" s="80">
        <f>SUM(H617+K617+N617+Q617)</f>
        <v>0</v>
      </c>
      <c r="F617" s="452" t="e">
        <f t="shared" si="77"/>
        <v>#DIV/0!</v>
      </c>
      <c r="G617" s="79"/>
      <c r="H617" s="80"/>
      <c r="I617" s="426"/>
      <c r="J617" s="113"/>
      <c r="K617" s="80"/>
      <c r="L617" s="379"/>
      <c r="M617" s="80"/>
      <c r="N617" s="80"/>
      <c r="O617" s="356"/>
      <c r="P617" s="79"/>
      <c r="Q617" s="80"/>
      <c r="R617" s="350"/>
    </row>
    <row r="618" spans="1:18" ht="36">
      <c r="A618" s="111">
        <v>4390</v>
      </c>
      <c r="B618" s="193" t="s">
        <v>271</v>
      </c>
      <c r="C618" s="79">
        <v>66800</v>
      </c>
      <c r="D618" s="65">
        <f t="shared" si="73"/>
        <v>63720</v>
      </c>
      <c r="E618" s="80">
        <f>SUM(H618+K618+N618+Q618)</f>
        <v>17013</v>
      </c>
      <c r="F618" s="452">
        <f t="shared" si="77"/>
        <v>26.699623352165723</v>
      </c>
      <c r="G618" s="79">
        <f>66800-3080</f>
        <v>63720</v>
      </c>
      <c r="H618" s="80">
        <v>17013</v>
      </c>
      <c r="I618" s="426">
        <f t="shared" si="78"/>
        <v>26.699623352165723</v>
      </c>
      <c r="J618" s="113"/>
      <c r="K618" s="80"/>
      <c r="L618" s="379"/>
      <c r="M618" s="80"/>
      <c r="N618" s="80"/>
      <c r="O618" s="356"/>
      <c r="P618" s="79"/>
      <c r="Q618" s="80"/>
      <c r="R618" s="350"/>
    </row>
    <row r="619" spans="1:18" ht="13.5" customHeight="1">
      <c r="A619" s="111">
        <v>4410</v>
      </c>
      <c r="B619" s="115" t="s">
        <v>463</v>
      </c>
      <c r="C619" s="79">
        <v>28400</v>
      </c>
      <c r="D619" s="65">
        <f t="shared" si="73"/>
        <v>32100</v>
      </c>
      <c r="E619" s="80">
        <f>SUM(H619+K619+N619+Q619)</f>
        <v>15660</v>
      </c>
      <c r="F619" s="452">
        <f t="shared" si="77"/>
        <v>48.78504672897196</v>
      </c>
      <c r="G619" s="79">
        <f>28400+3700</f>
        <v>32100</v>
      </c>
      <c r="H619" s="80">
        <v>15660</v>
      </c>
      <c r="I619" s="426">
        <f t="shared" si="78"/>
        <v>48.78504672897196</v>
      </c>
      <c r="J619" s="113"/>
      <c r="K619" s="80"/>
      <c r="L619" s="379"/>
      <c r="M619" s="80"/>
      <c r="N619" s="80"/>
      <c r="O619" s="356"/>
      <c r="P619" s="79"/>
      <c r="Q619" s="80"/>
      <c r="R619" s="350"/>
    </row>
    <row r="620" spans="1:18" ht="23.25" customHeight="1">
      <c r="A620" s="111">
        <v>4420</v>
      </c>
      <c r="B620" s="115" t="s">
        <v>532</v>
      </c>
      <c r="C620" s="79">
        <v>1500</v>
      </c>
      <c r="D620" s="65">
        <f t="shared" si="73"/>
        <v>1500</v>
      </c>
      <c r="E620" s="65">
        <f>H620+K620+Q620+N620</f>
        <v>0</v>
      </c>
      <c r="F620" s="452"/>
      <c r="G620" s="79">
        <v>1500</v>
      </c>
      <c r="H620" s="80"/>
      <c r="I620" s="426">
        <f t="shared" si="78"/>
        <v>0</v>
      </c>
      <c r="J620" s="113"/>
      <c r="K620" s="80"/>
      <c r="L620" s="379"/>
      <c r="M620" s="80"/>
      <c r="N620" s="80"/>
      <c r="O620" s="356"/>
      <c r="P620" s="79"/>
      <c r="Q620" s="80"/>
      <c r="R620" s="350"/>
    </row>
    <row r="621" spans="1:18" ht="12.75">
      <c r="A621" s="111">
        <v>4430</v>
      </c>
      <c r="B621" s="115" t="s">
        <v>491</v>
      </c>
      <c r="C621" s="79">
        <v>600</v>
      </c>
      <c r="D621" s="65">
        <f t="shared" si="73"/>
        <v>600</v>
      </c>
      <c r="E621" s="65">
        <f>H621+K621+Q621+N621</f>
        <v>427</v>
      </c>
      <c r="F621" s="452">
        <f t="shared" si="77"/>
        <v>71.16666666666667</v>
      </c>
      <c r="G621" s="79">
        <v>600</v>
      </c>
      <c r="H621" s="80">
        <v>427</v>
      </c>
      <c r="I621" s="426">
        <f t="shared" si="78"/>
        <v>71.16666666666667</v>
      </c>
      <c r="J621" s="113"/>
      <c r="K621" s="80"/>
      <c r="L621" s="379"/>
      <c r="M621" s="80"/>
      <c r="N621" s="80"/>
      <c r="O621" s="356"/>
      <c r="P621" s="79"/>
      <c r="Q621" s="80"/>
      <c r="R621" s="350"/>
    </row>
    <row r="622" spans="1:18" ht="12.75" customHeight="1">
      <c r="A622" s="111">
        <v>4440</v>
      </c>
      <c r="B622" s="115" t="s">
        <v>493</v>
      </c>
      <c r="C622" s="79">
        <v>1159100</v>
      </c>
      <c r="D622" s="65">
        <f t="shared" si="73"/>
        <v>1233524</v>
      </c>
      <c r="E622" s="80">
        <f aca="true" t="shared" si="79" ref="E622:E628">SUM(H622+K622+N622+Q622)</f>
        <v>971007</v>
      </c>
      <c r="F622" s="452">
        <f t="shared" si="77"/>
        <v>78.71812790022732</v>
      </c>
      <c r="G622" s="79">
        <f>1159100+74424</f>
        <v>1233524</v>
      </c>
      <c r="H622" s="80">
        <v>971007</v>
      </c>
      <c r="I622" s="426">
        <f t="shared" si="78"/>
        <v>78.71812790022732</v>
      </c>
      <c r="J622" s="113"/>
      <c r="K622" s="80"/>
      <c r="L622" s="379"/>
      <c r="M622" s="80"/>
      <c r="N622" s="80"/>
      <c r="O622" s="356"/>
      <c r="P622" s="79"/>
      <c r="Q622" s="80"/>
      <c r="R622" s="350"/>
    </row>
    <row r="623" spans="1:18" ht="12.75" customHeight="1" hidden="1">
      <c r="A623" s="111">
        <v>4580</v>
      </c>
      <c r="B623" s="115" t="s">
        <v>525</v>
      </c>
      <c r="C623" s="79"/>
      <c r="D623" s="65">
        <f>G623+J623+P623+M623</f>
        <v>0</v>
      </c>
      <c r="E623" s="80">
        <f>SUM(H623+K623+N623+Q623)</f>
        <v>0</v>
      </c>
      <c r="F623" s="452" t="e">
        <f>E623/D623*100</f>
        <v>#DIV/0!</v>
      </c>
      <c r="G623" s="79"/>
      <c r="H623" s="80"/>
      <c r="I623" s="426" t="e">
        <f t="shared" si="78"/>
        <v>#DIV/0!</v>
      </c>
      <c r="J623" s="113"/>
      <c r="K623" s="80"/>
      <c r="L623" s="379"/>
      <c r="M623" s="80"/>
      <c r="N623" s="80"/>
      <c r="O623" s="356"/>
      <c r="P623" s="79"/>
      <c r="Q623" s="80"/>
      <c r="R623" s="350"/>
    </row>
    <row r="624" spans="1:18" ht="36">
      <c r="A624" s="159">
        <v>4700</v>
      </c>
      <c r="B624" s="326" t="s">
        <v>284</v>
      </c>
      <c r="C624" s="79">
        <v>30400</v>
      </c>
      <c r="D624" s="65">
        <f t="shared" si="73"/>
        <v>30400</v>
      </c>
      <c r="E624" s="80">
        <f t="shared" si="79"/>
        <v>15936</v>
      </c>
      <c r="F624" s="452">
        <f t="shared" si="77"/>
        <v>52.421052631578945</v>
      </c>
      <c r="G624" s="79">
        <v>30400</v>
      </c>
      <c r="H624" s="80">
        <v>15936</v>
      </c>
      <c r="I624" s="426">
        <f t="shared" si="78"/>
        <v>52.421052631578945</v>
      </c>
      <c r="J624" s="113"/>
      <c r="K624" s="80"/>
      <c r="L624" s="379"/>
      <c r="M624" s="80"/>
      <c r="N624" s="80"/>
      <c r="O624" s="356"/>
      <c r="P624" s="79"/>
      <c r="Q624" s="80"/>
      <c r="R624" s="350"/>
    </row>
    <row r="625" spans="1:18" ht="48.75" customHeight="1">
      <c r="A625" s="159">
        <v>4740</v>
      </c>
      <c r="B625" s="326" t="s">
        <v>288</v>
      </c>
      <c r="C625" s="79">
        <v>26500</v>
      </c>
      <c r="D625" s="65">
        <f t="shared" si="73"/>
        <v>26500</v>
      </c>
      <c r="E625" s="80">
        <f t="shared" si="79"/>
        <v>6312</v>
      </c>
      <c r="F625" s="452">
        <f t="shared" si="77"/>
        <v>23.818867924528302</v>
      </c>
      <c r="G625" s="79">
        <v>26500</v>
      </c>
      <c r="H625" s="80">
        <v>6312</v>
      </c>
      <c r="I625" s="426">
        <f t="shared" si="78"/>
        <v>23.818867924528302</v>
      </c>
      <c r="J625" s="113"/>
      <c r="K625" s="80"/>
      <c r="L625" s="379"/>
      <c r="M625" s="80"/>
      <c r="N625" s="80"/>
      <c r="O625" s="356"/>
      <c r="P625" s="79"/>
      <c r="Q625" s="80"/>
      <c r="R625" s="350"/>
    </row>
    <row r="626" spans="1:18" ht="36">
      <c r="A626" s="159">
        <v>4750</v>
      </c>
      <c r="B626" s="326" t="s">
        <v>289</v>
      </c>
      <c r="C626" s="79">
        <v>47700</v>
      </c>
      <c r="D626" s="65">
        <f t="shared" si="73"/>
        <v>56495</v>
      </c>
      <c r="E626" s="80">
        <f t="shared" si="79"/>
        <v>30806</v>
      </c>
      <c r="F626" s="452">
        <f t="shared" si="77"/>
        <v>54.5287193556952</v>
      </c>
      <c r="G626" s="79">
        <f>47700+895+7900</f>
        <v>56495</v>
      </c>
      <c r="H626" s="80">
        <v>30806</v>
      </c>
      <c r="I626" s="426">
        <f t="shared" si="78"/>
        <v>54.5287193556952</v>
      </c>
      <c r="J626" s="113"/>
      <c r="K626" s="80"/>
      <c r="L626" s="379"/>
      <c r="M626" s="80"/>
      <c r="N626" s="80"/>
      <c r="O626" s="356"/>
      <c r="P626" s="79"/>
      <c r="Q626" s="80"/>
      <c r="R626" s="350"/>
    </row>
    <row r="627" spans="1:18" ht="60">
      <c r="A627" s="111">
        <v>6050</v>
      </c>
      <c r="B627" s="115" t="s">
        <v>425</v>
      </c>
      <c r="C627" s="79">
        <v>3718600</v>
      </c>
      <c r="D627" s="65">
        <f t="shared" si="73"/>
        <v>4377862</v>
      </c>
      <c r="E627" s="80">
        <f t="shared" si="79"/>
        <v>2469313</v>
      </c>
      <c r="F627" s="452">
        <f t="shared" si="77"/>
        <v>56.404541760338724</v>
      </c>
      <c r="G627" s="79">
        <f>3718600+320000+180000+110000+6000+10000+3262+30000</f>
        <v>4377862</v>
      </c>
      <c r="H627" s="80">
        <v>2469313</v>
      </c>
      <c r="I627" s="426">
        <f t="shared" si="78"/>
        <v>56.404541760338724</v>
      </c>
      <c r="J627" s="113"/>
      <c r="K627" s="80"/>
      <c r="L627" s="379"/>
      <c r="M627" s="80"/>
      <c r="N627" s="80"/>
      <c r="O627" s="356"/>
      <c r="P627" s="79"/>
      <c r="Q627" s="80"/>
      <c r="R627" s="350"/>
    </row>
    <row r="628" spans="1:18" ht="36">
      <c r="A628" s="111">
        <v>6060</v>
      </c>
      <c r="B628" s="115" t="s">
        <v>8</v>
      </c>
      <c r="C628" s="79">
        <v>24000</v>
      </c>
      <c r="D628" s="65">
        <f t="shared" si="73"/>
        <v>20738</v>
      </c>
      <c r="E628" s="80">
        <f t="shared" si="79"/>
        <v>16737</v>
      </c>
      <c r="F628" s="452">
        <f t="shared" si="77"/>
        <v>80.70691484231844</v>
      </c>
      <c r="G628" s="79">
        <f>24000-3262</f>
        <v>20738</v>
      </c>
      <c r="H628" s="80">
        <v>16737</v>
      </c>
      <c r="I628" s="426">
        <f t="shared" si="78"/>
        <v>80.70691484231844</v>
      </c>
      <c r="J628" s="113"/>
      <c r="K628" s="80"/>
      <c r="L628" s="379"/>
      <c r="M628" s="80"/>
      <c r="N628" s="80"/>
      <c r="O628" s="356"/>
      <c r="P628" s="79"/>
      <c r="Q628" s="80"/>
      <c r="R628" s="350"/>
    </row>
    <row r="629" spans="1:18" s="105" customFormat="1" ht="24">
      <c r="A629" s="106">
        <v>80102</v>
      </c>
      <c r="B629" s="172" t="s">
        <v>9</v>
      </c>
      <c r="C629" s="108">
        <f>SUM(C630:C652)</f>
        <v>2487100</v>
      </c>
      <c r="D629" s="86">
        <f t="shared" si="73"/>
        <v>2507421</v>
      </c>
      <c r="E629" s="75">
        <f>H629+K629+Q629+N629</f>
        <v>1357071</v>
      </c>
      <c r="F629" s="451">
        <f t="shared" si="77"/>
        <v>54.12218370987561</v>
      </c>
      <c r="G629" s="133"/>
      <c r="H629" s="136"/>
      <c r="I629" s="473"/>
      <c r="J629" s="135"/>
      <c r="K629" s="136"/>
      <c r="L629" s="395"/>
      <c r="M629" s="75">
        <f>SUM(M630:M653)</f>
        <v>2507421</v>
      </c>
      <c r="N629" s="75">
        <f>SUM(N630:N653)</f>
        <v>1357071</v>
      </c>
      <c r="O629" s="301">
        <f aca="true" t="shared" si="80" ref="O629:O652">N629/M629*100</f>
        <v>54.12218370987561</v>
      </c>
      <c r="P629" s="108"/>
      <c r="Q629" s="75"/>
      <c r="R629" s="360"/>
    </row>
    <row r="630" spans="1:18" s="105" customFormat="1" ht="36">
      <c r="A630" s="111">
        <v>3020</v>
      </c>
      <c r="B630" s="115" t="s">
        <v>259</v>
      </c>
      <c r="C630" s="79">
        <v>6000</v>
      </c>
      <c r="D630" s="65">
        <f t="shared" si="73"/>
        <v>6000</v>
      </c>
      <c r="E630" s="80">
        <f aca="true" t="shared" si="81" ref="E630:E653">SUM(H630+K630+N630+Q630)</f>
        <v>658</v>
      </c>
      <c r="F630" s="452">
        <f t="shared" si="77"/>
        <v>10.966666666666667</v>
      </c>
      <c r="G630" s="79"/>
      <c r="H630" s="80"/>
      <c r="I630" s="450"/>
      <c r="J630" s="113"/>
      <c r="K630" s="80"/>
      <c r="L630" s="379"/>
      <c r="M630" s="79">
        <v>6000</v>
      </c>
      <c r="N630" s="95">
        <v>658</v>
      </c>
      <c r="O630" s="426">
        <f t="shared" si="80"/>
        <v>10.966666666666667</v>
      </c>
      <c r="P630" s="79"/>
      <c r="Q630" s="80"/>
      <c r="R630" s="350"/>
    </row>
    <row r="631" spans="1:18" s="105" customFormat="1" ht="12.75">
      <c r="A631" s="111">
        <v>3110</v>
      </c>
      <c r="B631" s="115" t="s">
        <v>65</v>
      </c>
      <c r="C631" s="79">
        <v>2700</v>
      </c>
      <c r="D631" s="65">
        <f>G631+J631+P631+M631</f>
        <v>2700</v>
      </c>
      <c r="E631" s="80">
        <f>SUM(H631+K631+N631+Q631)</f>
        <v>1306</v>
      </c>
      <c r="F631" s="452">
        <f>E631/D631*100</f>
        <v>48.37037037037037</v>
      </c>
      <c r="G631" s="79"/>
      <c r="H631" s="80"/>
      <c r="I631" s="450"/>
      <c r="J631" s="113"/>
      <c r="K631" s="80"/>
      <c r="L631" s="379"/>
      <c r="M631" s="79">
        <v>2700</v>
      </c>
      <c r="N631" s="80">
        <v>1306</v>
      </c>
      <c r="O631" s="426">
        <f t="shared" si="80"/>
        <v>48.37037037037037</v>
      </c>
      <c r="P631" s="79"/>
      <c r="Q631" s="80"/>
      <c r="R631" s="350"/>
    </row>
    <row r="632" spans="1:18" s="105" customFormat="1" ht="24">
      <c r="A632" s="111">
        <v>4010</v>
      </c>
      <c r="B632" s="115" t="s">
        <v>471</v>
      </c>
      <c r="C632" s="79">
        <v>1714600</v>
      </c>
      <c r="D632" s="65">
        <f t="shared" si="73"/>
        <v>1714600</v>
      </c>
      <c r="E632" s="80">
        <f t="shared" si="81"/>
        <v>852085</v>
      </c>
      <c r="F632" s="452">
        <f t="shared" si="77"/>
        <v>49.69584742797154</v>
      </c>
      <c r="G632" s="79"/>
      <c r="H632" s="80"/>
      <c r="I632" s="450"/>
      <c r="J632" s="113"/>
      <c r="K632" s="80"/>
      <c r="L632" s="379"/>
      <c r="M632" s="79">
        <v>1714600</v>
      </c>
      <c r="N632" s="80">
        <v>852085</v>
      </c>
      <c r="O632" s="426">
        <f t="shared" si="80"/>
        <v>49.69584742797154</v>
      </c>
      <c r="P632" s="79"/>
      <c r="Q632" s="80"/>
      <c r="R632" s="350"/>
    </row>
    <row r="633" spans="1:18" s="105" customFormat="1" ht="24">
      <c r="A633" s="111">
        <v>4040</v>
      </c>
      <c r="B633" s="115" t="s">
        <v>475</v>
      </c>
      <c r="C633" s="79">
        <v>124600</v>
      </c>
      <c r="D633" s="65">
        <f t="shared" si="73"/>
        <v>139020</v>
      </c>
      <c r="E633" s="80">
        <f t="shared" si="81"/>
        <v>139019</v>
      </c>
      <c r="F633" s="452">
        <f t="shared" si="77"/>
        <v>99.99928067903897</v>
      </c>
      <c r="G633" s="79"/>
      <c r="H633" s="80"/>
      <c r="I633" s="450"/>
      <c r="J633" s="113"/>
      <c r="K633" s="80"/>
      <c r="L633" s="379"/>
      <c r="M633" s="79">
        <f>124600+14420</f>
        <v>139020</v>
      </c>
      <c r="N633" s="80">
        <v>139019</v>
      </c>
      <c r="O633" s="426">
        <f t="shared" si="80"/>
        <v>99.99928067903897</v>
      </c>
      <c r="P633" s="79"/>
      <c r="Q633" s="80"/>
      <c r="R633" s="350"/>
    </row>
    <row r="634" spans="1:18" s="105" customFormat="1" ht="24">
      <c r="A634" s="111">
        <v>4110</v>
      </c>
      <c r="B634" s="115" t="s">
        <v>477</v>
      </c>
      <c r="C634" s="79">
        <v>281800</v>
      </c>
      <c r="D634" s="65">
        <f t="shared" si="73"/>
        <v>281800</v>
      </c>
      <c r="E634" s="80">
        <f t="shared" si="81"/>
        <v>149879</v>
      </c>
      <c r="F634" s="452">
        <f t="shared" si="77"/>
        <v>53.18630234208659</v>
      </c>
      <c r="G634" s="79"/>
      <c r="H634" s="80"/>
      <c r="I634" s="450"/>
      <c r="J634" s="113"/>
      <c r="K634" s="80"/>
      <c r="L634" s="379"/>
      <c r="M634" s="79">
        <v>281800</v>
      </c>
      <c r="N634" s="80">
        <v>149879</v>
      </c>
      <c r="O634" s="426">
        <f t="shared" si="80"/>
        <v>53.18630234208659</v>
      </c>
      <c r="P634" s="79"/>
      <c r="Q634" s="80"/>
      <c r="R634" s="350"/>
    </row>
    <row r="635" spans="1:18" s="105" customFormat="1" ht="15" customHeight="1">
      <c r="A635" s="111">
        <v>4120</v>
      </c>
      <c r="B635" s="115" t="s">
        <v>547</v>
      </c>
      <c r="C635" s="79">
        <v>44900</v>
      </c>
      <c r="D635" s="65">
        <f t="shared" si="73"/>
        <v>44900</v>
      </c>
      <c r="E635" s="80">
        <f t="shared" si="81"/>
        <v>23182</v>
      </c>
      <c r="F635" s="452">
        <f t="shared" si="77"/>
        <v>51.630289532293986</v>
      </c>
      <c r="G635" s="79"/>
      <c r="H635" s="80"/>
      <c r="I635" s="450"/>
      <c r="J635" s="113"/>
      <c r="K635" s="80"/>
      <c r="L635" s="379"/>
      <c r="M635" s="79">
        <v>44900</v>
      </c>
      <c r="N635" s="80">
        <v>23182</v>
      </c>
      <c r="O635" s="426">
        <f t="shared" si="80"/>
        <v>51.630289532293986</v>
      </c>
      <c r="P635" s="79"/>
      <c r="Q635" s="80"/>
      <c r="R635" s="350"/>
    </row>
    <row r="636" spans="1:18" s="105" customFormat="1" ht="24" hidden="1">
      <c r="A636" s="111">
        <v>4130</v>
      </c>
      <c r="B636" s="115" t="s">
        <v>10</v>
      </c>
      <c r="C636" s="79"/>
      <c r="D636" s="65">
        <f t="shared" si="73"/>
        <v>0</v>
      </c>
      <c r="E636" s="80">
        <f t="shared" si="81"/>
        <v>0</v>
      </c>
      <c r="F636" s="452" t="e">
        <f t="shared" si="77"/>
        <v>#DIV/0!</v>
      </c>
      <c r="G636" s="79"/>
      <c r="H636" s="80"/>
      <c r="I636" s="450"/>
      <c r="J636" s="113"/>
      <c r="K636" s="80"/>
      <c r="L636" s="379"/>
      <c r="M636" s="79"/>
      <c r="N636" s="80"/>
      <c r="O636" s="426" t="e">
        <f t="shared" si="80"/>
        <v>#DIV/0!</v>
      </c>
      <c r="P636" s="79"/>
      <c r="Q636" s="80"/>
      <c r="R636" s="350"/>
    </row>
    <row r="637" spans="1:18" s="105" customFormat="1" ht="24">
      <c r="A637" s="111">
        <v>4210</v>
      </c>
      <c r="B637" s="115" t="s">
        <v>481</v>
      </c>
      <c r="C637" s="79">
        <v>40000</v>
      </c>
      <c r="D637" s="65">
        <f t="shared" si="73"/>
        <v>36000</v>
      </c>
      <c r="E637" s="80">
        <f t="shared" si="81"/>
        <v>15304</v>
      </c>
      <c r="F637" s="452">
        <f t="shared" si="77"/>
        <v>42.51111111111111</v>
      </c>
      <c r="G637" s="79"/>
      <c r="H637" s="80"/>
      <c r="I637" s="450"/>
      <c r="J637" s="113"/>
      <c r="K637" s="80"/>
      <c r="L637" s="379"/>
      <c r="M637" s="79">
        <f>40000+1000-5000</f>
        <v>36000</v>
      </c>
      <c r="N637" s="80">
        <v>15304</v>
      </c>
      <c r="O637" s="426">
        <f t="shared" si="80"/>
        <v>42.51111111111111</v>
      </c>
      <c r="P637" s="79"/>
      <c r="Q637" s="80"/>
      <c r="R637" s="350"/>
    </row>
    <row r="638" spans="1:18" s="105" customFormat="1" ht="25.5" customHeight="1">
      <c r="A638" s="111">
        <v>4240</v>
      </c>
      <c r="B638" s="115" t="s">
        <v>539</v>
      </c>
      <c r="C638" s="79">
        <v>6800</v>
      </c>
      <c r="D638" s="65">
        <f t="shared" si="73"/>
        <v>6800</v>
      </c>
      <c r="E638" s="80">
        <f t="shared" si="81"/>
        <v>1575</v>
      </c>
      <c r="F638" s="452">
        <f t="shared" si="77"/>
        <v>23.161764705882355</v>
      </c>
      <c r="G638" s="79"/>
      <c r="H638" s="80"/>
      <c r="I638" s="450"/>
      <c r="J638" s="113"/>
      <c r="K638" s="80"/>
      <c r="L638" s="379"/>
      <c r="M638" s="79">
        <v>6800</v>
      </c>
      <c r="N638" s="80">
        <v>1575</v>
      </c>
      <c r="O638" s="426">
        <f t="shared" si="80"/>
        <v>23.161764705882355</v>
      </c>
      <c r="P638" s="79"/>
      <c r="Q638" s="80"/>
      <c r="R638" s="350"/>
    </row>
    <row r="639" spans="1:18" s="105" customFormat="1" ht="13.5" customHeight="1">
      <c r="A639" s="111">
        <v>4260</v>
      </c>
      <c r="B639" s="115" t="s">
        <v>485</v>
      </c>
      <c r="C639" s="79">
        <v>96000</v>
      </c>
      <c r="D639" s="65">
        <f t="shared" si="73"/>
        <v>99980</v>
      </c>
      <c r="E639" s="80">
        <f t="shared" si="81"/>
        <v>63169</v>
      </c>
      <c r="F639" s="452">
        <f t="shared" si="77"/>
        <v>63.18163632726546</v>
      </c>
      <c r="G639" s="79"/>
      <c r="H639" s="80"/>
      <c r="I639" s="450"/>
      <c r="J639" s="113"/>
      <c r="K639" s="80"/>
      <c r="L639" s="379"/>
      <c r="M639" s="79">
        <f>96000+3980</f>
        <v>99980</v>
      </c>
      <c r="N639" s="80">
        <v>63169</v>
      </c>
      <c r="O639" s="426">
        <f t="shared" si="80"/>
        <v>63.18163632726546</v>
      </c>
      <c r="P639" s="79"/>
      <c r="Q639" s="80"/>
      <c r="R639" s="350"/>
    </row>
    <row r="640" spans="1:18" s="105" customFormat="1" ht="13.5" customHeight="1">
      <c r="A640" s="111">
        <v>4270</v>
      </c>
      <c r="B640" s="115" t="s">
        <v>487</v>
      </c>
      <c r="C640" s="79">
        <v>3800</v>
      </c>
      <c r="D640" s="65">
        <f t="shared" si="73"/>
        <v>3800</v>
      </c>
      <c r="E640" s="80">
        <f t="shared" si="81"/>
        <v>879</v>
      </c>
      <c r="F640" s="452">
        <f t="shared" si="77"/>
        <v>23.13157894736842</v>
      </c>
      <c r="G640" s="79"/>
      <c r="H640" s="80"/>
      <c r="I640" s="450"/>
      <c r="J640" s="113"/>
      <c r="K640" s="80"/>
      <c r="L640" s="379"/>
      <c r="M640" s="79">
        <v>3800</v>
      </c>
      <c r="N640" s="80">
        <v>879</v>
      </c>
      <c r="O640" s="426">
        <f t="shared" si="80"/>
        <v>23.13157894736842</v>
      </c>
      <c r="P640" s="79"/>
      <c r="Q640" s="80"/>
      <c r="R640" s="350"/>
    </row>
    <row r="641" spans="1:18" s="105" customFormat="1" ht="13.5" customHeight="1">
      <c r="A641" s="111">
        <v>4280</v>
      </c>
      <c r="B641" s="115" t="s">
        <v>520</v>
      </c>
      <c r="C641" s="79">
        <v>1900</v>
      </c>
      <c r="D641" s="65">
        <f t="shared" si="73"/>
        <v>1900</v>
      </c>
      <c r="E641" s="80">
        <f t="shared" si="81"/>
        <v>143</v>
      </c>
      <c r="F641" s="452">
        <f t="shared" si="77"/>
        <v>7.526315789473684</v>
      </c>
      <c r="G641" s="79"/>
      <c r="H641" s="80"/>
      <c r="I641" s="450"/>
      <c r="J641" s="113"/>
      <c r="K641" s="80"/>
      <c r="L641" s="379"/>
      <c r="M641" s="79">
        <v>1900</v>
      </c>
      <c r="N641" s="80">
        <v>143</v>
      </c>
      <c r="O641" s="426">
        <f t="shared" si="80"/>
        <v>7.526315789473684</v>
      </c>
      <c r="P641" s="79"/>
      <c r="Q641" s="80"/>
      <c r="R641" s="350"/>
    </row>
    <row r="642" spans="1:18" s="105" customFormat="1" ht="16.5" customHeight="1">
      <c r="A642" s="111">
        <v>4300</v>
      </c>
      <c r="B642" s="115" t="s">
        <v>489</v>
      </c>
      <c r="C642" s="79">
        <v>60000</v>
      </c>
      <c r="D642" s="65">
        <f t="shared" si="73"/>
        <v>60000</v>
      </c>
      <c r="E642" s="80">
        <f t="shared" si="81"/>
        <v>33397</v>
      </c>
      <c r="F642" s="452">
        <f t="shared" si="77"/>
        <v>55.66166666666666</v>
      </c>
      <c r="G642" s="79"/>
      <c r="H642" s="80"/>
      <c r="I642" s="450"/>
      <c r="J642" s="113"/>
      <c r="K642" s="80"/>
      <c r="L642" s="379"/>
      <c r="M642" s="79">
        <v>60000</v>
      </c>
      <c r="N642" s="80">
        <v>33397</v>
      </c>
      <c r="O642" s="426">
        <f t="shared" si="80"/>
        <v>55.66166666666666</v>
      </c>
      <c r="P642" s="79"/>
      <c r="Q642" s="80"/>
      <c r="R642" s="350"/>
    </row>
    <row r="643" spans="1:18" s="105" customFormat="1" ht="24">
      <c r="A643" s="111">
        <v>4350</v>
      </c>
      <c r="B643" s="115" t="s">
        <v>7</v>
      </c>
      <c r="C643" s="79">
        <v>1200</v>
      </c>
      <c r="D643" s="65">
        <f t="shared" si="73"/>
        <v>1200</v>
      </c>
      <c r="E643" s="80">
        <f t="shared" si="81"/>
        <v>946</v>
      </c>
      <c r="F643" s="452">
        <f t="shared" si="77"/>
        <v>78.83333333333333</v>
      </c>
      <c r="G643" s="79"/>
      <c r="H643" s="80"/>
      <c r="I643" s="450"/>
      <c r="J643" s="113"/>
      <c r="K643" s="80"/>
      <c r="L643" s="379"/>
      <c r="M643" s="79">
        <v>1200</v>
      </c>
      <c r="N643" s="80">
        <v>946</v>
      </c>
      <c r="O643" s="426">
        <f t="shared" si="80"/>
        <v>78.83333333333333</v>
      </c>
      <c r="P643" s="79"/>
      <c r="Q643" s="80"/>
      <c r="R643" s="350"/>
    </row>
    <row r="644" spans="1:18" s="105" customFormat="1" ht="42" customHeight="1">
      <c r="A644" s="159">
        <v>4360</v>
      </c>
      <c r="B644" s="326" t="s">
        <v>295</v>
      </c>
      <c r="C644" s="79">
        <v>700</v>
      </c>
      <c r="D644" s="65">
        <f t="shared" si="73"/>
        <v>700</v>
      </c>
      <c r="E644" s="80">
        <f>SUM(H644+K644+N644+Q644)</f>
        <v>523</v>
      </c>
      <c r="F644" s="452">
        <f>E644/D644*100</f>
        <v>74.71428571428571</v>
      </c>
      <c r="G644" s="79"/>
      <c r="H644" s="80"/>
      <c r="I644" s="450"/>
      <c r="J644" s="113"/>
      <c r="K644" s="80"/>
      <c r="L644" s="379"/>
      <c r="M644" s="79">
        <v>700</v>
      </c>
      <c r="N644" s="80">
        <v>523</v>
      </c>
      <c r="O644" s="426">
        <f t="shared" si="80"/>
        <v>74.71428571428571</v>
      </c>
      <c r="P644" s="79"/>
      <c r="Q644" s="80"/>
      <c r="R644" s="350"/>
    </row>
    <row r="645" spans="1:18" s="105" customFormat="1" ht="40.5" customHeight="1">
      <c r="A645" s="159">
        <v>4370</v>
      </c>
      <c r="B645" s="326" t="s">
        <v>296</v>
      </c>
      <c r="C645" s="79">
        <v>1900</v>
      </c>
      <c r="D645" s="65">
        <f t="shared" si="73"/>
        <v>1900</v>
      </c>
      <c r="E645" s="80">
        <f>SUM(H645+K645+N645+Q645)</f>
        <v>1518</v>
      </c>
      <c r="F645" s="452">
        <f>E645/D645*100</f>
        <v>79.89473684210526</v>
      </c>
      <c r="G645" s="79"/>
      <c r="H645" s="80"/>
      <c r="I645" s="450"/>
      <c r="J645" s="113"/>
      <c r="K645" s="80"/>
      <c r="L645" s="379"/>
      <c r="M645" s="79">
        <v>1900</v>
      </c>
      <c r="N645" s="80">
        <f>1519-1</f>
        <v>1518</v>
      </c>
      <c r="O645" s="426">
        <f t="shared" si="80"/>
        <v>79.89473684210526</v>
      </c>
      <c r="P645" s="79"/>
      <c r="Q645" s="80"/>
      <c r="R645" s="350"/>
    </row>
    <row r="646" spans="1:18" s="105" customFormat="1" ht="36">
      <c r="A646" s="111">
        <v>4390</v>
      </c>
      <c r="B646" s="193" t="s">
        <v>271</v>
      </c>
      <c r="C646" s="79">
        <v>3300</v>
      </c>
      <c r="D646" s="65">
        <f t="shared" si="73"/>
        <v>3300</v>
      </c>
      <c r="E646" s="80">
        <f>SUM(H646+K646+N646+Q646)</f>
        <v>317</v>
      </c>
      <c r="F646" s="452">
        <f>E646/D646*100</f>
        <v>9.606060606060606</v>
      </c>
      <c r="G646" s="79"/>
      <c r="H646" s="80"/>
      <c r="I646" s="450"/>
      <c r="J646" s="113"/>
      <c r="K646" s="80"/>
      <c r="L646" s="379"/>
      <c r="M646" s="79">
        <v>3300</v>
      </c>
      <c r="N646" s="80">
        <v>317</v>
      </c>
      <c r="O646" s="426">
        <f t="shared" si="80"/>
        <v>9.606060606060606</v>
      </c>
      <c r="P646" s="79"/>
      <c r="Q646" s="80"/>
      <c r="R646" s="350"/>
    </row>
    <row r="647" spans="1:18" s="105" customFormat="1" ht="18" customHeight="1">
      <c r="A647" s="111">
        <v>4410</v>
      </c>
      <c r="B647" s="115" t="s">
        <v>463</v>
      </c>
      <c r="C647" s="79">
        <v>3900</v>
      </c>
      <c r="D647" s="65">
        <f t="shared" si="73"/>
        <v>3900</v>
      </c>
      <c r="E647" s="80">
        <f t="shared" si="81"/>
        <v>1367</v>
      </c>
      <c r="F647" s="452">
        <f t="shared" si="77"/>
        <v>35.05128205128205</v>
      </c>
      <c r="G647" s="79"/>
      <c r="H647" s="80"/>
      <c r="I647" s="450"/>
      <c r="J647" s="113"/>
      <c r="K647" s="80"/>
      <c r="L647" s="379"/>
      <c r="M647" s="79">
        <v>3900</v>
      </c>
      <c r="N647" s="80">
        <v>1367</v>
      </c>
      <c r="O647" s="426">
        <f t="shared" si="80"/>
        <v>35.05128205128205</v>
      </c>
      <c r="P647" s="79"/>
      <c r="Q647" s="80"/>
      <c r="R647" s="350"/>
    </row>
    <row r="648" spans="1:18" s="105" customFormat="1" ht="12.75">
      <c r="A648" s="111">
        <v>4440</v>
      </c>
      <c r="B648" s="115" t="s">
        <v>493</v>
      </c>
      <c r="C648" s="79">
        <v>86600</v>
      </c>
      <c r="D648" s="65">
        <f t="shared" si="73"/>
        <v>90521</v>
      </c>
      <c r="E648" s="80">
        <f t="shared" si="81"/>
        <v>68073</v>
      </c>
      <c r="F648" s="452">
        <f t="shared" si="77"/>
        <v>75.20133449696755</v>
      </c>
      <c r="G648" s="79"/>
      <c r="H648" s="80"/>
      <c r="I648" s="450"/>
      <c r="J648" s="113"/>
      <c r="K648" s="80"/>
      <c r="L648" s="379"/>
      <c r="M648" s="79">
        <f>86600+3921</f>
        <v>90521</v>
      </c>
      <c r="N648" s="80">
        <v>68073</v>
      </c>
      <c r="O648" s="426">
        <f t="shared" si="80"/>
        <v>75.20133449696755</v>
      </c>
      <c r="P648" s="79"/>
      <c r="Q648" s="80"/>
      <c r="R648" s="350"/>
    </row>
    <row r="649" spans="1:18" s="105" customFormat="1" ht="36">
      <c r="A649" s="184">
        <v>4700</v>
      </c>
      <c r="B649" s="185" t="s">
        <v>284</v>
      </c>
      <c r="C649" s="147">
        <v>1700</v>
      </c>
      <c r="D649" s="148">
        <f t="shared" si="73"/>
        <v>1700</v>
      </c>
      <c r="E649" s="142">
        <f>SUM(H649+K649+N649+Q649)</f>
        <v>610</v>
      </c>
      <c r="F649" s="453">
        <f>E649/D649*100</f>
        <v>35.88235294117647</v>
      </c>
      <c r="G649" s="147"/>
      <c r="H649" s="142"/>
      <c r="I649" s="463"/>
      <c r="J649" s="149"/>
      <c r="K649" s="142"/>
      <c r="L649" s="404"/>
      <c r="M649" s="147">
        <v>1700</v>
      </c>
      <c r="N649" s="142">
        <v>610</v>
      </c>
      <c r="O649" s="446">
        <f t="shared" si="80"/>
        <v>35.88235294117647</v>
      </c>
      <c r="P649" s="147"/>
      <c r="Q649" s="142"/>
      <c r="R649" s="354"/>
    </row>
    <row r="650" spans="1:18" s="105" customFormat="1" ht="51.75" customHeight="1">
      <c r="A650" s="159">
        <v>4740</v>
      </c>
      <c r="B650" s="326" t="s">
        <v>288</v>
      </c>
      <c r="C650" s="79">
        <v>1400</v>
      </c>
      <c r="D650" s="65">
        <f t="shared" si="73"/>
        <v>1400</v>
      </c>
      <c r="E650" s="80">
        <f>SUM(H650+K650+N650+Q650)</f>
        <v>609</v>
      </c>
      <c r="F650" s="452">
        <f>E650/D650*100</f>
        <v>43.5</v>
      </c>
      <c r="G650" s="79"/>
      <c r="H650" s="80"/>
      <c r="I650" s="450"/>
      <c r="J650" s="113"/>
      <c r="K650" s="80"/>
      <c r="L650" s="379"/>
      <c r="M650" s="79">
        <v>1400</v>
      </c>
      <c r="N650" s="80">
        <v>609</v>
      </c>
      <c r="O650" s="426">
        <f t="shared" si="80"/>
        <v>43.5</v>
      </c>
      <c r="P650" s="79"/>
      <c r="Q650" s="80"/>
      <c r="R650" s="350"/>
    </row>
    <row r="651" spans="1:18" s="105" customFormat="1" ht="36">
      <c r="A651" s="159">
        <v>4750</v>
      </c>
      <c r="B651" s="326" t="s">
        <v>289</v>
      </c>
      <c r="C651" s="79">
        <v>3300</v>
      </c>
      <c r="D651" s="65">
        <f t="shared" si="73"/>
        <v>5300</v>
      </c>
      <c r="E651" s="80">
        <f>SUM(H651+K651+N651+Q651)</f>
        <v>2512</v>
      </c>
      <c r="F651" s="446">
        <f>E651/D651*100</f>
        <v>47.39622641509434</v>
      </c>
      <c r="G651" s="79"/>
      <c r="H651" s="80"/>
      <c r="I651" s="450"/>
      <c r="J651" s="113"/>
      <c r="K651" s="80"/>
      <c r="L651" s="379"/>
      <c r="M651" s="79">
        <f>3300+2000</f>
        <v>5300</v>
      </c>
      <c r="N651" s="80">
        <v>2512</v>
      </c>
      <c r="O651" s="426">
        <f t="shared" si="80"/>
        <v>47.39622641509434</v>
      </c>
      <c r="P651" s="79"/>
      <c r="Q651" s="80"/>
      <c r="R651" s="350"/>
    </row>
    <row r="652" spans="1:18" s="105" customFormat="1" ht="24" hidden="1">
      <c r="A652" s="111">
        <v>6050</v>
      </c>
      <c r="B652" s="115" t="s">
        <v>549</v>
      </c>
      <c r="C652" s="79"/>
      <c r="D652" s="65">
        <f aca="true" t="shared" si="82" ref="D652:D715">G652+J652+P652+M652</f>
        <v>0</v>
      </c>
      <c r="E652" s="80">
        <f t="shared" si="81"/>
        <v>0</v>
      </c>
      <c r="F652" s="452" t="e">
        <f t="shared" si="77"/>
        <v>#DIV/0!</v>
      </c>
      <c r="G652" s="79"/>
      <c r="H652" s="80"/>
      <c r="I652" s="450"/>
      <c r="J652" s="113"/>
      <c r="K652" s="80"/>
      <c r="L652" s="379"/>
      <c r="M652" s="79"/>
      <c r="N652" s="80"/>
      <c r="O652" s="426" t="e">
        <f t="shared" si="80"/>
        <v>#DIV/0!</v>
      </c>
      <c r="P652" s="79"/>
      <c r="Q652" s="80"/>
      <c r="R652" s="350"/>
    </row>
    <row r="653" spans="1:18" s="105" customFormat="1" ht="36" hidden="1">
      <c r="A653" s="111">
        <v>6060</v>
      </c>
      <c r="B653" s="115" t="s">
        <v>8</v>
      </c>
      <c r="C653" s="79"/>
      <c r="D653" s="148">
        <f t="shared" si="82"/>
        <v>0</v>
      </c>
      <c r="E653" s="142">
        <f t="shared" si="81"/>
        <v>0</v>
      </c>
      <c r="F653" s="453" t="e">
        <f>E653/D653*100</f>
        <v>#DIV/0!</v>
      </c>
      <c r="G653" s="79"/>
      <c r="H653" s="80"/>
      <c r="I653" s="450"/>
      <c r="J653" s="113"/>
      <c r="K653" s="80"/>
      <c r="L653" s="379"/>
      <c r="M653" s="79"/>
      <c r="N653" s="80"/>
      <c r="O653" s="426" t="e">
        <f>N653/M653*100</f>
        <v>#DIV/0!</v>
      </c>
      <c r="P653" s="79"/>
      <c r="Q653" s="80"/>
      <c r="R653" s="350"/>
    </row>
    <row r="654" spans="1:18" s="105" customFormat="1" ht="36">
      <c r="A654" s="137">
        <v>80103</v>
      </c>
      <c r="B654" s="174" t="s">
        <v>11</v>
      </c>
      <c r="C654" s="85">
        <f>SUM(C655:C665)</f>
        <v>926600</v>
      </c>
      <c r="D654" s="86">
        <f t="shared" si="82"/>
        <v>1000210</v>
      </c>
      <c r="E654" s="86">
        <f>SUM(H654+K654+N654+Q654)</f>
        <v>498740</v>
      </c>
      <c r="F654" s="453">
        <f>E654/D654*100</f>
        <v>49.863528658981615</v>
      </c>
      <c r="G654" s="85">
        <f>SUM(G655:G665)</f>
        <v>1000210</v>
      </c>
      <c r="H654" s="86">
        <f>SUM(H655:H665)</f>
        <v>498740</v>
      </c>
      <c r="I654" s="473">
        <f>H654/G654*100</f>
        <v>49.863528658981615</v>
      </c>
      <c r="J654" s="158"/>
      <c r="K654" s="86"/>
      <c r="L654" s="406"/>
      <c r="M654" s="206"/>
      <c r="N654" s="86"/>
      <c r="O654" s="256"/>
      <c r="P654" s="85"/>
      <c r="Q654" s="86"/>
      <c r="R654" s="358"/>
    </row>
    <row r="655" spans="1:18" s="105" customFormat="1" ht="41.25" customHeight="1">
      <c r="A655" s="171">
        <v>2540</v>
      </c>
      <c r="B655" s="115" t="s">
        <v>5</v>
      </c>
      <c r="C655" s="161">
        <v>72000</v>
      </c>
      <c r="D655" s="65">
        <f t="shared" si="82"/>
        <v>85128</v>
      </c>
      <c r="E655" s="80">
        <f aca="true" t="shared" si="83" ref="E655:E665">SUM(H655+K655+N655+Q655)</f>
        <v>52518</v>
      </c>
      <c r="F655" s="452">
        <f t="shared" si="77"/>
        <v>61.69297998308429</v>
      </c>
      <c r="G655" s="161">
        <f>72000+13128</f>
        <v>85128</v>
      </c>
      <c r="H655" s="80">
        <v>52518</v>
      </c>
      <c r="I655" s="450">
        <f>H655/G655*100</f>
        <v>61.69297998308429</v>
      </c>
      <c r="J655" s="162"/>
      <c r="K655" s="65"/>
      <c r="L655" s="379"/>
      <c r="M655" s="210"/>
      <c r="N655" s="65"/>
      <c r="O655" s="211"/>
      <c r="P655" s="161"/>
      <c r="Q655" s="65"/>
      <c r="R655" s="350"/>
    </row>
    <row r="656" spans="1:18" s="105" customFormat="1" ht="36">
      <c r="A656" s="257">
        <v>3020</v>
      </c>
      <c r="B656" s="115" t="s">
        <v>259</v>
      </c>
      <c r="C656" s="161">
        <v>1500</v>
      </c>
      <c r="D656" s="65">
        <f t="shared" si="82"/>
        <v>1500</v>
      </c>
      <c r="E656" s="80">
        <f t="shared" si="83"/>
        <v>600</v>
      </c>
      <c r="F656" s="452">
        <f>E656/D656*100</f>
        <v>40</v>
      </c>
      <c r="G656" s="161">
        <v>1500</v>
      </c>
      <c r="H656" s="65">
        <v>600</v>
      </c>
      <c r="I656" s="450">
        <f>H656/G656*100</f>
        <v>40</v>
      </c>
      <c r="J656" s="162"/>
      <c r="K656" s="65"/>
      <c r="L656" s="379"/>
      <c r="M656" s="210"/>
      <c r="N656" s="65"/>
      <c r="O656" s="211"/>
      <c r="P656" s="161"/>
      <c r="Q656" s="65"/>
      <c r="R656" s="350"/>
    </row>
    <row r="657" spans="1:18" s="105" customFormat="1" ht="24">
      <c r="A657" s="257">
        <v>4010</v>
      </c>
      <c r="B657" s="115" t="s">
        <v>471</v>
      </c>
      <c r="C657" s="161">
        <v>618900</v>
      </c>
      <c r="D657" s="65">
        <f t="shared" si="82"/>
        <v>670900</v>
      </c>
      <c r="E657" s="80">
        <f t="shared" si="83"/>
        <v>306699</v>
      </c>
      <c r="F657" s="452">
        <f t="shared" si="77"/>
        <v>45.714562527947535</v>
      </c>
      <c r="G657" s="161">
        <f>618900+52000</f>
        <v>670900</v>
      </c>
      <c r="H657" s="80">
        <v>306699</v>
      </c>
      <c r="I657" s="450">
        <f aca="true" t="shared" si="84" ref="I657:I713">H657/G657*100</f>
        <v>45.714562527947535</v>
      </c>
      <c r="J657" s="162"/>
      <c r="K657" s="65"/>
      <c r="L657" s="379"/>
      <c r="M657" s="210"/>
      <c r="N657" s="65"/>
      <c r="O657" s="211"/>
      <c r="P657" s="161"/>
      <c r="Q657" s="65"/>
      <c r="R657" s="350"/>
    </row>
    <row r="658" spans="1:18" s="105" customFormat="1" ht="24">
      <c r="A658" s="257">
        <v>4040</v>
      </c>
      <c r="B658" s="115" t="s">
        <v>516</v>
      </c>
      <c r="C658" s="161">
        <v>43300</v>
      </c>
      <c r="D658" s="65">
        <f t="shared" si="82"/>
        <v>41790</v>
      </c>
      <c r="E658" s="80">
        <f t="shared" si="83"/>
        <v>41753</v>
      </c>
      <c r="F658" s="452">
        <f t="shared" si="77"/>
        <v>99.91146207226609</v>
      </c>
      <c r="G658" s="161">
        <f>43300-1410-100</f>
        <v>41790</v>
      </c>
      <c r="H658" s="80">
        <v>41753</v>
      </c>
      <c r="I658" s="450">
        <f t="shared" si="84"/>
        <v>99.91146207226609</v>
      </c>
      <c r="J658" s="162"/>
      <c r="K658" s="65"/>
      <c r="L658" s="379"/>
      <c r="M658" s="210"/>
      <c r="N658" s="65"/>
      <c r="O658" s="211"/>
      <c r="P658" s="161"/>
      <c r="Q658" s="65"/>
      <c r="R658" s="350"/>
    </row>
    <row r="659" spans="1:18" s="105" customFormat="1" ht="24">
      <c r="A659" s="257">
        <v>4110</v>
      </c>
      <c r="B659" s="115" t="s">
        <v>477</v>
      </c>
      <c r="C659" s="161">
        <v>105900</v>
      </c>
      <c r="D659" s="65">
        <f t="shared" si="82"/>
        <v>113700</v>
      </c>
      <c r="E659" s="80">
        <f t="shared" si="83"/>
        <v>50302</v>
      </c>
      <c r="F659" s="452">
        <f t="shared" si="77"/>
        <v>44.24098504837291</v>
      </c>
      <c r="G659" s="161">
        <f>105900+7800</f>
        <v>113700</v>
      </c>
      <c r="H659" s="80">
        <v>50302</v>
      </c>
      <c r="I659" s="450">
        <f t="shared" si="84"/>
        <v>44.24098504837291</v>
      </c>
      <c r="J659" s="162"/>
      <c r="K659" s="65"/>
      <c r="L659" s="379"/>
      <c r="M659" s="210"/>
      <c r="N659" s="65"/>
      <c r="O659" s="211"/>
      <c r="P659" s="161"/>
      <c r="Q659" s="65"/>
      <c r="R659" s="350"/>
    </row>
    <row r="660" spans="1:18" s="105" customFormat="1" ht="12.75" customHeight="1">
      <c r="A660" s="257">
        <v>4120</v>
      </c>
      <c r="B660" s="115" t="s">
        <v>547</v>
      </c>
      <c r="C660" s="161">
        <v>16600</v>
      </c>
      <c r="D660" s="65">
        <f t="shared" si="82"/>
        <v>17900</v>
      </c>
      <c r="E660" s="80">
        <f t="shared" si="83"/>
        <v>7714</v>
      </c>
      <c r="F660" s="452">
        <f t="shared" si="77"/>
        <v>43.09497206703911</v>
      </c>
      <c r="G660" s="161">
        <f>16600+1300</f>
        <v>17900</v>
      </c>
      <c r="H660" s="80">
        <v>7714</v>
      </c>
      <c r="I660" s="450">
        <f t="shared" si="84"/>
        <v>43.09497206703911</v>
      </c>
      <c r="J660" s="162"/>
      <c r="K660" s="65"/>
      <c r="L660" s="379"/>
      <c r="M660" s="210"/>
      <c r="N660" s="65"/>
      <c r="O660" s="211"/>
      <c r="P660" s="161"/>
      <c r="Q660" s="65"/>
      <c r="R660" s="350"/>
    </row>
    <row r="661" spans="1:18" s="105" customFormat="1" ht="12.75" customHeight="1">
      <c r="A661" s="257">
        <v>4140</v>
      </c>
      <c r="B661" s="115" t="s">
        <v>519</v>
      </c>
      <c r="C661" s="161">
        <v>1600</v>
      </c>
      <c r="D661" s="65">
        <f t="shared" si="82"/>
        <v>1600</v>
      </c>
      <c r="E661" s="80">
        <f t="shared" si="83"/>
        <v>660</v>
      </c>
      <c r="F661" s="452">
        <f t="shared" si="77"/>
        <v>41.25</v>
      </c>
      <c r="G661" s="161">
        <v>1600</v>
      </c>
      <c r="H661" s="80">
        <v>660</v>
      </c>
      <c r="I661" s="450">
        <f t="shared" si="84"/>
        <v>41.25</v>
      </c>
      <c r="J661" s="162"/>
      <c r="K661" s="65"/>
      <c r="L661" s="379"/>
      <c r="M661" s="210"/>
      <c r="N661" s="65"/>
      <c r="O661" s="211"/>
      <c r="P661" s="161"/>
      <c r="Q661" s="65"/>
      <c r="R661" s="350"/>
    </row>
    <row r="662" spans="1:18" s="105" customFormat="1" ht="24">
      <c r="A662" s="111">
        <v>4210</v>
      </c>
      <c r="B662" s="115" t="s">
        <v>481</v>
      </c>
      <c r="C662" s="161">
        <v>16100</v>
      </c>
      <c r="D662" s="65">
        <f t="shared" si="82"/>
        <v>16100</v>
      </c>
      <c r="E662" s="80">
        <f>SUM(H662+K662+N662+Q662)</f>
        <v>1342</v>
      </c>
      <c r="F662" s="452">
        <f>E662/D662*100</f>
        <v>8.335403726708075</v>
      </c>
      <c r="G662" s="161">
        <v>16100</v>
      </c>
      <c r="H662" s="80">
        <v>1342</v>
      </c>
      <c r="I662" s="450">
        <f t="shared" si="84"/>
        <v>8.335403726708075</v>
      </c>
      <c r="J662" s="162"/>
      <c r="K662" s="65"/>
      <c r="L662" s="379"/>
      <c r="M662" s="210"/>
      <c r="N662" s="65"/>
      <c r="O662" s="211"/>
      <c r="P662" s="161"/>
      <c r="Q662" s="65"/>
      <c r="R662" s="350"/>
    </row>
    <row r="663" spans="1:18" s="105" customFormat="1" ht="30" customHeight="1">
      <c r="A663" s="111">
        <v>4240</v>
      </c>
      <c r="B663" s="115" t="s">
        <v>539</v>
      </c>
      <c r="C663" s="161">
        <v>10800</v>
      </c>
      <c r="D663" s="65">
        <f t="shared" si="82"/>
        <v>10800</v>
      </c>
      <c r="E663" s="80">
        <f>SUM(H663+K663+N663+Q663)</f>
        <v>3232</v>
      </c>
      <c r="F663" s="452">
        <f>E663/D663*100</f>
        <v>29.925925925925927</v>
      </c>
      <c r="G663" s="161">
        <v>10800</v>
      </c>
      <c r="H663" s="80">
        <v>3232</v>
      </c>
      <c r="I663" s="450">
        <f t="shared" si="84"/>
        <v>29.925925925925927</v>
      </c>
      <c r="J663" s="162"/>
      <c r="K663" s="65"/>
      <c r="L663" s="379"/>
      <c r="M663" s="210"/>
      <c r="N663" s="65"/>
      <c r="O663" s="211"/>
      <c r="P663" s="161"/>
      <c r="Q663" s="65"/>
      <c r="R663" s="350"/>
    </row>
    <row r="664" spans="1:18" s="105" customFormat="1" ht="24" hidden="1">
      <c r="A664" s="111">
        <v>4270</v>
      </c>
      <c r="B664" s="115" t="s">
        <v>487</v>
      </c>
      <c r="C664" s="161"/>
      <c r="D664" s="65">
        <f>G664+J664+P664+M664</f>
        <v>0</v>
      </c>
      <c r="E664" s="80">
        <f>SUM(H664+K664+N664+Q664)</f>
        <v>0</v>
      </c>
      <c r="F664" s="452" t="e">
        <f>E664/D664*100</f>
        <v>#DIV/0!</v>
      </c>
      <c r="G664" s="161"/>
      <c r="H664" s="80"/>
      <c r="I664" s="450" t="e">
        <f>H664/G664*100</f>
        <v>#DIV/0!</v>
      </c>
      <c r="J664" s="162"/>
      <c r="K664" s="65"/>
      <c r="L664" s="379"/>
      <c r="M664" s="210"/>
      <c r="N664" s="65"/>
      <c r="O664" s="211"/>
      <c r="P664" s="161"/>
      <c r="Q664" s="65"/>
      <c r="R664" s="350"/>
    </row>
    <row r="665" spans="1:18" s="105" customFormat="1" ht="12.75" customHeight="1">
      <c r="A665" s="255">
        <v>4440</v>
      </c>
      <c r="B665" s="146" t="s">
        <v>493</v>
      </c>
      <c r="C665" s="163">
        <v>39900</v>
      </c>
      <c r="D665" s="65">
        <f t="shared" si="82"/>
        <v>40792</v>
      </c>
      <c r="E665" s="80">
        <f t="shared" si="83"/>
        <v>33920</v>
      </c>
      <c r="F665" s="452">
        <f t="shared" si="77"/>
        <v>83.15355952147479</v>
      </c>
      <c r="G665" s="163">
        <f>39900+892</f>
        <v>40792</v>
      </c>
      <c r="H665" s="142">
        <v>33920</v>
      </c>
      <c r="I665" s="450">
        <f t="shared" si="84"/>
        <v>83.15355952147479</v>
      </c>
      <c r="J665" s="164"/>
      <c r="K665" s="148"/>
      <c r="L665" s="404"/>
      <c r="M665" s="258"/>
      <c r="N665" s="148"/>
      <c r="O665" s="259"/>
      <c r="P665" s="163"/>
      <c r="Q665" s="148"/>
      <c r="R665" s="354"/>
    </row>
    <row r="666" spans="1:18" ht="12.75">
      <c r="A666" s="260">
        <v>80104</v>
      </c>
      <c r="B666" s="172" t="s">
        <v>13</v>
      </c>
      <c r="C666" s="108">
        <f>SUM(C667:C669)</f>
        <v>15041300</v>
      </c>
      <c r="D666" s="86">
        <f t="shared" si="82"/>
        <v>14648300</v>
      </c>
      <c r="E666" s="75">
        <f>H666+K666+Q666+N666</f>
        <v>8002918</v>
      </c>
      <c r="F666" s="451">
        <f t="shared" si="77"/>
        <v>54.633766375620375</v>
      </c>
      <c r="G666" s="108">
        <f>SUM(G667:G669)</f>
        <v>14648300</v>
      </c>
      <c r="H666" s="75">
        <f>SUM(H667:H669)</f>
        <v>8002918</v>
      </c>
      <c r="I666" s="432">
        <f t="shared" si="84"/>
        <v>54.633766375620375</v>
      </c>
      <c r="J666" s="110"/>
      <c r="K666" s="75"/>
      <c r="L666" s="406"/>
      <c r="M666" s="75"/>
      <c r="N666" s="75"/>
      <c r="O666" s="369"/>
      <c r="P666" s="108"/>
      <c r="Q666" s="75"/>
      <c r="R666" s="360"/>
    </row>
    <row r="667" spans="1:18" s="105" customFormat="1" ht="36">
      <c r="A667" s="257">
        <v>2510</v>
      </c>
      <c r="B667" s="115" t="s">
        <v>535</v>
      </c>
      <c r="C667" s="79">
        <f>13050000+66300</f>
        <v>13116300</v>
      </c>
      <c r="D667" s="65">
        <f t="shared" si="82"/>
        <v>13966300</v>
      </c>
      <c r="E667" s="80">
        <f>SUM(H667+K667+N667+Q667)</f>
        <v>7778800</v>
      </c>
      <c r="F667" s="452">
        <f t="shared" si="77"/>
        <v>55.69692760430465</v>
      </c>
      <c r="G667" s="79">
        <f>13050000+66300+690000+160000</f>
        <v>13966300</v>
      </c>
      <c r="H667" s="80">
        <v>7778800</v>
      </c>
      <c r="I667" s="426">
        <f t="shared" si="84"/>
        <v>55.69692760430465</v>
      </c>
      <c r="J667" s="113"/>
      <c r="K667" s="80"/>
      <c r="L667" s="379"/>
      <c r="M667" s="80"/>
      <c r="N667" s="80"/>
      <c r="O667" s="356"/>
      <c r="P667" s="79"/>
      <c r="Q667" s="80"/>
      <c r="R667" s="350"/>
    </row>
    <row r="668" spans="1:18" s="105" customFormat="1" ht="36.75" customHeight="1">
      <c r="A668" s="145">
        <v>2540</v>
      </c>
      <c r="B668" s="146" t="s">
        <v>5</v>
      </c>
      <c r="C668" s="147">
        <v>315000</v>
      </c>
      <c r="D668" s="148">
        <f>G668+J668+P668+M668</f>
        <v>315000</v>
      </c>
      <c r="E668" s="142">
        <f>SUM(H668+K668+N668+Q668)</f>
        <v>224118</v>
      </c>
      <c r="F668" s="453">
        <f>E668/D668*100</f>
        <v>71.14857142857143</v>
      </c>
      <c r="G668" s="149">
        <v>315000</v>
      </c>
      <c r="H668" s="149">
        <v>224118</v>
      </c>
      <c r="I668" s="446">
        <f t="shared" si="84"/>
        <v>71.14857142857143</v>
      </c>
      <c r="J668" s="149"/>
      <c r="K668" s="142"/>
      <c r="L668" s="404"/>
      <c r="M668" s="142"/>
      <c r="N668" s="142"/>
      <c r="O668" s="375"/>
      <c r="P668" s="149"/>
      <c r="Q668" s="142"/>
      <c r="R668" s="354"/>
    </row>
    <row r="669" spans="1:18" s="105" customFormat="1" ht="76.5" customHeight="1">
      <c r="A669" s="257">
        <v>6210</v>
      </c>
      <c r="B669" s="115" t="s">
        <v>536</v>
      </c>
      <c r="C669" s="79">
        <v>1610000</v>
      </c>
      <c r="D669" s="65">
        <f>G669+J669+P669+M669</f>
        <v>367000</v>
      </c>
      <c r="E669" s="80">
        <f>SUM(H669+K669+N669+Q669)</f>
        <v>0</v>
      </c>
      <c r="F669" s="452">
        <f>E669/D669*100</f>
        <v>0</v>
      </c>
      <c r="G669" s="113">
        <f>1610000-1250000+7000</f>
        <v>367000</v>
      </c>
      <c r="H669" s="113"/>
      <c r="I669" s="426">
        <f t="shared" si="84"/>
        <v>0</v>
      </c>
      <c r="J669" s="113"/>
      <c r="K669" s="80"/>
      <c r="L669" s="379"/>
      <c r="M669" s="80"/>
      <c r="N669" s="80"/>
      <c r="O669" s="356"/>
      <c r="P669" s="113"/>
      <c r="Q669" s="80"/>
      <c r="R669" s="350"/>
    </row>
    <row r="670" spans="1:18" s="105" customFormat="1" ht="15" customHeight="1">
      <c r="A670" s="106">
        <v>80105</v>
      </c>
      <c r="B670" s="261" t="s">
        <v>14</v>
      </c>
      <c r="C670" s="108">
        <f>SUM(C671:C686)</f>
        <v>598100</v>
      </c>
      <c r="D670" s="86">
        <f t="shared" si="82"/>
        <v>600283</v>
      </c>
      <c r="E670" s="75">
        <f>H670+K670+Q670+N670</f>
        <v>327538</v>
      </c>
      <c r="F670" s="451">
        <f aca="true" t="shared" si="85" ref="F670:F733">E670/D670*100</f>
        <v>54.563930679362905</v>
      </c>
      <c r="G670" s="75"/>
      <c r="H670" s="110"/>
      <c r="I670" s="473"/>
      <c r="J670" s="110"/>
      <c r="K670" s="75"/>
      <c r="L670" s="406"/>
      <c r="M670" s="75">
        <f>SUM(M671:M686)</f>
        <v>600283</v>
      </c>
      <c r="N670" s="75">
        <f>SUM(N671:N686)</f>
        <v>327538</v>
      </c>
      <c r="O670" s="301">
        <f aca="true" t="shared" si="86" ref="O670:O686">N670/M670*100</f>
        <v>54.563930679362905</v>
      </c>
      <c r="P670" s="75"/>
      <c r="Q670" s="75"/>
      <c r="R670" s="360"/>
    </row>
    <row r="671" spans="1:18" s="105" customFormat="1" ht="36">
      <c r="A671" s="111">
        <v>3020</v>
      </c>
      <c r="B671" s="115" t="s">
        <v>259</v>
      </c>
      <c r="C671" s="79">
        <v>2000</v>
      </c>
      <c r="D671" s="65">
        <f t="shared" si="82"/>
        <v>2000</v>
      </c>
      <c r="E671" s="80">
        <f aca="true" t="shared" si="87" ref="E671:E681">SUM(H671+K671+N671+Q671)</f>
        <v>143</v>
      </c>
      <c r="F671" s="452">
        <f t="shared" si="85"/>
        <v>7.1499999999999995</v>
      </c>
      <c r="G671" s="80"/>
      <c r="H671" s="113"/>
      <c r="I671" s="450"/>
      <c r="J671" s="113"/>
      <c r="K671" s="80"/>
      <c r="L671" s="379"/>
      <c r="M671" s="79">
        <v>2000</v>
      </c>
      <c r="N671" s="95">
        <f>144-1+1-1</f>
        <v>143</v>
      </c>
      <c r="O671" s="426">
        <f t="shared" si="86"/>
        <v>7.1499999999999995</v>
      </c>
      <c r="P671" s="80"/>
      <c r="Q671" s="80"/>
      <c r="R671" s="350"/>
    </row>
    <row r="672" spans="1:18" s="105" customFormat="1" ht="24">
      <c r="A672" s="111">
        <v>4010</v>
      </c>
      <c r="B672" s="262" t="s">
        <v>471</v>
      </c>
      <c r="C672" s="79">
        <v>428000</v>
      </c>
      <c r="D672" s="65">
        <f t="shared" si="82"/>
        <v>428000</v>
      </c>
      <c r="E672" s="80">
        <f t="shared" si="87"/>
        <v>225179</v>
      </c>
      <c r="F672" s="452">
        <f t="shared" si="85"/>
        <v>52.61191588785047</v>
      </c>
      <c r="G672" s="80"/>
      <c r="H672" s="113"/>
      <c r="I672" s="450"/>
      <c r="J672" s="113"/>
      <c r="K672" s="80"/>
      <c r="L672" s="379"/>
      <c r="M672" s="79">
        <v>428000</v>
      </c>
      <c r="N672" s="80">
        <v>225179</v>
      </c>
      <c r="O672" s="426">
        <f t="shared" si="86"/>
        <v>52.61191588785047</v>
      </c>
      <c r="P672" s="80"/>
      <c r="Q672" s="80"/>
      <c r="R672" s="350"/>
    </row>
    <row r="673" spans="1:18" s="105" customFormat="1" ht="24">
      <c r="A673" s="111">
        <v>4040</v>
      </c>
      <c r="B673" s="262" t="s">
        <v>475</v>
      </c>
      <c r="C673" s="79">
        <v>33200</v>
      </c>
      <c r="D673" s="65">
        <f t="shared" si="82"/>
        <v>33200</v>
      </c>
      <c r="E673" s="80">
        <f t="shared" si="87"/>
        <v>33200</v>
      </c>
      <c r="F673" s="452">
        <f t="shared" si="85"/>
        <v>100</v>
      </c>
      <c r="G673" s="80"/>
      <c r="H673" s="113"/>
      <c r="I673" s="450"/>
      <c r="J673" s="113"/>
      <c r="K673" s="80"/>
      <c r="L673" s="379"/>
      <c r="M673" s="79">
        <v>33200</v>
      </c>
      <c r="N673" s="80">
        <v>33200</v>
      </c>
      <c r="O673" s="426">
        <f t="shared" si="86"/>
        <v>100</v>
      </c>
      <c r="P673" s="80"/>
      <c r="Q673" s="80"/>
      <c r="R673" s="350"/>
    </row>
    <row r="674" spans="1:18" s="105" customFormat="1" ht="24">
      <c r="A674" s="111">
        <v>4110</v>
      </c>
      <c r="B674" s="262" t="s">
        <v>477</v>
      </c>
      <c r="C674" s="79">
        <v>69000</v>
      </c>
      <c r="D674" s="65">
        <f t="shared" si="82"/>
        <v>69000</v>
      </c>
      <c r="E674" s="80">
        <f t="shared" si="87"/>
        <v>38553</v>
      </c>
      <c r="F674" s="452">
        <f t="shared" si="85"/>
        <v>55.87391304347826</v>
      </c>
      <c r="G674" s="80"/>
      <c r="H674" s="113"/>
      <c r="I674" s="450"/>
      <c r="J674" s="113"/>
      <c r="K674" s="80"/>
      <c r="L674" s="379"/>
      <c r="M674" s="79">
        <v>69000</v>
      </c>
      <c r="N674" s="80">
        <v>38553</v>
      </c>
      <c r="O674" s="426">
        <f t="shared" si="86"/>
        <v>55.87391304347826</v>
      </c>
      <c r="P674" s="80"/>
      <c r="Q674" s="80"/>
      <c r="R674" s="350"/>
    </row>
    <row r="675" spans="1:18" s="105" customFormat="1" ht="12.75">
      <c r="A675" s="111">
        <v>4120</v>
      </c>
      <c r="B675" s="262" t="s">
        <v>547</v>
      </c>
      <c r="C675" s="79">
        <v>11200</v>
      </c>
      <c r="D675" s="65">
        <f t="shared" si="82"/>
        <v>11200</v>
      </c>
      <c r="E675" s="80">
        <f t="shared" si="87"/>
        <v>5806</v>
      </c>
      <c r="F675" s="452">
        <f t="shared" si="85"/>
        <v>51.83928571428571</v>
      </c>
      <c r="G675" s="80"/>
      <c r="H675" s="113"/>
      <c r="I675" s="450"/>
      <c r="J675" s="113"/>
      <c r="K675" s="80"/>
      <c r="L675" s="379"/>
      <c r="M675" s="79">
        <v>11200</v>
      </c>
      <c r="N675" s="80">
        <v>5806</v>
      </c>
      <c r="O675" s="426">
        <f t="shared" si="86"/>
        <v>51.83928571428571</v>
      </c>
      <c r="P675" s="80"/>
      <c r="Q675" s="80"/>
      <c r="R675" s="350"/>
    </row>
    <row r="676" spans="1:18" s="105" customFormat="1" ht="24">
      <c r="A676" s="111">
        <v>4210</v>
      </c>
      <c r="B676" s="262" t="s">
        <v>481</v>
      </c>
      <c r="C676" s="79">
        <v>7000</v>
      </c>
      <c r="D676" s="65">
        <f t="shared" si="82"/>
        <v>8000</v>
      </c>
      <c r="E676" s="80">
        <f t="shared" si="87"/>
        <v>2285</v>
      </c>
      <c r="F676" s="452">
        <f t="shared" si="85"/>
        <v>28.5625</v>
      </c>
      <c r="G676" s="80"/>
      <c r="H676" s="113"/>
      <c r="I676" s="450"/>
      <c r="J676" s="113"/>
      <c r="K676" s="80"/>
      <c r="L676" s="379"/>
      <c r="M676" s="79">
        <f>7000+1000</f>
        <v>8000</v>
      </c>
      <c r="N676" s="80">
        <v>2285</v>
      </c>
      <c r="O676" s="426">
        <f t="shared" si="86"/>
        <v>28.5625</v>
      </c>
      <c r="P676" s="80"/>
      <c r="Q676" s="80"/>
      <c r="R676" s="350"/>
    </row>
    <row r="677" spans="1:18" s="105" customFormat="1" ht="26.25" customHeight="1">
      <c r="A677" s="111">
        <v>4240</v>
      </c>
      <c r="B677" s="262" t="s">
        <v>539</v>
      </c>
      <c r="C677" s="79">
        <v>1000</v>
      </c>
      <c r="D677" s="65">
        <f t="shared" si="82"/>
        <v>1000</v>
      </c>
      <c r="E677" s="80">
        <f t="shared" si="87"/>
        <v>0</v>
      </c>
      <c r="F677" s="452">
        <f t="shared" si="85"/>
        <v>0</v>
      </c>
      <c r="G677" s="80"/>
      <c r="H677" s="113"/>
      <c r="I677" s="450"/>
      <c r="J677" s="113"/>
      <c r="K677" s="80"/>
      <c r="L677" s="379"/>
      <c r="M677" s="79">
        <v>1000</v>
      </c>
      <c r="N677" s="80"/>
      <c r="O677" s="426">
        <f t="shared" si="86"/>
        <v>0</v>
      </c>
      <c r="P677" s="80"/>
      <c r="Q677" s="80"/>
      <c r="R677" s="350"/>
    </row>
    <row r="678" spans="1:18" s="105" customFormat="1" ht="12.75">
      <c r="A678" s="111">
        <v>4260</v>
      </c>
      <c r="B678" s="262" t="s">
        <v>485</v>
      </c>
      <c r="C678" s="79">
        <v>20000</v>
      </c>
      <c r="D678" s="65">
        <f t="shared" si="82"/>
        <v>20000</v>
      </c>
      <c r="E678" s="80">
        <f t="shared" si="87"/>
        <v>6280</v>
      </c>
      <c r="F678" s="452">
        <f t="shared" si="85"/>
        <v>31.4</v>
      </c>
      <c r="G678" s="80"/>
      <c r="H678" s="113"/>
      <c r="I678" s="450"/>
      <c r="J678" s="113"/>
      <c r="K678" s="80"/>
      <c r="L678" s="379"/>
      <c r="M678" s="79">
        <v>20000</v>
      </c>
      <c r="N678" s="80">
        <v>6280</v>
      </c>
      <c r="O678" s="426">
        <f t="shared" si="86"/>
        <v>31.4</v>
      </c>
      <c r="P678" s="80"/>
      <c r="Q678" s="80"/>
      <c r="R678" s="350"/>
    </row>
    <row r="679" spans="1:18" s="105" customFormat="1" ht="15" customHeight="1">
      <c r="A679" s="111">
        <v>4270</v>
      </c>
      <c r="B679" s="262" t="s">
        <v>487</v>
      </c>
      <c r="C679" s="79">
        <v>2000</v>
      </c>
      <c r="D679" s="65">
        <f t="shared" si="82"/>
        <v>2000</v>
      </c>
      <c r="E679" s="80">
        <f t="shared" si="87"/>
        <v>0</v>
      </c>
      <c r="F679" s="452">
        <f t="shared" si="85"/>
        <v>0</v>
      </c>
      <c r="G679" s="80"/>
      <c r="H679" s="113"/>
      <c r="I679" s="450"/>
      <c r="J679" s="113"/>
      <c r="K679" s="80"/>
      <c r="L679" s="379"/>
      <c r="M679" s="79">
        <v>2000</v>
      </c>
      <c r="N679" s="80"/>
      <c r="O679" s="426">
        <f t="shared" si="86"/>
        <v>0</v>
      </c>
      <c r="P679" s="80"/>
      <c r="Q679" s="80"/>
      <c r="R679" s="350"/>
    </row>
    <row r="680" spans="1:18" s="105" customFormat="1" ht="15" customHeight="1">
      <c r="A680" s="111">
        <v>4280</v>
      </c>
      <c r="B680" s="115" t="s">
        <v>520</v>
      </c>
      <c r="C680" s="79">
        <v>500</v>
      </c>
      <c r="D680" s="65">
        <f t="shared" si="82"/>
        <v>500</v>
      </c>
      <c r="E680" s="80">
        <f t="shared" si="87"/>
        <v>0</v>
      </c>
      <c r="F680" s="452">
        <f t="shared" si="85"/>
        <v>0</v>
      </c>
      <c r="G680" s="80"/>
      <c r="H680" s="113"/>
      <c r="I680" s="450"/>
      <c r="J680" s="113"/>
      <c r="K680" s="80"/>
      <c r="L680" s="379"/>
      <c r="M680" s="79">
        <v>500</v>
      </c>
      <c r="N680" s="80"/>
      <c r="O680" s="426">
        <f t="shared" si="86"/>
        <v>0</v>
      </c>
      <c r="P680" s="80"/>
      <c r="Q680" s="80"/>
      <c r="R680" s="350"/>
    </row>
    <row r="681" spans="1:18" s="105" customFormat="1" ht="15" customHeight="1">
      <c r="A681" s="111">
        <v>4300</v>
      </c>
      <c r="B681" s="262" t="s">
        <v>489</v>
      </c>
      <c r="C681" s="79">
        <v>3000</v>
      </c>
      <c r="D681" s="65">
        <f t="shared" si="82"/>
        <v>3000</v>
      </c>
      <c r="E681" s="80">
        <f t="shared" si="87"/>
        <v>318</v>
      </c>
      <c r="F681" s="452">
        <f t="shared" si="85"/>
        <v>10.6</v>
      </c>
      <c r="G681" s="80"/>
      <c r="H681" s="113"/>
      <c r="I681" s="450"/>
      <c r="J681" s="113"/>
      <c r="K681" s="80"/>
      <c r="L681" s="379"/>
      <c r="M681" s="79">
        <v>3000</v>
      </c>
      <c r="N681" s="80">
        <v>318</v>
      </c>
      <c r="O681" s="426">
        <f t="shared" si="86"/>
        <v>10.6</v>
      </c>
      <c r="P681" s="80"/>
      <c r="Q681" s="80"/>
      <c r="R681" s="350"/>
    </row>
    <row r="682" spans="1:18" s="105" customFormat="1" ht="39" customHeight="1">
      <c r="A682" s="159">
        <v>4370</v>
      </c>
      <c r="B682" s="326" t="s">
        <v>296</v>
      </c>
      <c r="C682" s="79">
        <v>1000</v>
      </c>
      <c r="D682" s="65">
        <f t="shared" si="82"/>
        <v>1000</v>
      </c>
      <c r="E682" s="80">
        <f>SUM(H682+K682+N682+Q682)</f>
        <v>138</v>
      </c>
      <c r="F682" s="452">
        <f t="shared" si="85"/>
        <v>13.8</v>
      </c>
      <c r="G682" s="80"/>
      <c r="H682" s="113"/>
      <c r="I682" s="450"/>
      <c r="J682" s="113"/>
      <c r="K682" s="80"/>
      <c r="L682" s="379"/>
      <c r="M682" s="79">
        <v>1000</v>
      </c>
      <c r="N682" s="80">
        <v>138</v>
      </c>
      <c r="O682" s="426">
        <f t="shared" si="86"/>
        <v>13.8</v>
      </c>
      <c r="P682" s="80"/>
      <c r="Q682" s="80"/>
      <c r="R682" s="350"/>
    </row>
    <row r="683" spans="1:18" s="105" customFormat="1" ht="15" customHeight="1">
      <c r="A683" s="111">
        <v>4440</v>
      </c>
      <c r="B683" s="276" t="s">
        <v>493</v>
      </c>
      <c r="C683" s="79">
        <v>18400</v>
      </c>
      <c r="D683" s="65">
        <f t="shared" si="82"/>
        <v>19583</v>
      </c>
      <c r="E683" s="80">
        <f>SUM(H683+K683+N683+Q683)</f>
        <v>15000</v>
      </c>
      <c r="F683" s="452">
        <f t="shared" si="85"/>
        <v>76.59704846039934</v>
      </c>
      <c r="G683" s="80"/>
      <c r="H683" s="113"/>
      <c r="I683" s="450"/>
      <c r="J683" s="113"/>
      <c r="K683" s="80"/>
      <c r="L683" s="379"/>
      <c r="M683" s="79">
        <f>18400+1183</f>
        <v>19583</v>
      </c>
      <c r="N683" s="80">
        <v>15000</v>
      </c>
      <c r="O683" s="426">
        <f t="shared" si="86"/>
        <v>76.59704846039934</v>
      </c>
      <c r="P683" s="80"/>
      <c r="Q683" s="80"/>
      <c r="R683" s="350"/>
    </row>
    <row r="684" spans="1:18" s="105" customFormat="1" ht="36">
      <c r="A684" s="159">
        <v>4700</v>
      </c>
      <c r="B684" s="326" t="s">
        <v>284</v>
      </c>
      <c r="C684" s="79">
        <v>800</v>
      </c>
      <c r="D684" s="65">
        <f t="shared" si="82"/>
        <v>800</v>
      </c>
      <c r="E684" s="80">
        <f>SUM(H684+K684+N684+Q684)</f>
        <v>390</v>
      </c>
      <c r="F684" s="452">
        <f t="shared" si="85"/>
        <v>48.75</v>
      </c>
      <c r="G684" s="80"/>
      <c r="H684" s="113"/>
      <c r="I684" s="450"/>
      <c r="J684" s="113"/>
      <c r="K684" s="80"/>
      <c r="L684" s="379"/>
      <c r="M684" s="79">
        <v>800</v>
      </c>
      <c r="N684" s="80">
        <v>390</v>
      </c>
      <c r="O684" s="426">
        <f t="shared" si="86"/>
        <v>48.75</v>
      </c>
      <c r="P684" s="80"/>
      <c r="Q684" s="80"/>
      <c r="R684" s="350"/>
    </row>
    <row r="685" spans="1:18" s="105" customFormat="1" ht="51" customHeight="1">
      <c r="A685" s="159">
        <v>4740</v>
      </c>
      <c r="B685" s="326" t="s">
        <v>288</v>
      </c>
      <c r="C685" s="79">
        <v>500</v>
      </c>
      <c r="D685" s="65">
        <f>G685+J685+P685+M685</f>
        <v>500</v>
      </c>
      <c r="E685" s="80">
        <f>SUM(H685+K685+N685+Q685)</f>
        <v>0</v>
      </c>
      <c r="F685" s="452">
        <f>E685/D685*100</f>
        <v>0</v>
      </c>
      <c r="G685" s="80"/>
      <c r="H685" s="113"/>
      <c r="I685" s="450"/>
      <c r="J685" s="113"/>
      <c r="K685" s="80"/>
      <c r="L685" s="379"/>
      <c r="M685" s="79">
        <v>500</v>
      </c>
      <c r="N685" s="80"/>
      <c r="O685" s="426">
        <f t="shared" si="86"/>
        <v>0</v>
      </c>
      <c r="P685" s="80"/>
      <c r="Q685" s="80"/>
      <c r="R685" s="350"/>
    </row>
    <row r="686" spans="1:18" s="105" customFormat="1" ht="36">
      <c r="A686" s="184">
        <v>4750</v>
      </c>
      <c r="B686" s="185" t="s">
        <v>289</v>
      </c>
      <c r="C686" s="147">
        <v>500</v>
      </c>
      <c r="D686" s="148">
        <f t="shared" si="82"/>
        <v>500</v>
      </c>
      <c r="E686" s="142">
        <f>SUM(H686+K686+N686+Q686)</f>
        <v>246</v>
      </c>
      <c r="F686" s="453">
        <f t="shared" si="85"/>
        <v>49.2</v>
      </c>
      <c r="G686" s="142"/>
      <c r="H686" s="149"/>
      <c r="I686" s="463"/>
      <c r="J686" s="149"/>
      <c r="K686" s="142"/>
      <c r="L686" s="404"/>
      <c r="M686" s="147">
        <v>500</v>
      </c>
      <c r="N686" s="142">
        <v>246</v>
      </c>
      <c r="O686" s="446">
        <f t="shared" si="86"/>
        <v>49.2</v>
      </c>
      <c r="P686" s="142"/>
      <c r="Q686" s="142"/>
      <c r="R686" s="354"/>
    </row>
    <row r="687" spans="1:18" ht="12.75">
      <c r="A687" s="106">
        <v>80110</v>
      </c>
      <c r="B687" s="172" t="s">
        <v>16</v>
      </c>
      <c r="C687" s="108">
        <f>SUM(C688:C714)</f>
        <v>21963000</v>
      </c>
      <c r="D687" s="86">
        <f t="shared" si="82"/>
        <v>21985533</v>
      </c>
      <c r="E687" s="86">
        <f>H687+K687+Q687+N687</f>
        <v>11867865</v>
      </c>
      <c r="F687" s="506">
        <f t="shared" si="85"/>
        <v>53.98033788855607</v>
      </c>
      <c r="G687" s="108">
        <f>SUM(G688:G714)</f>
        <v>21985533</v>
      </c>
      <c r="H687" s="110">
        <f>SUM(H688:H714)</f>
        <v>11867865</v>
      </c>
      <c r="I687" s="432">
        <f t="shared" si="84"/>
        <v>53.98033788855607</v>
      </c>
      <c r="J687" s="110"/>
      <c r="K687" s="75"/>
      <c r="L687" s="406"/>
      <c r="M687" s="75"/>
      <c r="N687" s="75"/>
      <c r="O687" s="369"/>
      <c r="P687" s="108"/>
      <c r="Q687" s="75"/>
      <c r="R687" s="360"/>
    </row>
    <row r="688" spans="1:18" s="105" customFormat="1" ht="39" customHeight="1">
      <c r="A688" s="111">
        <v>2540</v>
      </c>
      <c r="B688" s="115" t="s">
        <v>5</v>
      </c>
      <c r="C688" s="79">
        <v>600000</v>
      </c>
      <c r="D688" s="65">
        <f t="shared" si="82"/>
        <v>600000</v>
      </c>
      <c r="E688" s="80">
        <f>SUM(H688+K688+N688+Q688)</f>
        <v>289046</v>
      </c>
      <c r="F688" s="452">
        <f t="shared" si="85"/>
        <v>48.17433333333334</v>
      </c>
      <c r="G688" s="79">
        <v>600000</v>
      </c>
      <c r="H688" s="80">
        <v>289046</v>
      </c>
      <c r="I688" s="426">
        <f t="shared" si="84"/>
        <v>48.17433333333334</v>
      </c>
      <c r="J688" s="113"/>
      <c r="K688" s="80"/>
      <c r="L688" s="379"/>
      <c r="M688" s="80"/>
      <c r="N688" s="80"/>
      <c r="O688" s="356"/>
      <c r="P688" s="79"/>
      <c r="Q688" s="80"/>
      <c r="R688" s="350"/>
    </row>
    <row r="689" spans="1:18" ht="36">
      <c r="A689" s="111">
        <v>3020</v>
      </c>
      <c r="B689" s="115" t="s">
        <v>259</v>
      </c>
      <c r="C689" s="79">
        <v>76100</v>
      </c>
      <c r="D689" s="65">
        <f t="shared" si="82"/>
        <v>76100</v>
      </c>
      <c r="E689" s="80">
        <f>SUM(H689+K689+N689+Q689)</f>
        <v>18912</v>
      </c>
      <c r="F689" s="452">
        <f t="shared" si="85"/>
        <v>24.8515111695138</v>
      </c>
      <c r="G689" s="79">
        <v>76100</v>
      </c>
      <c r="H689" s="80">
        <v>18912</v>
      </c>
      <c r="I689" s="426">
        <f t="shared" si="84"/>
        <v>24.8515111695138</v>
      </c>
      <c r="J689" s="113"/>
      <c r="K689" s="80"/>
      <c r="L689" s="379"/>
      <c r="M689" s="80"/>
      <c r="N689" s="80"/>
      <c r="O689" s="356"/>
      <c r="P689" s="79"/>
      <c r="Q689" s="80"/>
      <c r="R689" s="350"/>
    </row>
    <row r="690" spans="1:18" ht="24">
      <c r="A690" s="111">
        <v>4010</v>
      </c>
      <c r="B690" s="115" t="s">
        <v>471</v>
      </c>
      <c r="C690" s="79">
        <v>13882800</v>
      </c>
      <c r="D690" s="65">
        <f t="shared" si="82"/>
        <v>13880500</v>
      </c>
      <c r="E690" s="80">
        <f>SUM(H690+K690+N690+Q690)</f>
        <v>7100954</v>
      </c>
      <c r="F690" s="452">
        <f t="shared" si="85"/>
        <v>51.15776809192752</v>
      </c>
      <c r="G690" s="79">
        <f>13882800-2300</f>
        <v>13880500</v>
      </c>
      <c r="H690" s="80">
        <v>7100954</v>
      </c>
      <c r="I690" s="426">
        <f t="shared" si="84"/>
        <v>51.15776809192752</v>
      </c>
      <c r="J690" s="113"/>
      <c r="K690" s="80"/>
      <c r="L690" s="379"/>
      <c r="M690" s="80"/>
      <c r="N690" s="80"/>
      <c r="O690" s="356"/>
      <c r="P690" s="79"/>
      <c r="Q690" s="80"/>
      <c r="R690" s="350"/>
    </row>
    <row r="691" spans="1:18" ht="25.5" customHeight="1">
      <c r="A691" s="111">
        <v>4040</v>
      </c>
      <c r="B691" s="115" t="s">
        <v>516</v>
      </c>
      <c r="C691" s="79">
        <v>1092600</v>
      </c>
      <c r="D691" s="65">
        <f t="shared" si="82"/>
        <v>1064455</v>
      </c>
      <c r="E691" s="80">
        <f>SUM(H691+K691+N691+Q691)</f>
        <v>1064434</v>
      </c>
      <c r="F691" s="452">
        <f t="shared" si="85"/>
        <v>99.9980271594384</v>
      </c>
      <c r="G691" s="79">
        <f>1092600-27145-1000</f>
        <v>1064455</v>
      </c>
      <c r="H691" s="80">
        <f>1064433+1</f>
        <v>1064434</v>
      </c>
      <c r="I691" s="426">
        <f t="shared" si="84"/>
        <v>99.9980271594384</v>
      </c>
      <c r="J691" s="113"/>
      <c r="K691" s="80"/>
      <c r="L691" s="379"/>
      <c r="M691" s="80"/>
      <c r="N691" s="80"/>
      <c r="O691" s="356"/>
      <c r="P691" s="79"/>
      <c r="Q691" s="80"/>
      <c r="R691" s="350"/>
    </row>
    <row r="692" spans="1:18" ht="24">
      <c r="A692" s="111">
        <v>4110</v>
      </c>
      <c r="B692" s="115" t="s">
        <v>477</v>
      </c>
      <c r="C692" s="79">
        <v>2437500</v>
      </c>
      <c r="D692" s="65">
        <f t="shared" si="82"/>
        <v>2437500</v>
      </c>
      <c r="E692" s="80">
        <f aca="true" t="shared" si="88" ref="E692:E713">SUM(H692+K692+N692+Q692)</f>
        <v>1208401</v>
      </c>
      <c r="F692" s="452">
        <f t="shared" si="85"/>
        <v>49.57542564102564</v>
      </c>
      <c r="G692" s="79">
        <v>2437500</v>
      </c>
      <c r="H692" s="80">
        <v>1208401</v>
      </c>
      <c r="I692" s="426">
        <f t="shared" si="84"/>
        <v>49.57542564102564</v>
      </c>
      <c r="J692" s="113"/>
      <c r="K692" s="80"/>
      <c r="L692" s="379"/>
      <c r="M692" s="80"/>
      <c r="N692" s="80"/>
      <c r="O692" s="356"/>
      <c r="P692" s="79"/>
      <c r="Q692" s="80"/>
      <c r="R692" s="350"/>
    </row>
    <row r="693" spans="1:18" ht="12.75">
      <c r="A693" s="111">
        <v>4120</v>
      </c>
      <c r="B693" s="115" t="s">
        <v>547</v>
      </c>
      <c r="C693" s="79">
        <v>368500</v>
      </c>
      <c r="D693" s="65">
        <f t="shared" si="82"/>
        <v>368500</v>
      </c>
      <c r="E693" s="65">
        <f t="shared" si="88"/>
        <v>185063</v>
      </c>
      <c r="F693" s="452">
        <f t="shared" si="85"/>
        <v>50.22062415196743</v>
      </c>
      <c r="G693" s="79">
        <v>368500</v>
      </c>
      <c r="H693" s="80">
        <v>185063</v>
      </c>
      <c r="I693" s="426">
        <f t="shared" si="84"/>
        <v>50.22062415196743</v>
      </c>
      <c r="J693" s="113"/>
      <c r="K693" s="80"/>
      <c r="L693" s="379"/>
      <c r="M693" s="80"/>
      <c r="N693" s="80"/>
      <c r="O693" s="356"/>
      <c r="P693" s="79"/>
      <c r="Q693" s="80"/>
      <c r="R693" s="350"/>
    </row>
    <row r="694" spans="1:18" s="105" customFormat="1" ht="12.75">
      <c r="A694" s="111">
        <v>4140</v>
      </c>
      <c r="B694" s="115" t="s">
        <v>519</v>
      </c>
      <c r="C694" s="79">
        <v>67800</v>
      </c>
      <c r="D694" s="65">
        <f t="shared" si="82"/>
        <v>67800</v>
      </c>
      <c r="E694" s="65">
        <f t="shared" si="88"/>
        <v>33632</v>
      </c>
      <c r="F694" s="452">
        <f t="shared" si="85"/>
        <v>49.604719764011804</v>
      </c>
      <c r="G694" s="79">
        <v>67800</v>
      </c>
      <c r="H694" s="80">
        <v>33632</v>
      </c>
      <c r="I694" s="426">
        <f t="shared" si="84"/>
        <v>49.604719764011804</v>
      </c>
      <c r="J694" s="113"/>
      <c r="K694" s="80"/>
      <c r="L694" s="379"/>
      <c r="M694" s="80"/>
      <c r="N694" s="80"/>
      <c r="O694" s="356"/>
      <c r="P694" s="79"/>
      <c r="Q694" s="80"/>
      <c r="R694" s="350"/>
    </row>
    <row r="695" spans="1:18" s="105" customFormat="1" ht="24">
      <c r="A695" s="111">
        <v>4170</v>
      </c>
      <c r="B695" s="115" t="s">
        <v>511</v>
      </c>
      <c r="C695" s="79"/>
      <c r="D695" s="65">
        <f t="shared" si="82"/>
        <v>6950</v>
      </c>
      <c r="E695" s="65">
        <f>SUM(H695+K695+N695+Q695)</f>
        <v>4650</v>
      </c>
      <c r="F695" s="452">
        <f t="shared" si="85"/>
        <v>66.90647482014388</v>
      </c>
      <c r="G695" s="79">
        <v>6950</v>
      </c>
      <c r="H695" s="80">
        <v>4650</v>
      </c>
      <c r="I695" s="426">
        <f t="shared" si="84"/>
        <v>66.90647482014388</v>
      </c>
      <c r="J695" s="113"/>
      <c r="K695" s="80"/>
      <c r="L695" s="379"/>
      <c r="M695" s="80"/>
      <c r="N695" s="80"/>
      <c r="O695" s="356"/>
      <c r="P695" s="79"/>
      <c r="Q695" s="80"/>
      <c r="R695" s="350"/>
    </row>
    <row r="696" spans="1:18" ht="24">
      <c r="A696" s="111">
        <v>4210</v>
      </c>
      <c r="B696" s="115" t="s">
        <v>481</v>
      </c>
      <c r="C696" s="79">
        <v>364100</v>
      </c>
      <c r="D696" s="65">
        <f t="shared" si="82"/>
        <v>369800</v>
      </c>
      <c r="E696" s="80">
        <f t="shared" si="88"/>
        <v>215863</v>
      </c>
      <c r="F696" s="452">
        <f t="shared" si="85"/>
        <v>58.372904272579774</v>
      </c>
      <c r="G696" s="79">
        <f>364100+4000+1700</f>
        <v>369800</v>
      </c>
      <c r="H696" s="80">
        <v>215863</v>
      </c>
      <c r="I696" s="426">
        <f t="shared" si="84"/>
        <v>58.372904272579774</v>
      </c>
      <c r="J696" s="113"/>
      <c r="K696" s="80"/>
      <c r="L696" s="379"/>
      <c r="M696" s="80"/>
      <c r="N696" s="80"/>
      <c r="O696" s="356"/>
      <c r="P696" s="79"/>
      <c r="Q696" s="80"/>
      <c r="R696" s="350"/>
    </row>
    <row r="697" spans="1:18" ht="36">
      <c r="A697" s="111">
        <v>4240</v>
      </c>
      <c r="B697" s="115" t="s">
        <v>6</v>
      </c>
      <c r="C697" s="79">
        <v>42400</v>
      </c>
      <c r="D697" s="65">
        <f t="shared" si="82"/>
        <v>47400</v>
      </c>
      <c r="E697" s="80">
        <f t="shared" si="88"/>
        <v>18826</v>
      </c>
      <c r="F697" s="452">
        <f t="shared" si="85"/>
        <v>39.71729957805907</v>
      </c>
      <c r="G697" s="79">
        <f>42400+5000</f>
        <v>47400</v>
      </c>
      <c r="H697" s="80">
        <v>18826</v>
      </c>
      <c r="I697" s="426">
        <f t="shared" si="84"/>
        <v>39.71729957805907</v>
      </c>
      <c r="J697" s="113"/>
      <c r="K697" s="80"/>
      <c r="L697" s="379"/>
      <c r="M697" s="80"/>
      <c r="N697" s="80"/>
      <c r="O697" s="356"/>
      <c r="P697" s="79"/>
      <c r="Q697" s="80"/>
      <c r="R697" s="350"/>
    </row>
    <row r="698" spans="1:18" ht="12.75">
      <c r="A698" s="111">
        <v>4260</v>
      </c>
      <c r="B698" s="192" t="s">
        <v>485</v>
      </c>
      <c r="C698" s="79">
        <v>1033800</v>
      </c>
      <c r="D698" s="65">
        <f t="shared" si="82"/>
        <v>1033800</v>
      </c>
      <c r="E698" s="80">
        <f t="shared" si="88"/>
        <v>676163</v>
      </c>
      <c r="F698" s="452">
        <f t="shared" si="85"/>
        <v>65.40559102340879</v>
      </c>
      <c r="G698" s="79">
        <v>1033800</v>
      </c>
      <c r="H698" s="80">
        <v>676163</v>
      </c>
      <c r="I698" s="426">
        <f t="shared" si="84"/>
        <v>65.40559102340879</v>
      </c>
      <c r="J698" s="113"/>
      <c r="K698" s="80"/>
      <c r="L698" s="379"/>
      <c r="M698" s="80"/>
      <c r="N698" s="80"/>
      <c r="O698" s="356"/>
      <c r="P698" s="79"/>
      <c r="Q698" s="80"/>
      <c r="R698" s="350"/>
    </row>
    <row r="699" spans="1:18" ht="16.5" customHeight="1">
      <c r="A699" s="111">
        <v>4270</v>
      </c>
      <c r="B699" s="115" t="s">
        <v>487</v>
      </c>
      <c r="C699" s="79">
        <v>50300</v>
      </c>
      <c r="D699" s="65">
        <f t="shared" si="82"/>
        <v>61400</v>
      </c>
      <c r="E699" s="80">
        <f t="shared" si="88"/>
        <v>20983</v>
      </c>
      <c r="F699" s="452">
        <f t="shared" si="85"/>
        <v>34.174267100977204</v>
      </c>
      <c r="G699" s="79">
        <f>50300+11100</f>
        <v>61400</v>
      </c>
      <c r="H699" s="80">
        <v>20983</v>
      </c>
      <c r="I699" s="426">
        <f t="shared" si="84"/>
        <v>34.174267100977204</v>
      </c>
      <c r="J699" s="113"/>
      <c r="K699" s="80"/>
      <c r="L699" s="379"/>
      <c r="M699" s="80"/>
      <c r="N699" s="80"/>
      <c r="O699" s="356"/>
      <c r="P699" s="79"/>
      <c r="Q699" s="80"/>
      <c r="R699" s="350"/>
    </row>
    <row r="700" spans="1:18" ht="18.75" customHeight="1">
      <c r="A700" s="111">
        <v>4280</v>
      </c>
      <c r="B700" s="115" t="s">
        <v>520</v>
      </c>
      <c r="C700" s="79">
        <v>15200</v>
      </c>
      <c r="D700" s="65">
        <f t="shared" si="82"/>
        <v>15200</v>
      </c>
      <c r="E700" s="80">
        <f t="shared" si="88"/>
        <v>3290</v>
      </c>
      <c r="F700" s="452">
        <f t="shared" si="85"/>
        <v>21.644736842105264</v>
      </c>
      <c r="G700" s="79">
        <v>15200</v>
      </c>
      <c r="H700" s="80">
        <v>3290</v>
      </c>
      <c r="I700" s="426">
        <f t="shared" si="84"/>
        <v>21.644736842105264</v>
      </c>
      <c r="J700" s="113"/>
      <c r="K700" s="80"/>
      <c r="L700" s="379"/>
      <c r="M700" s="80"/>
      <c r="N700" s="80"/>
      <c r="O700" s="356"/>
      <c r="P700" s="79"/>
      <c r="Q700" s="80"/>
      <c r="R700" s="350"/>
    </row>
    <row r="701" spans="1:18" ht="15" customHeight="1">
      <c r="A701" s="111">
        <v>4300</v>
      </c>
      <c r="B701" s="115" t="s">
        <v>489</v>
      </c>
      <c r="C701" s="79">
        <v>319400</v>
      </c>
      <c r="D701" s="65">
        <f t="shared" si="82"/>
        <v>316300</v>
      </c>
      <c r="E701" s="80">
        <f t="shared" si="88"/>
        <v>165904</v>
      </c>
      <c r="F701" s="452">
        <f t="shared" si="85"/>
        <v>52.45147012330066</v>
      </c>
      <c r="G701" s="79">
        <f>319400-3100</f>
        <v>316300</v>
      </c>
      <c r="H701" s="80">
        <v>165904</v>
      </c>
      <c r="I701" s="426">
        <f t="shared" si="84"/>
        <v>52.45147012330066</v>
      </c>
      <c r="J701" s="113"/>
      <c r="K701" s="80"/>
      <c r="L701" s="379"/>
      <c r="M701" s="80"/>
      <c r="N701" s="80"/>
      <c r="O701" s="356"/>
      <c r="P701" s="79"/>
      <c r="Q701" s="80"/>
      <c r="R701" s="350"/>
    </row>
    <row r="702" spans="1:18" ht="24">
      <c r="A702" s="111">
        <v>4350</v>
      </c>
      <c r="B702" s="115" t="s">
        <v>7</v>
      </c>
      <c r="C702" s="79">
        <v>8500</v>
      </c>
      <c r="D702" s="65">
        <f t="shared" si="82"/>
        <v>8500</v>
      </c>
      <c r="E702" s="80">
        <f t="shared" si="88"/>
        <v>2737</v>
      </c>
      <c r="F702" s="452">
        <f t="shared" si="85"/>
        <v>32.2</v>
      </c>
      <c r="G702" s="79">
        <v>8500</v>
      </c>
      <c r="H702" s="80">
        <v>2737</v>
      </c>
      <c r="I702" s="426">
        <f t="shared" si="84"/>
        <v>32.2</v>
      </c>
      <c r="J702" s="113"/>
      <c r="K702" s="80"/>
      <c r="L702" s="379"/>
      <c r="M702" s="80"/>
      <c r="N702" s="80"/>
      <c r="O702" s="356"/>
      <c r="P702" s="79"/>
      <c r="Q702" s="80"/>
      <c r="R702" s="350"/>
    </row>
    <row r="703" spans="1:18" ht="39" customHeight="1">
      <c r="A703" s="159">
        <v>4360</v>
      </c>
      <c r="B703" s="326" t="s">
        <v>295</v>
      </c>
      <c r="C703" s="79">
        <v>2400</v>
      </c>
      <c r="D703" s="65">
        <f t="shared" si="82"/>
        <v>2400</v>
      </c>
      <c r="E703" s="80">
        <f>SUM(H703+K703+N703+Q703)</f>
        <v>568</v>
      </c>
      <c r="F703" s="452">
        <f>E703/D703*100</f>
        <v>23.666666666666668</v>
      </c>
      <c r="G703" s="79">
        <v>2400</v>
      </c>
      <c r="H703" s="80">
        <v>568</v>
      </c>
      <c r="I703" s="426">
        <f t="shared" si="84"/>
        <v>23.666666666666668</v>
      </c>
      <c r="J703" s="113"/>
      <c r="K703" s="80"/>
      <c r="L703" s="379"/>
      <c r="M703" s="80"/>
      <c r="N703" s="80"/>
      <c r="O703" s="356"/>
      <c r="P703" s="79"/>
      <c r="Q703" s="80"/>
      <c r="R703" s="350"/>
    </row>
    <row r="704" spans="1:18" ht="39" customHeight="1">
      <c r="A704" s="159">
        <v>4370</v>
      </c>
      <c r="B704" s="326" t="s">
        <v>296</v>
      </c>
      <c r="C704" s="79">
        <v>46500</v>
      </c>
      <c r="D704" s="65">
        <f t="shared" si="82"/>
        <v>44800</v>
      </c>
      <c r="E704" s="80">
        <f>SUM(H704+K704+N704+Q704)</f>
        <v>15274</v>
      </c>
      <c r="F704" s="452">
        <f>E704/D704*100</f>
        <v>34.09375</v>
      </c>
      <c r="G704" s="79">
        <f>46500-1700</f>
        <v>44800</v>
      </c>
      <c r="H704" s="80">
        <v>15274</v>
      </c>
      <c r="I704" s="426">
        <f t="shared" si="84"/>
        <v>34.09375</v>
      </c>
      <c r="J704" s="113"/>
      <c r="K704" s="80"/>
      <c r="L704" s="379"/>
      <c r="M704" s="80"/>
      <c r="N704" s="80"/>
      <c r="O704" s="356"/>
      <c r="P704" s="79"/>
      <c r="Q704" s="80"/>
      <c r="R704" s="350"/>
    </row>
    <row r="705" spans="1:18" ht="36">
      <c r="A705" s="111">
        <v>4390</v>
      </c>
      <c r="B705" s="193" t="s">
        <v>271</v>
      </c>
      <c r="C705" s="79">
        <v>33900</v>
      </c>
      <c r="D705" s="65">
        <f t="shared" si="82"/>
        <v>32980</v>
      </c>
      <c r="E705" s="80">
        <f>SUM(H705+K705+N705+Q705)</f>
        <v>8664</v>
      </c>
      <c r="F705" s="452">
        <f>E705/D705*100</f>
        <v>26.270466949666467</v>
      </c>
      <c r="G705" s="79">
        <f>33900-920</f>
        <v>32980</v>
      </c>
      <c r="H705" s="80">
        <v>8664</v>
      </c>
      <c r="I705" s="426">
        <f t="shared" si="84"/>
        <v>26.270466949666467</v>
      </c>
      <c r="J705" s="113"/>
      <c r="K705" s="80"/>
      <c r="L705" s="379"/>
      <c r="M705" s="80"/>
      <c r="N705" s="80"/>
      <c r="O705" s="356"/>
      <c r="P705" s="79"/>
      <c r="Q705" s="80"/>
      <c r="R705" s="350"/>
    </row>
    <row r="706" spans="1:18" ht="24">
      <c r="A706" s="145">
        <v>4410</v>
      </c>
      <c r="B706" s="146" t="s">
        <v>463</v>
      </c>
      <c r="C706" s="147">
        <v>25400</v>
      </c>
      <c r="D706" s="148">
        <f t="shared" si="82"/>
        <v>27400</v>
      </c>
      <c r="E706" s="142">
        <f t="shared" si="88"/>
        <v>15738</v>
      </c>
      <c r="F706" s="453">
        <f t="shared" si="85"/>
        <v>57.43795620437956</v>
      </c>
      <c r="G706" s="147">
        <f>25400+2000</f>
        <v>27400</v>
      </c>
      <c r="H706" s="142">
        <v>15738</v>
      </c>
      <c r="I706" s="446">
        <f t="shared" si="84"/>
        <v>57.43795620437956</v>
      </c>
      <c r="J706" s="149"/>
      <c r="K706" s="142"/>
      <c r="L706" s="404"/>
      <c r="M706" s="142"/>
      <c r="N706" s="142"/>
      <c r="O706" s="375"/>
      <c r="P706" s="147"/>
      <c r="Q706" s="142"/>
      <c r="R706" s="354"/>
    </row>
    <row r="707" spans="1:18" ht="16.5" customHeight="1">
      <c r="A707" s="111">
        <v>4420</v>
      </c>
      <c r="B707" s="115" t="s">
        <v>532</v>
      </c>
      <c r="C707" s="79"/>
      <c r="D707" s="65">
        <f t="shared" si="82"/>
        <v>570</v>
      </c>
      <c r="E707" s="80">
        <f t="shared" si="88"/>
        <v>565</v>
      </c>
      <c r="F707" s="452">
        <f t="shared" si="85"/>
        <v>99.12280701754386</v>
      </c>
      <c r="G707" s="79">
        <v>570</v>
      </c>
      <c r="H707" s="80">
        <v>565</v>
      </c>
      <c r="I707" s="426">
        <f t="shared" si="84"/>
        <v>99.12280701754386</v>
      </c>
      <c r="J707" s="113"/>
      <c r="K707" s="80"/>
      <c r="L707" s="379"/>
      <c r="M707" s="80"/>
      <c r="N707" s="80"/>
      <c r="O707" s="356"/>
      <c r="P707" s="79"/>
      <c r="Q707" s="80"/>
      <c r="R707" s="350"/>
    </row>
    <row r="708" spans="1:18" ht="12.75">
      <c r="A708" s="111">
        <v>4430</v>
      </c>
      <c r="B708" s="115" t="s">
        <v>491</v>
      </c>
      <c r="C708" s="79">
        <v>600</v>
      </c>
      <c r="D708" s="65">
        <f t="shared" si="82"/>
        <v>600</v>
      </c>
      <c r="E708" s="80">
        <f>SUM(H708+K708+N708+Q708)</f>
        <v>273</v>
      </c>
      <c r="F708" s="452">
        <f>E708/D708*100</f>
        <v>45.5</v>
      </c>
      <c r="G708" s="79">
        <v>600</v>
      </c>
      <c r="H708" s="80">
        <v>273</v>
      </c>
      <c r="I708" s="426">
        <f t="shared" si="84"/>
        <v>45.5</v>
      </c>
      <c r="J708" s="113"/>
      <c r="K708" s="80"/>
      <c r="L708" s="379"/>
      <c r="M708" s="80"/>
      <c r="N708" s="80"/>
      <c r="O708" s="356"/>
      <c r="P708" s="79"/>
      <c r="Q708" s="80"/>
      <c r="R708" s="350"/>
    </row>
    <row r="709" spans="1:18" ht="12.75">
      <c r="A709" s="111">
        <v>4440</v>
      </c>
      <c r="B709" s="115" t="s">
        <v>493</v>
      </c>
      <c r="C709" s="79">
        <v>838100</v>
      </c>
      <c r="D709" s="65">
        <f t="shared" si="82"/>
        <v>863478</v>
      </c>
      <c r="E709" s="80">
        <f>SUM(H709+K709+N709+Q709)</f>
        <v>717820</v>
      </c>
      <c r="F709" s="452">
        <f>E709/D709*100</f>
        <v>83.1312436448873</v>
      </c>
      <c r="G709" s="79">
        <f>838100+25378</f>
        <v>863478</v>
      </c>
      <c r="H709" s="80">
        <v>717820</v>
      </c>
      <c r="I709" s="426">
        <f t="shared" si="84"/>
        <v>83.1312436448873</v>
      </c>
      <c r="J709" s="113"/>
      <c r="K709" s="80"/>
      <c r="L709" s="379"/>
      <c r="M709" s="80"/>
      <c r="N709" s="80"/>
      <c r="O709" s="356"/>
      <c r="P709" s="79"/>
      <c r="Q709" s="80"/>
      <c r="R709" s="350"/>
    </row>
    <row r="710" spans="1:18" s="105" customFormat="1" ht="36">
      <c r="A710" s="159">
        <v>4700</v>
      </c>
      <c r="B710" s="326" t="s">
        <v>284</v>
      </c>
      <c r="C710" s="79">
        <v>22000</v>
      </c>
      <c r="D710" s="65">
        <f t="shared" si="82"/>
        <v>22000</v>
      </c>
      <c r="E710" s="80">
        <f t="shared" si="88"/>
        <v>10823</v>
      </c>
      <c r="F710" s="452">
        <f t="shared" si="85"/>
        <v>49.195454545454545</v>
      </c>
      <c r="G710" s="79">
        <v>22000</v>
      </c>
      <c r="H710" s="80">
        <v>10823</v>
      </c>
      <c r="I710" s="426">
        <f t="shared" si="84"/>
        <v>49.195454545454545</v>
      </c>
      <c r="J710" s="113"/>
      <c r="K710" s="80"/>
      <c r="L710" s="379"/>
      <c r="M710" s="80"/>
      <c r="N710" s="80"/>
      <c r="O710" s="356"/>
      <c r="P710" s="79"/>
      <c r="Q710" s="80"/>
      <c r="R710" s="350"/>
    </row>
    <row r="711" spans="1:18" s="105" customFormat="1" ht="48.75" customHeight="1">
      <c r="A711" s="159">
        <v>4740</v>
      </c>
      <c r="B711" s="326" t="s">
        <v>288</v>
      </c>
      <c r="C711" s="79">
        <v>20600</v>
      </c>
      <c r="D711" s="65">
        <f t="shared" si="82"/>
        <v>20600</v>
      </c>
      <c r="E711" s="80">
        <f>SUM(H711+K711+N711+Q711)</f>
        <v>5025</v>
      </c>
      <c r="F711" s="452">
        <f>E711/D711*100</f>
        <v>24.393203883495147</v>
      </c>
      <c r="G711" s="79">
        <v>20600</v>
      </c>
      <c r="H711" s="80">
        <v>5025</v>
      </c>
      <c r="I711" s="426">
        <f t="shared" si="84"/>
        <v>24.393203883495147</v>
      </c>
      <c r="J711" s="113"/>
      <c r="K711" s="80"/>
      <c r="L711" s="379"/>
      <c r="M711" s="80"/>
      <c r="N711" s="80"/>
      <c r="O711" s="356"/>
      <c r="P711" s="79"/>
      <c r="Q711" s="80"/>
      <c r="R711" s="350"/>
    </row>
    <row r="712" spans="1:18" s="105" customFormat="1" ht="36">
      <c r="A712" s="159">
        <v>4750</v>
      </c>
      <c r="B712" s="326" t="s">
        <v>289</v>
      </c>
      <c r="C712" s="79">
        <v>39600</v>
      </c>
      <c r="D712" s="65">
        <f t="shared" si="82"/>
        <v>39600</v>
      </c>
      <c r="E712" s="80">
        <f>SUM(H712+K712+N712+Q712)</f>
        <v>19268</v>
      </c>
      <c r="F712" s="452">
        <f>E712/D712*100</f>
        <v>48.65656565656566</v>
      </c>
      <c r="G712" s="79">
        <v>39600</v>
      </c>
      <c r="H712" s="80">
        <v>19268</v>
      </c>
      <c r="I712" s="426">
        <f t="shared" si="84"/>
        <v>48.65656565656566</v>
      </c>
      <c r="J712" s="113"/>
      <c r="K712" s="80"/>
      <c r="L712" s="379"/>
      <c r="M712" s="80"/>
      <c r="N712" s="80"/>
      <c r="O712" s="356"/>
      <c r="P712" s="79"/>
      <c r="Q712" s="80"/>
      <c r="R712" s="350"/>
    </row>
    <row r="713" spans="1:18" s="105" customFormat="1" ht="49.5" customHeight="1">
      <c r="A713" s="111">
        <v>6050</v>
      </c>
      <c r="B713" s="115" t="s">
        <v>158</v>
      </c>
      <c r="C713" s="79">
        <v>570900</v>
      </c>
      <c r="D713" s="65">
        <f t="shared" si="82"/>
        <v>576900</v>
      </c>
      <c r="E713" s="80">
        <f t="shared" si="88"/>
        <v>64989</v>
      </c>
      <c r="F713" s="452">
        <f t="shared" si="85"/>
        <v>11.265210608424336</v>
      </c>
      <c r="G713" s="79">
        <f>570900+6000</f>
        <v>576900</v>
      </c>
      <c r="H713" s="80">
        <v>64989</v>
      </c>
      <c r="I713" s="426">
        <f t="shared" si="84"/>
        <v>11.265210608424336</v>
      </c>
      <c r="J713" s="113"/>
      <c r="K713" s="80"/>
      <c r="L713" s="379"/>
      <c r="M713" s="80"/>
      <c r="N713" s="80"/>
      <c r="O713" s="356"/>
      <c r="P713" s="79"/>
      <c r="Q713" s="80"/>
      <c r="R713" s="350"/>
    </row>
    <row r="714" spans="1:18" s="105" customFormat="1" ht="36">
      <c r="A714" s="111">
        <v>6060</v>
      </c>
      <c r="B714" s="115" t="s">
        <v>8</v>
      </c>
      <c r="C714" s="79">
        <v>4000</v>
      </c>
      <c r="D714" s="65">
        <f t="shared" si="82"/>
        <v>0</v>
      </c>
      <c r="E714" s="80">
        <f>SUM(H714+K714+N714+Q714)</f>
        <v>0</v>
      </c>
      <c r="F714" s="452"/>
      <c r="G714" s="79">
        <f>4000-4000</f>
        <v>0</v>
      </c>
      <c r="H714" s="80"/>
      <c r="I714" s="426"/>
      <c r="J714" s="113"/>
      <c r="K714" s="80"/>
      <c r="L714" s="379"/>
      <c r="M714" s="80"/>
      <c r="N714" s="80"/>
      <c r="O714" s="356"/>
      <c r="P714" s="79"/>
      <c r="Q714" s="80"/>
      <c r="R714" s="350"/>
    </row>
    <row r="715" spans="1:18" s="199" customFormat="1" ht="12.75">
      <c r="A715" s="106">
        <v>80111</v>
      </c>
      <c r="B715" s="172" t="s">
        <v>17</v>
      </c>
      <c r="C715" s="108">
        <f>SUM(C716:C736)</f>
        <v>2570400</v>
      </c>
      <c r="D715" s="86">
        <f t="shared" si="82"/>
        <v>2592767</v>
      </c>
      <c r="E715" s="75">
        <f>H715+K715+Q715+N715</f>
        <v>1432424</v>
      </c>
      <c r="F715" s="451">
        <f t="shared" si="85"/>
        <v>55.24692346053464</v>
      </c>
      <c r="G715" s="133"/>
      <c r="H715" s="136"/>
      <c r="I715" s="473"/>
      <c r="J715" s="135"/>
      <c r="K715" s="136"/>
      <c r="L715" s="395"/>
      <c r="M715" s="75">
        <f>SUM(M716:M736)</f>
        <v>2592767</v>
      </c>
      <c r="N715" s="75">
        <f>SUM(N716:N736)</f>
        <v>1432424</v>
      </c>
      <c r="O715" s="432">
        <f aca="true" t="shared" si="89" ref="O715:O760">N715/M715*100</f>
        <v>55.24692346053464</v>
      </c>
      <c r="P715" s="108"/>
      <c r="Q715" s="75"/>
      <c r="R715" s="360"/>
    </row>
    <row r="716" spans="1:18" s="199" customFormat="1" ht="36">
      <c r="A716" s="99">
        <v>3020</v>
      </c>
      <c r="B716" s="115" t="s">
        <v>259</v>
      </c>
      <c r="C716" s="81">
        <v>7000</v>
      </c>
      <c r="D716" s="94">
        <f aca="true" t="shared" si="90" ref="D716:D757">G716+J716+P716+M716</f>
        <v>7000</v>
      </c>
      <c r="E716" s="95">
        <f aca="true" t="shared" si="91" ref="E716:E757">SUM(H716+K716+N716+Q716)</f>
        <v>2005</v>
      </c>
      <c r="F716" s="454">
        <f t="shared" si="85"/>
        <v>28.642857142857142</v>
      </c>
      <c r="G716" s="81"/>
      <c r="H716" s="95"/>
      <c r="I716" s="474"/>
      <c r="J716" s="187"/>
      <c r="K716" s="95"/>
      <c r="L716" s="403"/>
      <c r="M716" s="81">
        <v>7000</v>
      </c>
      <c r="N716" s="95">
        <v>2005</v>
      </c>
      <c r="O716" s="448">
        <f t="shared" si="89"/>
        <v>28.642857142857142</v>
      </c>
      <c r="P716" s="81"/>
      <c r="Q716" s="95"/>
      <c r="R716" s="353"/>
    </row>
    <row r="717" spans="1:18" s="199" customFormat="1" ht="24">
      <c r="A717" s="111">
        <v>4010</v>
      </c>
      <c r="B717" s="115" t="s">
        <v>471</v>
      </c>
      <c r="C717" s="79">
        <v>1793700</v>
      </c>
      <c r="D717" s="65">
        <f t="shared" si="90"/>
        <v>1795590</v>
      </c>
      <c r="E717" s="80">
        <f t="shared" si="91"/>
        <v>912061</v>
      </c>
      <c r="F717" s="452">
        <f t="shared" si="85"/>
        <v>50.794502085665435</v>
      </c>
      <c r="G717" s="79"/>
      <c r="H717" s="80"/>
      <c r="I717" s="450"/>
      <c r="J717" s="113"/>
      <c r="K717" s="80"/>
      <c r="L717" s="379"/>
      <c r="M717" s="79">
        <f>1793700+1890</f>
        <v>1795590</v>
      </c>
      <c r="N717" s="80">
        <v>912061</v>
      </c>
      <c r="O717" s="426">
        <f t="shared" si="89"/>
        <v>50.794502085665435</v>
      </c>
      <c r="P717" s="79"/>
      <c r="Q717" s="80"/>
      <c r="R717" s="350"/>
    </row>
    <row r="718" spans="1:18" s="199" customFormat="1" ht="24">
      <c r="A718" s="111">
        <v>4040</v>
      </c>
      <c r="B718" s="115" t="s">
        <v>475</v>
      </c>
      <c r="C718" s="79">
        <v>128300</v>
      </c>
      <c r="D718" s="65">
        <f t="shared" si="90"/>
        <v>144280</v>
      </c>
      <c r="E718" s="80">
        <f t="shared" si="91"/>
        <v>144276</v>
      </c>
      <c r="F718" s="452">
        <f t="shared" si="85"/>
        <v>99.99722761297477</v>
      </c>
      <c r="G718" s="79"/>
      <c r="H718" s="80"/>
      <c r="I718" s="450"/>
      <c r="J718" s="113"/>
      <c r="K718" s="80"/>
      <c r="L718" s="379"/>
      <c r="M718" s="79">
        <f>128300+15980</f>
        <v>144280</v>
      </c>
      <c r="N718" s="80">
        <v>144276</v>
      </c>
      <c r="O718" s="426">
        <f t="shared" si="89"/>
        <v>99.99722761297477</v>
      </c>
      <c r="P718" s="79"/>
      <c r="Q718" s="80"/>
      <c r="R718" s="350"/>
    </row>
    <row r="719" spans="1:18" s="199" customFormat="1" ht="24">
      <c r="A719" s="111">
        <v>4110</v>
      </c>
      <c r="B719" s="115" t="s">
        <v>477</v>
      </c>
      <c r="C719" s="79">
        <v>291900</v>
      </c>
      <c r="D719" s="65">
        <f t="shared" si="90"/>
        <v>292160</v>
      </c>
      <c r="E719" s="80">
        <f t="shared" si="91"/>
        <v>155678</v>
      </c>
      <c r="F719" s="452">
        <f t="shared" si="85"/>
        <v>53.285186199342824</v>
      </c>
      <c r="G719" s="79"/>
      <c r="H719" s="80"/>
      <c r="I719" s="450"/>
      <c r="J719" s="113"/>
      <c r="K719" s="80"/>
      <c r="L719" s="379"/>
      <c r="M719" s="79">
        <f>291900+260</f>
        <v>292160</v>
      </c>
      <c r="N719" s="80">
        <v>155678</v>
      </c>
      <c r="O719" s="426">
        <f t="shared" si="89"/>
        <v>53.285186199342824</v>
      </c>
      <c r="P719" s="79"/>
      <c r="Q719" s="80"/>
      <c r="R719" s="350"/>
    </row>
    <row r="720" spans="1:18" s="199" customFormat="1" ht="15.75" customHeight="1">
      <c r="A720" s="111">
        <v>4120</v>
      </c>
      <c r="B720" s="115" t="s">
        <v>547</v>
      </c>
      <c r="C720" s="79">
        <v>46800</v>
      </c>
      <c r="D720" s="65">
        <f t="shared" si="90"/>
        <v>46850</v>
      </c>
      <c r="E720" s="80">
        <f t="shared" si="91"/>
        <v>24808</v>
      </c>
      <c r="F720" s="452">
        <f t="shared" si="85"/>
        <v>52.95197438633939</v>
      </c>
      <c r="G720" s="79"/>
      <c r="H720" s="80"/>
      <c r="I720" s="450"/>
      <c r="J720" s="113"/>
      <c r="K720" s="80"/>
      <c r="L720" s="379"/>
      <c r="M720" s="79">
        <f>46800+50</f>
        <v>46850</v>
      </c>
      <c r="N720" s="80">
        <f>24807+1</f>
        <v>24808</v>
      </c>
      <c r="O720" s="426">
        <f t="shared" si="89"/>
        <v>52.95197438633939</v>
      </c>
      <c r="P720" s="79"/>
      <c r="Q720" s="80"/>
      <c r="R720" s="350"/>
    </row>
    <row r="721" spans="1:18" s="199" customFormat="1" ht="15.75" customHeight="1">
      <c r="A721" s="111">
        <v>4140</v>
      </c>
      <c r="B721" s="115" t="s">
        <v>519</v>
      </c>
      <c r="C721" s="79">
        <v>3200</v>
      </c>
      <c r="D721" s="65">
        <f t="shared" si="90"/>
        <v>3200</v>
      </c>
      <c r="E721" s="80">
        <f t="shared" si="91"/>
        <v>1719</v>
      </c>
      <c r="F721" s="452">
        <f t="shared" si="85"/>
        <v>53.71875000000001</v>
      </c>
      <c r="G721" s="79"/>
      <c r="H721" s="80"/>
      <c r="I721" s="450"/>
      <c r="J721" s="113"/>
      <c r="K721" s="80"/>
      <c r="L721" s="379"/>
      <c r="M721" s="79">
        <v>3200</v>
      </c>
      <c r="N721" s="80">
        <v>1719</v>
      </c>
      <c r="O721" s="426">
        <f t="shared" si="89"/>
        <v>53.71875000000001</v>
      </c>
      <c r="P721" s="113"/>
      <c r="Q721" s="80"/>
      <c r="R721" s="350"/>
    </row>
    <row r="722" spans="1:18" s="199" customFormat="1" ht="24">
      <c r="A722" s="111">
        <v>4210</v>
      </c>
      <c r="B722" s="115" t="s">
        <v>481</v>
      </c>
      <c r="C722" s="79">
        <v>28000</v>
      </c>
      <c r="D722" s="65">
        <f t="shared" si="90"/>
        <v>29000</v>
      </c>
      <c r="E722" s="80">
        <f t="shared" si="91"/>
        <v>15154</v>
      </c>
      <c r="F722" s="452">
        <f t="shared" si="85"/>
        <v>52.255172413793105</v>
      </c>
      <c r="G722" s="79"/>
      <c r="H722" s="80"/>
      <c r="I722" s="450"/>
      <c r="J722" s="113"/>
      <c r="K722" s="80"/>
      <c r="L722" s="379"/>
      <c r="M722" s="79">
        <f>28000+1000</f>
        <v>29000</v>
      </c>
      <c r="N722" s="80">
        <v>15154</v>
      </c>
      <c r="O722" s="426">
        <f t="shared" si="89"/>
        <v>52.255172413793105</v>
      </c>
      <c r="P722" s="80"/>
      <c r="Q722" s="80"/>
      <c r="R722" s="350"/>
    </row>
    <row r="723" spans="1:18" s="199" customFormat="1" ht="25.5" customHeight="1">
      <c r="A723" s="111">
        <v>4240</v>
      </c>
      <c r="B723" s="115" t="s">
        <v>15</v>
      </c>
      <c r="C723" s="79">
        <v>4000</v>
      </c>
      <c r="D723" s="65">
        <f t="shared" si="90"/>
        <v>4000</v>
      </c>
      <c r="E723" s="80">
        <f t="shared" si="91"/>
        <v>1532</v>
      </c>
      <c r="F723" s="452">
        <f t="shared" si="85"/>
        <v>38.3</v>
      </c>
      <c r="G723" s="79"/>
      <c r="H723" s="80"/>
      <c r="I723" s="450"/>
      <c r="J723" s="113"/>
      <c r="K723" s="80"/>
      <c r="L723" s="379"/>
      <c r="M723" s="79">
        <v>4000</v>
      </c>
      <c r="N723" s="80">
        <v>1532</v>
      </c>
      <c r="O723" s="426">
        <f t="shared" si="89"/>
        <v>38.3</v>
      </c>
      <c r="P723" s="80"/>
      <c r="Q723" s="80"/>
      <c r="R723" s="350"/>
    </row>
    <row r="724" spans="1:18" s="199" customFormat="1" ht="18.75" customHeight="1">
      <c r="A724" s="111">
        <v>4260</v>
      </c>
      <c r="B724" s="115" t="s">
        <v>485</v>
      </c>
      <c r="C724" s="79">
        <v>97800</v>
      </c>
      <c r="D724" s="65">
        <f t="shared" si="90"/>
        <v>97800</v>
      </c>
      <c r="E724" s="80">
        <f t="shared" si="91"/>
        <v>67986</v>
      </c>
      <c r="F724" s="452">
        <f t="shared" si="85"/>
        <v>69.51533742331289</v>
      </c>
      <c r="G724" s="79"/>
      <c r="H724" s="80"/>
      <c r="I724" s="450"/>
      <c r="J724" s="113"/>
      <c r="K724" s="80"/>
      <c r="L724" s="379"/>
      <c r="M724" s="79">
        <v>97800</v>
      </c>
      <c r="N724" s="80">
        <v>67986</v>
      </c>
      <c r="O724" s="426">
        <f t="shared" si="89"/>
        <v>69.51533742331289</v>
      </c>
      <c r="P724" s="80"/>
      <c r="Q724" s="80"/>
      <c r="R724" s="350"/>
    </row>
    <row r="725" spans="1:18" s="199" customFormat="1" ht="18.75" customHeight="1">
      <c r="A725" s="111">
        <v>4270</v>
      </c>
      <c r="B725" s="115" t="s">
        <v>487</v>
      </c>
      <c r="C725" s="79">
        <v>4200</v>
      </c>
      <c r="D725" s="65">
        <f t="shared" si="90"/>
        <v>4200</v>
      </c>
      <c r="E725" s="80">
        <f t="shared" si="91"/>
        <v>1519</v>
      </c>
      <c r="F725" s="452">
        <f t="shared" si="85"/>
        <v>36.16666666666667</v>
      </c>
      <c r="G725" s="79"/>
      <c r="H725" s="80"/>
      <c r="I725" s="450"/>
      <c r="J725" s="113"/>
      <c r="K725" s="80"/>
      <c r="L725" s="379"/>
      <c r="M725" s="79">
        <v>4200</v>
      </c>
      <c r="N725" s="80">
        <v>1519</v>
      </c>
      <c r="O725" s="426">
        <f t="shared" si="89"/>
        <v>36.16666666666667</v>
      </c>
      <c r="P725" s="80"/>
      <c r="Q725" s="80"/>
      <c r="R725" s="350"/>
    </row>
    <row r="726" spans="1:18" s="199" customFormat="1" ht="12.75" customHeight="1">
      <c r="A726" s="145">
        <v>4280</v>
      </c>
      <c r="B726" s="146" t="s">
        <v>520</v>
      </c>
      <c r="C726" s="147">
        <v>2100</v>
      </c>
      <c r="D726" s="148">
        <f t="shared" si="90"/>
        <v>2100</v>
      </c>
      <c r="E726" s="142">
        <f t="shared" si="91"/>
        <v>258</v>
      </c>
      <c r="F726" s="453">
        <f t="shared" si="85"/>
        <v>12.285714285714286</v>
      </c>
      <c r="G726" s="147"/>
      <c r="H726" s="142"/>
      <c r="I726" s="463"/>
      <c r="J726" s="149"/>
      <c r="K726" s="142"/>
      <c r="L726" s="404"/>
      <c r="M726" s="147">
        <v>2100</v>
      </c>
      <c r="N726" s="142">
        <v>258</v>
      </c>
      <c r="O726" s="446">
        <f t="shared" si="89"/>
        <v>12.285714285714286</v>
      </c>
      <c r="P726" s="142"/>
      <c r="Q726" s="142"/>
      <c r="R726" s="354"/>
    </row>
    <row r="727" spans="1:18" s="199" customFormat="1" ht="18.75" customHeight="1">
      <c r="A727" s="111">
        <v>4300</v>
      </c>
      <c r="B727" s="115" t="s">
        <v>489</v>
      </c>
      <c r="C727" s="79">
        <v>53400</v>
      </c>
      <c r="D727" s="65">
        <f t="shared" si="90"/>
        <v>53400</v>
      </c>
      <c r="E727" s="80">
        <f t="shared" si="91"/>
        <v>24480</v>
      </c>
      <c r="F727" s="452">
        <f t="shared" si="85"/>
        <v>45.84269662921348</v>
      </c>
      <c r="G727" s="79"/>
      <c r="H727" s="80"/>
      <c r="I727" s="450"/>
      <c r="J727" s="113"/>
      <c r="K727" s="80"/>
      <c r="L727" s="379"/>
      <c r="M727" s="79">
        <v>53400</v>
      </c>
      <c r="N727" s="80">
        <v>24480</v>
      </c>
      <c r="O727" s="426">
        <f t="shared" si="89"/>
        <v>45.84269662921348</v>
      </c>
      <c r="P727" s="80"/>
      <c r="Q727" s="80"/>
      <c r="R727" s="350"/>
    </row>
    <row r="728" spans="1:18" s="199" customFormat="1" ht="24">
      <c r="A728" s="111">
        <v>4350</v>
      </c>
      <c r="B728" s="115" t="s">
        <v>7</v>
      </c>
      <c r="C728" s="79">
        <v>1100</v>
      </c>
      <c r="D728" s="65">
        <f t="shared" si="90"/>
        <v>1100</v>
      </c>
      <c r="E728" s="80">
        <f t="shared" si="91"/>
        <v>546</v>
      </c>
      <c r="F728" s="452">
        <f t="shared" si="85"/>
        <v>49.63636363636363</v>
      </c>
      <c r="G728" s="79"/>
      <c r="H728" s="80"/>
      <c r="I728" s="450"/>
      <c r="J728" s="113"/>
      <c r="K728" s="80"/>
      <c r="L728" s="379"/>
      <c r="M728" s="79">
        <v>1100</v>
      </c>
      <c r="N728" s="80">
        <v>546</v>
      </c>
      <c r="O728" s="426">
        <f t="shared" si="89"/>
        <v>49.63636363636363</v>
      </c>
      <c r="P728" s="80"/>
      <c r="Q728" s="80"/>
      <c r="R728" s="350"/>
    </row>
    <row r="729" spans="1:18" s="199" customFormat="1" ht="36.75" customHeight="1">
      <c r="A729" s="159">
        <v>4360</v>
      </c>
      <c r="B729" s="326" t="s">
        <v>295</v>
      </c>
      <c r="C729" s="79">
        <v>400</v>
      </c>
      <c r="D729" s="65">
        <f t="shared" si="90"/>
        <v>400</v>
      </c>
      <c r="E729" s="80">
        <f>SUM(H729+K729+N729+Q729)</f>
        <v>172</v>
      </c>
      <c r="F729" s="452">
        <f>E729/D729*100</f>
        <v>43</v>
      </c>
      <c r="G729" s="79"/>
      <c r="H729" s="80"/>
      <c r="I729" s="450"/>
      <c r="J729" s="113"/>
      <c r="K729" s="80"/>
      <c r="L729" s="379"/>
      <c r="M729" s="79">
        <v>400</v>
      </c>
      <c r="N729" s="80">
        <v>172</v>
      </c>
      <c r="O729" s="426">
        <f t="shared" si="89"/>
        <v>43</v>
      </c>
      <c r="P729" s="80"/>
      <c r="Q729" s="80"/>
      <c r="R729" s="350"/>
    </row>
    <row r="730" spans="1:18" s="199" customFormat="1" ht="39" customHeight="1">
      <c r="A730" s="159">
        <v>4370</v>
      </c>
      <c r="B730" s="326" t="s">
        <v>296</v>
      </c>
      <c r="C730" s="79">
        <v>2300</v>
      </c>
      <c r="D730" s="65">
        <f t="shared" si="90"/>
        <v>2300</v>
      </c>
      <c r="E730" s="80">
        <f>SUM(H730+K730+N730+Q730)</f>
        <v>1301</v>
      </c>
      <c r="F730" s="452">
        <f>E730/D730*100</f>
        <v>56.565217391304344</v>
      </c>
      <c r="G730" s="79"/>
      <c r="H730" s="80"/>
      <c r="I730" s="450"/>
      <c r="J730" s="113"/>
      <c r="K730" s="80"/>
      <c r="L730" s="379"/>
      <c r="M730" s="79">
        <v>2300</v>
      </c>
      <c r="N730" s="80">
        <v>1301</v>
      </c>
      <c r="O730" s="426">
        <f t="shared" si="89"/>
        <v>56.565217391304344</v>
      </c>
      <c r="P730" s="80"/>
      <c r="Q730" s="80"/>
      <c r="R730" s="350"/>
    </row>
    <row r="731" spans="1:18" s="199" customFormat="1" ht="36">
      <c r="A731" s="111">
        <v>4390</v>
      </c>
      <c r="B731" s="193" t="s">
        <v>271</v>
      </c>
      <c r="C731" s="79">
        <v>4000</v>
      </c>
      <c r="D731" s="65">
        <f t="shared" si="90"/>
        <v>4000</v>
      </c>
      <c r="E731" s="80">
        <f>SUM(H731+K731+N731+Q731)</f>
        <v>278</v>
      </c>
      <c r="F731" s="452">
        <f>E731/D731*100</f>
        <v>6.950000000000001</v>
      </c>
      <c r="G731" s="79"/>
      <c r="H731" s="80"/>
      <c r="I731" s="450"/>
      <c r="J731" s="113"/>
      <c r="K731" s="80"/>
      <c r="L731" s="379"/>
      <c r="M731" s="79">
        <v>4000</v>
      </c>
      <c r="N731" s="80">
        <v>278</v>
      </c>
      <c r="O731" s="426">
        <f t="shared" si="89"/>
        <v>6.950000000000001</v>
      </c>
      <c r="P731" s="80"/>
      <c r="Q731" s="80"/>
      <c r="R731" s="350"/>
    </row>
    <row r="732" spans="1:18" s="199" customFormat="1" ht="12.75" customHeight="1">
      <c r="A732" s="111">
        <v>4410</v>
      </c>
      <c r="B732" s="115" t="s">
        <v>463</v>
      </c>
      <c r="C732" s="79">
        <v>1700</v>
      </c>
      <c r="D732" s="65">
        <f t="shared" si="90"/>
        <v>1700</v>
      </c>
      <c r="E732" s="80">
        <f t="shared" si="91"/>
        <v>590</v>
      </c>
      <c r="F732" s="452">
        <f t="shared" si="85"/>
        <v>34.705882352941174</v>
      </c>
      <c r="G732" s="79"/>
      <c r="H732" s="80"/>
      <c r="I732" s="450"/>
      <c r="J732" s="113"/>
      <c r="K732" s="80"/>
      <c r="L732" s="379"/>
      <c r="M732" s="79">
        <v>1700</v>
      </c>
      <c r="N732" s="80">
        <v>590</v>
      </c>
      <c r="O732" s="426">
        <f t="shared" si="89"/>
        <v>34.705882352941174</v>
      </c>
      <c r="P732" s="80"/>
      <c r="Q732" s="80"/>
      <c r="R732" s="350"/>
    </row>
    <row r="733" spans="1:18" s="199" customFormat="1" ht="12.75">
      <c r="A733" s="111">
        <v>4440</v>
      </c>
      <c r="B733" s="276" t="s">
        <v>493</v>
      </c>
      <c r="C733" s="79">
        <v>92900</v>
      </c>
      <c r="D733" s="65">
        <f t="shared" si="90"/>
        <v>96087</v>
      </c>
      <c r="E733" s="80">
        <f t="shared" si="91"/>
        <v>73947</v>
      </c>
      <c r="F733" s="452">
        <f t="shared" si="85"/>
        <v>76.95838146679571</v>
      </c>
      <c r="G733" s="79"/>
      <c r="H733" s="80"/>
      <c r="I733" s="450"/>
      <c r="J733" s="113"/>
      <c r="K733" s="80"/>
      <c r="L733" s="379"/>
      <c r="M733" s="79">
        <f>92900+3187</f>
        <v>96087</v>
      </c>
      <c r="N733" s="80">
        <v>73947</v>
      </c>
      <c r="O733" s="426">
        <f t="shared" si="89"/>
        <v>76.95838146679571</v>
      </c>
      <c r="P733" s="80"/>
      <c r="Q733" s="80"/>
      <c r="R733" s="350"/>
    </row>
    <row r="734" spans="1:18" s="199" customFormat="1" ht="36">
      <c r="A734" s="159">
        <v>4700</v>
      </c>
      <c r="B734" s="326" t="s">
        <v>284</v>
      </c>
      <c r="C734" s="79">
        <v>2300</v>
      </c>
      <c r="D734" s="65">
        <f t="shared" si="90"/>
        <v>2300</v>
      </c>
      <c r="E734" s="80">
        <f>SUM(H734+K734+N734+Q734)</f>
        <v>405</v>
      </c>
      <c r="F734" s="452">
        <f>E734/D734*100</f>
        <v>17.608695652173914</v>
      </c>
      <c r="G734" s="79"/>
      <c r="H734" s="80"/>
      <c r="I734" s="450"/>
      <c r="J734" s="113"/>
      <c r="K734" s="80"/>
      <c r="L734" s="379"/>
      <c r="M734" s="79">
        <v>2300</v>
      </c>
      <c r="N734" s="80">
        <v>405</v>
      </c>
      <c r="O734" s="426">
        <f t="shared" si="89"/>
        <v>17.608695652173914</v>
      </c>
      <c r="P734" s="80"/>
      <c r="Q734" s="80"/>
      <c r="R734" s="350"/>
    </row>
    <row r="735" spans="1:18" s="199" customFormat="1" ht="48.75" customHeight="1">
      <c r="A735" s="159">
        <v>4740</v>
      </c>
      <c r="B735" s="326" t="s">
        <v>288</v>
      </c>
      <c r="C735" s="79">
        <v>1500</v>
      </c>
      <c r="D735" s="65">
        <f t="shared" si="90"/>
        <v>1500</v>
      </c>
      <c r="E735" s="80">
        <f>SUM(H735+K735+N735+Q735)</f>
        <v>630</v>
      </c>
      <c r="F735" s="452">
        <f>E735/D735*100</f>
        <v>42</v>
      </c>
      <c r="G735" s="79"/>
      <c r="H735" s="80"/>
      <c r="I735" s="450"/>
      <c r="J735" s="113"/>
      <c r="K735" s="80"/>
      <c r="L735" s="379"/>
      <c r="M735" s="79">
        <v>1500</v>
      </c>
      <c r="N735" s="80">
        <f>631-1</f>
        <v>630</v>
      </c>
      <c r="O735" s="426">
        <f t="shared" si="89"/>
        <v>42</v>
      </c>
      <c r="P735" s="80"/>
      <c r="Q735" s="80"/>
      <c r="R735" s="350"/>
    </row>
    <row r="736" spans="1:18" s="199" customFormat="1" ht="36">
      <c r="A736" s="159">
        <v>4750</v>
      </c>
      <c r="B736" s="326" t="s">
        <v>289</v>
      </c>
      <c r="C736" s="79">
        <v>3800</v>
      </c>
      <c r="D736" s="65">
        <f t="shared" si="90"/>
        <v>3800</v>
      </c>
      <c r="E736" s="80">
        <f t="shared" si="91"/>
        <v>3079</v>
      </c>
      <c r="F736" s="452">
        <f aca="true" t="shared" si="92" ref="F736:F799">E736/D736*100</f>
        <v>81.02631578947368</v>
      </c>
      <c r="G736" s="79"/>
      <c r="H736" s="80"/>
      <c r="I736" s="450"/>
      <c r="J736" s="113"/>
      <c r="K736" s="80"/>
      <c r="L736" s="379"/>
      <c r="M736" s="79">
        <v>3800</v>
      </c>
      <c r="N736" s="80">
        <v>3079</v>
      </c>
      <c r="O736" s="426">
        <f t="shared" si="89"/>
        <v>81.02631578947368</v>
      </c>
      <c r="P736" s="80"/>
      <c r="Q736" s="80"/>
      <c r="R736" s="350"/>
    </row>
    <row r="737" spans="1:18" s="199" customFormat="1" ht="60">
      <c r="A737" s="137">
        <v>80114</v>
      </c>
      <c r="B737" s="174" t="s">
        <v>427</v>
      </c>
      <c r="C737" s="85">
        <f>SUM(C738:C757)</f>
        <v>1394700</v>
      </c>
      <c r="D737" s="86">
        <f t="shared" si="90"/>
        <v>1596264</v>
      </c>
      <c r="E737" s="86">
        <f t="shared" si="91"/>
        <v>793241</v>
      </c>
      <c r="F737" s="460">
        <f t="shared" si="92"/>
        <v>49.69359704910967</v>
      </c>
      <c r="G737" s="85">
        <f>SUM(G738:G757)</f>
        <v>1596264</v>
      </c>
      <c r="H737" s="86">
        <f>SUM(H738:H757)</f>
        <v>793241</v>
      </c>
      <c r="I737" s="486">
        <f>H737/G737*100</f>
        <v>49.69359704910967</v>
      </c>
      <c r="J737" s="158"/>
      <c r="K737" s="86"/>
      <c r="L737" s="406"/>
      <c r="M737" s="85"/>
      <c r="N737" s="86"/>
      <c r="O737" s="468"/>
      <c r="P737" s="86"/>
      <c r="Q737" s="86"/>
      <c r="R737" s="358"/>
    </row>
    <row r="738" spans="1:18" s="199" customFormat="1" ht="36">
      <c r="A738" s="111">
        <v>3020</v>
      </c>
      <c r="B738" s="115" t="s">
        <v>259</v>
      </c>
      <c r="C738" s="81">
        <v>500</v>
      </c>
      <c r="D738" s="65">
        <f t="shared" si="90"/>
        <v>500</v>
      </c>
      <c r="E738" s="80">
        <f t="shared" si="91"/>
        <v>0</v>
      </c>
      <c r="F738" s="452">
        <f t="shared" si="92"/>
        <v>0</v>
      </c>
      <c r="G738" s="81">
        <v>500</v>
      </c>
      <c r="H738" s="95"/>
      <c r="I738" s="450">
        <f>H738/G738*100</f>
        <v>0</v>
      </c>
      <c r="J738" s="187"/>
      <c r="K738" s="95"/>
      <c r="L738" s="403"/>
      <c r="M738" s="81"/>
      <c r="N738" s="95"/>
      <c r="O738" s="448"/>
      <c r="P738" s="95"/>
      <c r="Q738" s="95"/>
      <c r="R738" s="353"/>
    </row>
    <row r="739" spans="1:18" s="199" customFormat="1" ht="24">
      <c r="A739" s="111">
        <v>4010</v>
      </c>
      <c r="B739" s="115" t="s">
        <v>647</v>
      </c>
      <c r="C739" s="79">
        <v>677100</v>
      </c>
      <c r="D739" s="65">
        <f t="shared" si="90"/>
        <v>677100</v>
      </c>
      <c r="E739" s="80">
        <f t="shared" si="91"/>
        <v>309808</v>
      </c>
      <c r="F739" s="452">
        <f t="shared" si="92"/>
        <v>45.75513218136169</v>
      </c>
      <c r="G739" s="79">
        <v>677100</v>
      </c>
      <c r="H739" s="80">
        <v>309808</v>
      </c>
      <c r="I739" s="450">
        <f>H739/G739*100</f>
        <v>45.75513218136169</v>
      </c>
      <c r="J739" s="113"/>
      <c r="K739" s="80"/>
      <c r="L739" s="379"/>
      <c r="M739" s="79"/>
      <c r="N739" s="80"/>
      <c r="O739" s="426"/>
      <c r="P739" s="80"/>
      <c r="Q739" s="80"/>
      <c r="R739" s="350"/>
    </row>
    <row r="740" spans="1:18" s="199" customFormat="1" ht="24">
      <c r="A740" s="111">
        <v>4040</v>
      </c>
      <c r="B740" s="115" t="s">
        <v>475</v>
      </c>
      <c r="C740" s="79">
        <v>51600</v>
      </c>
      <c r="D740" s="65">
        <f t="shared" si="90"/>
        <v>51350</v>
      </c>
      <c r="E740" s="80">
        <f t="shared" si="91"/>
        <v>51348</v>
      </c>
      <c r="F740" s="452">
        <f t="shared" si="92"/>
        <v>99.99610516066213</v>
      </c>
      <c r="G740" s="79">
        <f>51600-250</f>
        <v>51350</v>
      </c>
      <c r="H740" s="80">
        <v>51348</v>
      </c>
      <c r="I740" s="450">
        <f aca="true" t="shared" si="93" ref="I740:I757">H740/G740*100</f>
        <v>99.99610516066213</v>
      </c>
      <c r="J740" s="113"/>
      <c r="K740" s="80"/>
      <c r="L740" s="379"/>
      <c r="M740" s="79"/>
      <c r="N740" s="80"/>
      <c r="O740" s="426"/>
      <c r="P740" s="80"/>
      <c r="Q740" s="80"/>
      <c r="R740" s="350"/>
    </row>
    <row r="741" spans="1:18" s="199" customFormat="1" ht="24">
      <c r="A741" s="111">
        <v>4110</v>
      </c>
      <c r="B741" s="115" t="s">
        <v>477</v>
      </c>
      <c r="C741" s="79">
        <v>107900</v>
      </c>
      <c r="D741" s="65">
        <f t="shared" si="90"/>
        <v>107900</v>
      </c>
      <c r="E741" s="80">
        <f t="shared" si="91"/>
        <v>56115</v>
      </c>
      <c r="F741" s="452">
        <f t="shared" si="92"/>
        <v>52.006487488415196</v>
      </c>
      <c r="G741" s="79">
        <v>107900</v>
      </c>
      <c r="H741" s="80">
        <v>56115</v>
      </c>
      <c r="I741" s="450">
        <f t="shared" si="93"/>
        <v>52.006487488415196</v>
      </c>
      <c r="J741" s="113"/>
      <c r="K741" s="80"/>
      <c r="L741" s="379"/>
      <c r="M741" s="79"/>
      <c r="N741" s="80"/>
      <c r="O741" s="426"/>
      <c r="P741" s="80"/>
      <c r="Q741" s="80"/>
      <c r="R741" s="350"/>
    </row>
    <row r="742" spans="1:18" s="199" customFormat="1" ht="12.75">
      <c r="A742" s="145">
        <v>4120</v>
      </c>
      <c r="B742" s="146" t="s">
        <v>547</v>
      </c>
      <c r="C742" s="147">
        <v>17400</v>
      </c>
      <c r="D742" s="148">
        <f t="shared" si="90"/>
        <v>17400</v>
      </c>
      <c r="E742" s="142">
        <f t="shared" si="91"/>
        <v>7771</v>
      </c>
      <c r="F742" s="453">
        <f t="shared" si="92"/>
        <v>44.66091954022989</v>
      </c>
      <c r="G742" s="147">
        <v>17400</v>
      </c>
      <c r="H742" s="142">
        <v>7771</v>
      </c>
      <c r="I742" s="463">
        <f t="shared" si="93"/>
        <v>44.66091954022989</v>
      </c>
      <c r="J742" s="149"/>
      <c r="K742" s="142"/>
      <c r="L742" s="404"/>
      <c r="M742" s="147"/>
      <c r="N742" s="142"/>
      <c r="O742" s="446"/>
      <c r="P742" s="142"/>
      <c r="Q742" s="142"/>
      <c r="R742" s="354"/>
    </row>
    <row r="743" spans="1:18" s="199" customFormat="1" ht="24" hidden="1">
      <c r="A743" s="111">
        <v>4170</v>
      </c>
      <c r="B743" s="115" t="s">
        <v>511</v>
      </c>
      <c r="C743" s="79"/>
      <c r="D743" s="65">
        <f t="shared" si="90"/>
        <v>0</v>
      </c>
      <c r="E743" s="80">
        <f t="shared" si="91"/>
        <v>0</v>
      </c>
      <c r="F743" s="452" t="e">
        <f t="shared" si="92"/>
        <v>#DIV/0!</v>
      </c>
      <c r="G743" s="79"/>
      <c r="H743" s="80"/>
      <c r="I743" s="450" t="e">
        <f t="shared" si="93"/>
        <v>#DIV/0!</v>
      </c>
      <c r="J743" s="113"/>
      <c r="K743" s="80"/>
      <c r="L743" s="379"/>
      <c r="M743" s="79"/>
      <c r="N743" s="80"/>
      <c r="O743" s="426"/>
      <c r="P743" s="80"/>
      <c r="Q743" s="80"/>
      <c r="R743" s="350"/>
    </row>
    <row r="744" spans="1:18" s="199" customFormat="1" ht="24">
      <c r="A744" s="111">
        <v>4210</v>
      </c>
      <c r="B744" s="115" t="s">
        <v>481</v>
      </c>
      <c r="C744" s="79">
        <v>35000</v>
      </c>
      <c r="D744" s="65">
        <f t="shared" si="90"/>
        <v>46000</v>
      </c>
      <c r="E744" s="80">
        <f t="shared" si="91"/>
        <v>24787</v>
      </c>
      <c r="F744" s="452">
        <f t="shared" si="92"/>
        <v>53.884782608695645</v>
      </c>
      <c r="G744" s="79">
        <f>35000+10000+1000</f>
        <v>46000</v>
      </c>
      <c r="H744" s="80">
        <v>24787</v>
      </c>
      <c r="I744" s="450">
        <f t="shared" si="93"/>
        <v>53.884782608695645</v>
      </c>
      <c r="J744" s="113"/>
      <c r="K744" s="80"/>
      <c r="L744" s="379"/>
      <c r="M744" s="79"/>
      <c r="N744" s="80"/>
      <c r="O744" s="426"/>
      <c r="P744" s="80"/>
      <c r="Q744" s="80"/>
      <c r="R744" s="350"/>
    </row>
    <row r="745" spans="1:18" s="199" customFormat="1" ht="12.75">
      <c r="A745" s="111">
        <v>4260</v>
      </c>
      <c r="B745" s="115" t="s">
        <v>485</v>
      </c>
      <c r="C745" s="79">
        <v>13200</v>
      </c>
      <c r="D745" s="65">
        <f t="shared" si="90"/>
        <v>13200</v>
      </c>
      <c r="E745" s="80">
        <f t="shared" si="91"/>
        <v>6618</v>
      </c>
      <c r="F745" s="452">
        <f t="shared" si="92"/>
        <v>50.13636363636363</v>
      </c>
      <c r="G745" s="79">
        <v>13200</v>
      </c>
      <c r="H745" s="80">
        <v>6618</v>
      </c>
      <c r="I745" s="450">
        <f t="shared" si="93"/>
        <v>50.13636363636363</v>
      </c>
      <c r="J745" s="113"/>
      <c r="K745" s="80"/>
      <c r="L745" s="379"/>
      <c r="M745" s="79"/>
      <c r="N745" s="80"/>
      <c r="O745" s="426"/>
      <c r="P745" s="80"/>
      <c r="Q745" s="80"/>
      <c r="R745" s="350"/>
    </row>
    <row r="746" spans="1:18" s="199" customFormat="1" ht="14.25" customHeight="1">
      <c r="A746" s="111">
        <v>4270</v>
      </c>
      <c r="B746" s="115" t="s">
        <v>487</v>
      </c>
      <c r="C746" s="79">
        <v>200000</v>
      </c>
      <c r="D746" s="65">
        <f t="shared" si="90"/>
        <v>200000</v>
      </c>
      <c r="E746" s="80">
        <f t="shared" si="91"/>
        <v>133190</v>
      </c>
      <c r="F746" s="452">
        <f t="shared" si="92"/>
        <v>66.595</v>
      </c>
      <c r="G746" s="79">
        <v>200000</v>
      </c>
      <c r="H746" s="80">
        <v>133190</v>
      </c>
      <c r="I746" s="450">
        <f t="shared" si="93"/>
        <v>66.595</v>
      </c>
      <c r="J746" s="113"/>
      <c r="K746" s="80"/>
      <c r="L746" s="379"/>
      <c r="M746" s="79"/>
      <c r="N746" s="80"/>
      <c r="O746" s="426"/>
      <c r="P746" s="80"/>
      <c r="Q746" s="80"/>
      <c r="R746" s="350"/>
    </row>
    <row r="747" spans="1:18" s="199" customFormat="1" ht="16.5" customHeight="1">
      <c r="A747" s="111">
        <v>4280</v>
      </c>
      <c r="B747" s="115" t="s">
        <v>520</v>
      </c>
      <c r="C747" s="79">
        <v>500</v>
      </c>
      <c r="D747" s="65">
        <f t="shared" si="90"/>
        <v>500</v>
      </c>
      <c r="E747" s="80">
        <f t="shared" si="91"/>
        <v>320</v>
      </c>
      <c r="F747" s="452">
        <f t="shared" si="92"/>
        <v>64</v>
      </c>
      <c r="G747" s="79">
        <v>500</v>
      </c>
      <c r="H747" s="80">
        <v>320</v>
      </c>
      <c r="I747" s="450">
        <f t="shared" si="93"/>
        <v>64</v>
      </c>
      <c r="J747" s="113"/>
      <c r="K747" s="80"/>
      <c r="L747" s="379"/>
      <c r="M747" s="79"/>
      <c r="N747" s="80"/>
      <c r="O747" s="426"/>
      <c r="P747" s="80"/>
      <c r="Q747" s="80"/>
      <c r="R747" s="350"/>
    </row>
    <row r="748" spans="1:18" s="199" customFormat="1" ht="18.75" customHeight="1">
      <c r="A748" s="111">
        <v>4300</v>
      </c>
      <c r="B748" s="115" t="s">
        <v>502</v>
      </c>
      <c r="C748" s="79">
        <v>35000</v>
      </c>
      <c r="D748" s="65">
        <f t="shared" si="90"/>
        <v>37500</v>
      </c>
      <c r="E748" s="80">
        <f t="shared" si="91"/>
        <v>18086</v>
      </c>
      <c r="F748" s="452">
        <f t="shared" si="92"/>
        <v>48.22933333333334</v>
      </c>
      <c r="G748" s="79">
        <f>35000+2500</f>
        <v>37500</v>
      </c>
      <c r="H748" s="80">
        <v>18086</v>
      </c>
      <c r="I748" s="450">
        <f t="shared" si="93"/>
        <v>48.22933333333334</v>
      </c>
      <c r="J748" s="113"/>
      <c r="K748" s="80"/>
      <c r="L748" s="379"/>
      <c r="M748" s="79"/>
      <c r="N748" s="80"/>
      <c r="O748" s="426"/>
      <c r="P748" s="80"/>
      <c r="Q748" s="80"/>
      <c r="R748" s="350"/>
    </row>
    <row r="749" spans="1:18" s="199" customFormat="1" ht="24">
      <c r="A749" s="111">
        <v>4350</v>
      </c>
      <c r="B749" s="115" t="s">
        <v>7</v>
      </c>
      <c r="C749" s="79">
        <v>3300</v>
      </c>
      <c r="D749" s="65">
        <f t="shared" si="90"/>
        <v>3300</v>
      </c>
      <c r="E749" s="80">
        <f t="shared" si="91"/>
        <v>2021</v>
      </c>
      <c r="F749" s="452">
        <f t="shared" si="92"/>
        <v>61.24242424242424</v>
      </c>
      <c r="G749" s="79">
        <v>3300</v>
      </c>
      <c r="H749" s="80">
        <v>2021</v>
      </c>
      <c r="I749" s="450">
        <f t="shared" si="93"/>
        <v>61.24242424242424</v>
      </c>
      <c r="J749" s="113"/>
      <c r="K749" s="80"/>
      <c r="L749" s="379"/>
      <c r="M749" s="79"/>
      <c r="N749" s="80"/>
      <c r="O749" s="426"/>
      <c r="P749" s="80"/>
      <c r="Q749" s="80"/>
      <c r="R749" s="350"/>
    </row>
    <row r="750" spans="1:18" s="199" customFormat="1" ht="37.5" customHeight="1">
      <c r="A750" s="159">
        <v>4370</v>
      </c>
      <c r="B750" s="326" t="s">
        <v>296</v>
      </c>
      <c r="C750" s="79">
        <v>8000</v>
      </c>
      <c r="D750" s="65">
        <f t="shared" si="90"/>
        <v>8000</v>
      </c>
      <c r="E750" s="80">
        <f t="shared" si="91"/>
        <v>3267</v>
      </c>
      <c r="F750" s="452">
        <f t="shared" si="92"/>
        <v>40.8375</v>
      </c>
      <c r="G750" s="79">
        <v>8000</v>
      </c>
      <c r="H750" s="80">
        <v>3267</v>
      </c>
      <c r="I750" s="450">
        <f t="shared" si="93"/>
        <v>40.8375</v>
      </c>
      <c r="J750" s="113"/>
      <c r="K750" s="80"/>
      <c r="L750" s="379"/>
      <c r="M750" s="79"/>
      <c r="N750" s="80"/>
      <c r="O750" s="426"/>
      <c r="P750" s="80"/>
      <c r="Q750" s="80"/>
      <c r="R750" s="350"/>
    </row>
    <row r="751" spans="1:18" s="199" customFormat="1" ht="17.25" customHeight="1">
      <c r="A751" s="111">
        <v>4410</v>
      </c>
      <c r="B751" s="115" t="s">
        <v>463</v>
      </c>
      <c r="C751" s="79">
        <v>4300</v>
      </c>
      <c r="D751" s="65">
        <f t="shared" si="90"/>
        <v>4300</v>
      </c>
      <c r="E751" s="80">
        <f t="shared" si="91"/>
        <v>2401</v>
      </c>
      <c r="F751" s="452">
        <f t="shared" si="92"/>
        <v>55.83720930232558</v>
      </c>
      <c r="G751" s="79">
        <v>4300</v>
      </c>
      <c r="H751" s="80">
        <v>2401</v>
      </c>
      <c r="I751" s="450">
        <f t="shared" si="93"/>
        <v>55.83720930232558</v>
      </c>
      <c r="J751" s="113"/>
      <c r="K751" s="80"/>
      <c r="L751" s="379"/>
      <c r="M751" s="79"/>
      <c r="N751" s="80"/>
      <c r="O751" s="426"/>
      <c r="P751" s="80"/>
      <c r="Q751" s="80"/>
      <c r="R751" s="350"/>
    </row>
    <row r="752" spans="1:18" s="199" customFormat="1" ht="12.75">
      <c r="A752" s="111">
        <v>4430</v>
      </c>
      <c r="B752" s="115" t="s">
        <v>491</v>
      </c>
      <c r="C752" s="79">
        <v>900</v>
      </c>
      <c r="D752" s="65">
        <f t="shared" si="90"/>
        <v>900</v>
      </c>
      <c r="E752" s="80">
        <f t="shared" si="91"/>
        <v>699</v>
      </c>
      <c r="F752" s="452">
        <f t="shared" si="92"/>
        <v>77.66666666666666</v>
      </c>
      <c r="G752" s="79">
        <v>900</v>
      </c>
      <c r="H752" s="80">
        <v>699</v>
      </c>
      <c r="I752" s="450">
        <f t="shared" si="93"/>
        <v>77.66666666666666</v>
      </c>
      <c r="J752" s="113"/>
      <c r="K752" s="80"/>
      <c r="L752" s="379"/>
      <c r="M752" s="79"/>
      <c r="N752" s="80"/>
      <c r="O752" s="426"/>
      <c r="P752" s="80"/>
      <c r="Q752" s="80"/>
      <c r="R752" s="350"/>
    </row>
    <row r="753" spans="1:18" s="199" customFormat="1" ht="12.75">
      <c r="A753" s="111">
        <v>4440</v>
      </c>
      <c r="B753" s="115" t="s">
        <v>493</v>
      </c>
      <c r="C753" s="79">
        <v>17900</v>
      </c>
      <c r="D753" s="65">
        <f t="shared" si="90"/>
        <v>21214</v>
      </c>
      <c r="E753" s="80">
        <f t="shared" si="91"/>
        <v>15920</v>
      </c>
      <c r="F753" s="452">
        <f t="shared" si="92"/>
        <v>75.04478174790233</v>
      </c>
      <c r="G753" s="79">
        <f>17900+3314</f>
        <v>21214</v>
      </c>
      <c r="H753" s="80">
        <v>15920</v>
      </c>
      <c r="I753" s="450">
        <f t="shared" si="93"/>
        <v>75.04478174790233</v>
      </c>
      <c r="J753" s="113"/>
      <c r="K753" s="80"/>
      <c r="L753" s="379"/>
      <c r="M753" s="79"/>
      <c r="N753" s="80"/>
      <c r="O753" s="426"/>
      <c r="P753" s="80"/>
      <c r="Q753" s="80"/>
      <c r="R753" s="350"/>
    </row>
    <row r="754" spans="1:18" s="199" customFormat="1" ht="36">
      <c r="A754" s="159">
        <v>4700</v>
      </c>
      <c r="B754" s="326" t="s">
        <v>284</v>
      </c>
      <c r="C754" s="79">
        <v>4000</v>
      </c>
      <c r="D754" s="65">
        <f t="shared" si="90"/>
        <v>4000</v>
      </c>
      <c r="E754" s="80">
        <f t="shared" si="91"/>
        <v>475</v>
      </c>
      <c r="F754" s="452">
        <f t="shared" si="92"/>
        <v>11.875</v>
      </c>
      <c r="G754" s="79">
        <v>4000</v>
      </c>
      <c r="H754" s="80">
        <v>475</v>
      </c>
      <c r="I754" s="450">
        <f t="shared" si="93"/>
        <v>11.875</v>
      </c>
      <c r="J754" s="113"/>
      <c r="K754" s="80"/>
      <c r="L754" s="379"/>
      <c r="M754" s="79"/>
      <c r="N754" s="80"/>
      <c r="O754" s="426"/>
      <c r="P754" s="80"/>
      <c r="Q754" s="80"/>
      <c r="R754" s="350"/>
    </row>
    <row r="755" spans="1:18" s="199" customFormat="1" ht="49.5" customHeight="1">
      <c r="A755" s="159">
        <v>4740</v>
      </c>
      <c r="B755" s="326" t="s">
        <v>288</v>
      </c>
      <c r="C755" s="79">
        <v>3500</v>
      </c>
      <c r="D755" s="65">
        <f t="shared" si="90"/>
        <v>3500</v>
      </c>
      <c r="E755" s="80">
        <f t="shared" si="91"/>
        <v>1719</v>
      </c>
      <c r="F755" s="452">
        <f t="shared" si="92"/>
        <v>49.114285714285714</v>
      </c>
      <c r="G755" s="79">
        <v>3500</v>
      </c>
      <c r="H755" s="80">
        <v>1719</v>
      </c>
      <c r="I755" s="450">
        <f t="shared" si="93"/>
        <v>49.114285714285714</v>
      </c>
      <c r="J755" s="113"/>
      <c r="K755" s="80"/>
      <c r="L755" s="379"/>
      <c r="M755" s="79"/>
      <c r="N755" s="80"/>
      <c r="O755" s="426"/>
      <c r="P755" s="80"/>
      <c r="Q755" s="80"/>
      <c r="R755" s="350"/>
    </row>
    <row r="756" spans="1:18" s="199" customFormat="1" ht="36">
      <c r="A756" s="159">
        <v>4750</v>
      </c>
      <c r="B756" s="326" t="s">
        <v>289</v>
      </c>
      <c r="C756" s="79">
        <v>14600</v>
      </c>
      <c r="D756" s="65">
        <f t="shared" si="90"/>
        <v>14600</v>
      </c>
      <c r="E756" s="80">
        <f t="shared" si="91"/>
        <v>3329</v>
      </c>
      <c r="F756" s="452">
        <f t="shared" si="92"/>
        <v>22.801369863013697</v>
      </c>
      <c r="G756" s="79">
        <v>14600</v>
      </c>
      <c r="H756" s="80">
        <v>3329</v>
      </c>
      <c r="I756" s="450">
        <f t="shared" si="93"/>
        <v>22.801369863013697</v>
      </c>
      <c r="J756" s="113"/>
      <c r="K756" s="80"/>
      <c r="L756" s="379"/>
      <c r="M756" s="79"/>
      <c r="N756" s="80"/>
      <c r="O756" s="426"/>
      <c r="P756" s="80"/>
      <c r="Q756" s="80"/>
      <c r="R756" s="350"/>
    </row>
    <row r="757" spans="1:18" s="199" customFormat="1" ht="42.75" customHeight="1">
      <c r="A757" s="111">
        <v>6050</v>
      </c>
      <c r="B757" s="276" t="s">
        <v>370</v>
      </c>
      <c r="C757" s="147">
        <v>200000</v>
      </c>
      <c r="D757" s="65">
        <f t="shared" si="90"/>
        <v>385000</v>
      </c>
      <c r="E757" s="80">
        <f t="shared" si="91"/>
        <v>155367</v>
      </c>
      <c r="F757" s="452">
        <f t="shared" si="92"/>
        <v>40.35506493506493</v>
      </c>
      <c r="G757" s="147">
        <f>200000+185000</f>
        <v>385000</v>
      </c>
      <c r="H757" s="142">
        <v>155367</v>
      </c>
      <c r="I757" s="450">
        <f t="shared" si="93"/>
        <v>40.35506493506493</v>
      </c>
      <c r="J757" s="149"/>
      <c r="K757" s="142"/>
      <c r="L757" s="404"/>
      <c r="M757" s="147"/>
      <c r="N757" s="142"/>
      <c r="O757" s="446"/>
      <c r="P757" s="142"/>
      <c r="Q757" s="142"/>
      <c r="R757" s="354"/>
    </row>
    <row r="758" spans="1:18" s="199" customFormat="1" ht="15.75" customHeight="1">
      <c r="A758" s="106">
        <v>80120</v>
      </c>
      <c r="B758" s="172" t="s">
        <v>18</v>
      </c>
      <c r="C758" s="108">
        <f>SUM(C759:C786)</f>
        <v>17263300</v>
      </c>
      <c r="D758" s="86">
        <f>G758+J758+P758+M758</f>
        <v>16641166</v>
      </c>
      <c r="E758" s="75">
        <f>H758+K758+Q758+N758</f>
        <v>8969851</v>
      </c>
      <c r="F758" s="451">
        <f t="shared" si="92"/>
        <v>53.90157756974481</v>
      </c>
      <c r="G758" s="133"/>
      <c r="H758" s="136"/>
      <c r="I758" s="473"/>
      <c r="J758" s="135"/>
      <c r="K758" s="136"/>
      <c r="L758" s="395"/>
      <c r="M758" s="108">
        <f>SUM(M759:M786)</f>
        <v>16641166</v>
      </c>
      <c r="N758" s="75">
        <f>SUM(N759:N786)</f>
        <v>8969851</v>
      </c>
      <c r="O758" s="432">
        <f t="shared" si="89"/>
        <v>53.90157756974481</v>
      </c>
      <c r="P758" s="75"/>
      <c r="Q758" s="75"/>
      <c r="R758" s="360"/>
    </row>
    <row r="759" spans="1:18" s="199" customFormat="1" ht="39" customHeight="1">
      <c r="A759" s="111">
        <v>2540</v>
      </c>
      <c r="B759" s="115" t="s">
        <v>5</v>
      </c>
      <c r="C759" s="79">
        <v>1500000</v>
      </c>
      <c r="D759" s="65">
        <f>G759+J759+P759+M759</f>
        <v>1670985</v>
      </c>
      <c r="E759" s="80">
        <f aca="true" t="shared" si="94" ref="E759:E786">SUM(H759+K759+N759+Q759)</f>
        <v>1267082</v>
      </c>
      <c r="F759" s="452">
        <f t="shared" si="92"/>
        <v>75.82844848996251</v>
      </c>
      <c r="G759" s="79"/>
      <c r="H759" s="80"/>
      <c r="I759" s="450"/>
      <c r="J759" s="113"/>
      <c r="K759" s="80"/>
      <c r="L759" s="379"/>
      <c r="M759" s="79">
        <f>1500000+170985</f>
        <v>1670985</v>
      </c>
      <c r="N759" s="80">
        <v>1267082</v>
      </c>
      <c r="O759" s="426">
        <f t="shared" si="89"/>
        <v>75.82844848996251</v>
      </c>
      <c r="P759" s="80"/>
      <c r="Q759" s="80"/>
      <c r="R759" s="350"/>
    </row>
    <row r="760" spans="1:18" s="199" customFormat="1" ht="36">
      <c r="A760" s="111">
        <v>3020</v>
      </c>
      <c r="B760" s="115" t="s">
        <v>259</v>
      </c>
      <c r="C760" s="79">
        <v>34900</v>
      </c>
      <c r="D760" s="65">
        <f>G760+J760+P760+M760</f>
        <v>46147</v>
      </c>
      <c r="E760" s="80">
        <f t="shared" si="94"/>
        <v>23530</v>
      </c>
      <c r="F760" s="452">
        <f t="shared" si="92"/>
        <v>50.989230069126926</v>
      </c>
      <c r="G760" s="79"/>
      <c r="H760" s="80"/>
      <c r="I760" s="450"/>
      <c r="J760" s="113"/>
      <c r="K760" s="80"/>
      <c r="L760" s="379"/>
      <c r="M760" s="79">
        <f>34900+3500+7747</f>
        <v>46147</v>
      </c>
      <c r="N760" s="80">
        <v>23530</v>
      </c>
      <c r="O760" s="426">
        <f t="shared" si="89"/>
        <v>50.989230069126926</v>
      </c>
      <c r="P760" s="80"/>
      <c r="Q760" s="80"/>
      <c r="R760" s="350"/>
    </row>
    <row r="761" spans="1:18" s="199" customFormat="1" ht="24" hidden="1">
      <c r="A761" s="111">
        <v>3030</v>
      </c>
      <c r="B761" s="115" t="s">
        <v>469</v>
      </c>
      <c r="C761" s="79"/>
      <c r="D761" s="65"/>
      <c r="E761" s="80" t="s">
        <v>563</v>
      </c>
      <c r="F761" s="452" t="s">
        <v>563</v>
      </c>
      <c r="G761" s="79"/>
      <c r="H761" s="80"/>
      <c r="I761" s="450"/>
      <c r="J761" s="113"/>
      <c r="K761" s="80"/>
      <c r="L761" s="379"/>
      <c r="M761" s="79"/>
      <c r="N761" s="80"/>
      <c r="O761" s="426"/>
      <c r="P761" s="80"/>
      <c r="Q761" s="80"/>
      <c r="R761" s="350"/>
    </row>
    <row r="762" spans="1:18" s="199" customFormat="1" ht="24">
      <c r="A762" s="111">
        <v>4010</v>
      </c>
      <c r="B762" s="115" t="s">
        <v>471</v>
      </c>
      <c r="C762" s="79">
        <v>8963600</v>
      </c>
      <c r="D762" s="65">
        <f aca="true" t="shared" si="95" ref="D762:D786">G762+J762+P762+M762</f>
        <v>8963600</v>
      </c>
      <c r="E762" s="80">
        <f t="shared" si="94"/>
        <v>4362191</v>
      </c>
      <c r="F762" s="452">
        <f t="shared" si="92"/>
        <v>48.66561426212682</v>
      </c>
      <c r="G762" s="79"/>
      <c r="H762" s="80"/>
      <c r="I762" s="450"/>
      <c r="J762" s="113"/>
      <c r="K762" s="80"/>
      <c r="L762" s="379"/>
      <c r="M762" s="79">
        <v>8963600</v>
      </c>
      <c r="N762" s="80">
        <v>4362191</v>
      </c>
      <c r="O762" s="426">
        <f aca="true" t="shared" si="96" ref="O762:O825">N762/M762*100</f>
        <v>48.66561426212682</v>
      </c>
      <c r="P762" s="80"/>
      <c r="Q762" s="80"/>
      <c r="R762" s="350"/>
    </row>
    <row r="763" spans="1:18" s="199" customFormat="1" ht="24">
      <c r="A763" s="145">
        <v>4040</v>
      </c>
      <c r="B763" s="146" t="s">
        <v>475</v>
      </c>
      <c r="C763" s="147">
        <v>717000</v>
      </c>
      <c r="D763" s="148">
        <f t="shared" si="95"/>
        <v>693966</v>
      </c>
      <c r="E763" s="142">
        <f t="shared" si="94"/>
        <v>693956</v>
      </c>
      <c r="F763" s="453">
        <f t="shared" si="92"/>
        <v>99.9985590072136</v>
      </c>
      <c r="G763" s="147"/>
      <c r="H763" s="142"/>
      <c r="I763" s="463"/>
      <c r="J763" s="149"/>
      <c r="K763" s="142"/>
      <c r="L763" s="404"/>
      <c r="M763" s="147">
        <f>717000-23034</f>
        <v>693966</v>
      </c>
      <c r="N763" s="142">
        <v>693956</v>
      </c>
      <c r="O763" s="446">
        <f t="shared" si="96"/>
        <v>99.9985590072136</v>
      </c>
      <c r="P763" s="142"/>
      <c r="Q763" s="142"/>
      <c r="R763" s="354"/>
    </row>
    <row r="764" spans="1:18" s="199" customFormat="1" ht="24">
      <c r="A764" s="111">
        <v>4110</v>
      </c>
      <c r="B764" s="115" t="s">
        <v>477</v>
      </c>
      <c r="C764" s="79">
        <v>1481900</v>
      </c>
      <c r="D764" s="65">
        <f t="shared" si="95"/>
        <v>1481900</v>
      </c>
      <c r="E764" s="80">
        <f t="shared" si="94"/>
        <v>739835</v>
      </c>
      <c r="F764" s="452">
        <f t="shared" si="92"/>
        <v>49.924758755651524</v>
      </c>
      <c r="G764" s="79"/>
      <c r="H764" s="80"/>
      <c r="I764" s="450"/>
      <c r="J764" s="113"/>
      <c r="K764" s="80"/>
      <c r="L764" s="379"/>
      <c r="M764" s="79">
        <v>1481900</v>
      </c>
      <c r="N764" s="80">
        <v>739835</v>
      </c>
      <c r="O764" s="426">
        <f t="shared" si="96"/>
        <v>49.924758755651524</v>
      </c>
      <c r="P764" s="80"/>
      <c r="Q764" s="80"/>
      <c r="R764" s="350"/>
    </row>
    <row r="765" spans="1:18" s="199" customFormat="1" ht="12.75">
      <c r="A765" s="111">
        <v>4120</v>
      </c>
      <c r="B765" s="115" t="s">
        <v>547</v>
      </c>
      <c r="C765" s="79">
        <v>236800</v>
      </c>
      <c r="D765" s="65">
        <f t="shared" si="95"/>
        <v>236800</v>
      </c>
      <c r="E765" s="80">
        <f t="shared" si="94"/>
        <v>119705</v>
      </c>
      <c r="F765" s="452">
        <f t="shared" si="92"/>
        <v>50.55109797297297</v>
      </c>
      <c r="G765" s="79"/>
      <c r="H765" s="80"/>
      <c r="I765" s="450"/>
      <c r="J765" s="113"/>
      <c r="K765" s="80"/>
      <c r="L765" s="379"/>
      <c r="M765" s="79">
        <v>236800</v>
      </c>
      <c r="N765" s="80">
        <v>119705</v>
      </c>
      <c r="O765" s="426">
        <f t="shared" si="96"/>
        <v>50.55109797297297</v>
      </c>
      <c r="P765" s="80"/>
      <c r="Q765" s="80"/>
      <c r="R765" s="350"/>
    </row>
    <row r="766" spans="1:18" s="199" customFormat="1" ht="24" hidden="1">
      <c r="A766" s="111">
        <v>4170</v>
      </c>
      <c r="B766" s="115" t="s">
        <v>511</v>
      </c>
      <c r="C766" s="79"/>
      <c r="D766" s="65">
        <f>G766+J766+P766+M766</f>
        <v>0</v>
      </c>
      <c r="E766" s="80">
        <f>SUM(H766+K766+N766+Q766)</f>
        <v>0</v>
      </c>
      <c r="F766" s="452" t="e">
        <f>E766/D766*100</f>
        <v>#DIV/0!</v>
      </c>
      <c r="G766" s="79"/>
      <c r="H766" s="80"/>
      <c r="I766" s="450"/>
      <c r="J766" s="113"/>
      <c r="K766" s="80"/>
      <c r="L766" s="379"/>
      <c r="M766" s="79"/>
      <c r="N766" s="80"/>
      <c r="O766" s="426" t="e">
        <f t="shared" si="96"/>
        <v>#DIV/0!</v>
      </c>
      <c r="P766" s="80"/>
      <c r="Q766" s="80"/>
      <c r="R766" s="350"/>
    </row>
    <row r="767" spans="1:18" s="199" customFormat="1" ht="24">
      <c r="A767" s="111">
        <v>4210</v>
      </c>
      <c r="B767" s="115" t="s">
        <v>481</v>
      </c>
      <c r="C767" s="79">
        <v>193200</v>
      </c>
      <c r="D767" s="65">
        <f t="shared" si="95"/>
        <v>213200</v>
      </c>
      <c r="E767" s="80">
        <f t="shared" si="94"/>
        <v>114890</v>
      </c>
      <c r="F767" s="452">
        <f t="shared" si="92"/>
        <v>53.888367729831145</v>
      </c>
      <c r="G767" s="79"/>
      <c r="H767" s="80"/>
      <c r="I767" s="450"/>
      <c r="J767" s="113"/>
      <c r="K767" s="80"/>
      <c r="L767" s="379"/>
      <c r="M767" s="79">
        <f>193200+25000-5000</f>
        <v>213200</v>
      </c>
      <c r="N767" s="80">
        <v>114890</v>
      </c>
      <c r="O767" s="426">
        <f t="shared" si="96"/>
        <v>53.888367729831145</v>
      </c>
      <c r="P767" s="80"/>
      <c r="Q767" s="80"/>
      <c r="R767" s="350"/>
    </row>
    <row r="768" spans="1:18" s="199" customFormat="1" ht="27.75" customHeight="1">
      <c r="A768" s="111">
        <v>4240</v>
      </c>
      <c r="B768" s="115" t="s">
        <v>539</v>
      </c>
      <c r="C768" s="79">
        <v>57100</v>
      </c>
      <c r="D768" s="65">
        <f t="shared" si="95"/>
        <v>57100</v>
      </c>
      <c r="E768" s="65">
        <f>H768+K768+Q768+N768</f>
        <v>13837</v>
      </c>
      <c r="F768" s="452">
        <f t="shared" si="92"/>
        <v>24.23292469352014</v>
      </c>
      <c r="G768" s="79"/>
      <c r="H768" s="80"/>
      <c r="I768" s="450"/>
      <c r="J768" s="113"/>
      <c r="K768" s="80"/>
      <c r="L768" s="379"/>
      <c r="M768" s="79">
        <v>57100</v>
      </c>
      <c r="N768" s="80">
        <v>13837</v>
      </c>
      <c r="O768" s="426">
        <f t="shared" si="96"/>
        <v>24.23292469352014</v>
      </c>
      <c r="P768" s="80"/>
      <c r="Q768" s="80"/>
      <c r="R768" s="350"/>
    </row>
    <row r="769" spans="1:18" s="199" customFormat="1" ht="15.75" customHeight="1">
      <c r="A769" s="111">
        <v>4260</v>
      </c>
      <c r="B769" s="115" t="s">
        <v>485</v>
      </c>
      <c r="C769" s="79">
        <v>580000</v>
      </c>
      <c r="D769" s="65">
        <f t="shared" si="95"/>
        <v>642330</v>
      </c>
      <c r="E769" s="80">
        <f t="shared" si="94"/>
        <v>470190</v>
      </c>
      <c r="F769" s="452">
        <f t="shared" si="92"/>
        <v>73.20069123347812</v>
      </c>
      <c r="G769" s="79"/>
      <c r="H769" s="80"/>
      <c r="I769" s="450"/>
      <c r="J769" s="113"/>
      <c r="K769" s="80"/>
      <c r="L769" s="379"/>
      <c r="M769" s="79">
        <f>580000+25000+37330</f>
        <v>642330</v>
      </c>
      <c r="N769" s="80">
        <v>470190</v>
      </c>
      <c r="O769" s="426">
        <f t="shared" si="96"/>
        <v>73.20069123347812</v>
      </c>
      <c r="P769" s="80"/>
      <c r="Q769" s="80"/>
      <c r="R769" s="350"/>
    </row>
    <row r="770" spans="1:18" s="199" customFormat="1" ht="15.75" customHeight="1">
      <c r="A770" s="111">
        <v>4270</v>
      </c>
      <c r="B770" s="115" t="s">
        <v>487</v>
      </c>
      <c r="C770" s="79">
        <v>36000</v>
      </c>
      <c r="D770" s="65">
        <f t="shared" si="95"/>
        <v>36000</v>
      </c>
      <c r="E770" s="80">
        <f t="shared" si="94"/>
        <v>18196</v>
      </c>
      <c r="F770" s="452">
        <f t="shared" si="92"/>
        <v>50.544444444444444</v>
      </c>
      <c r="G770" s="79"/>
      <c r="H770" s="80"/>
      <c r="I770" s="450"/>
      <c r="J770" s="113"/>
      <c r="K770" s="80"/>
      <c r="L770" s="379"/>
      <c r="M770" s="79">
        <v>36000</v>
      </c>
      <c r="N770" s="80">
        <v>18196</v>
      </c>
      <c r="O770" s="426">
        <f t="shared" si="96"/>
        <v>50.544444444444444</v>
      </c>
      <c r="P770" s="80"/>
      <c r="Q770" s="80"/>
      <c r="R770" s="350"/>
    </row>
    <row r="771" spans="1:18" s="199" customFormat="1" ht="18" customHeight="1" hidden="1">
      <c r="A771" s="111">
        <v>4270</v>
      </c>
      <c r="B771" s="115" t="s">
        <v>21</v>
      </c>
      <c r="C771" s="79"/>
      <c r="D771" s="65">
        <f t="shared" si="95"/>
        <v>0</v>
      </c>
      <c r="E771" s="80">
        <f t="shared" si="94"/>
        <v>0</v>
      </c>
      <c r="F771" s="452" t="e">
        <f t="shared" si="92"/>
        <v>#DIV/0!</v>
      </c>
      <c r="G771" s="79"/>
      <c r="H771" s="80"/>
      <c r="I771" s="450"/>
      <c r="J771" s="113"/>
      <c r="K771" s="80"/>
      <c r="L771" s="379"/>
      <c r="M771" s="79"/>
      <c r="N771" s="80"/>
      <c r="O771" s="426" t="e">
        <f t="shared" si="96"/>
        <v>#DIV/0!</v>
      </c>
      <c r="P771" s="80"/>
      <c r="Q771" s="80"/>
      <c r="R771" s="350"/>
    </row>
    <row r="772" spans="1:18" s="199" customFormat="1" ht="17.25" customHeight="1">
      <c r="A772" s="111">
        <v>4280</v>
      </c>
      <c r="B772" s="115" t="s">
        <v>520</v>
      </c>
      <c r="C772" s="79">
        <v>8800</v>
      </c>
      <c r="D772" s="65">
        <f t="shared" si="95"/>
        <v>8800</v>
      </c>
      <c r="E772" s="80">
        <f t="shared" si="94"/>
        <v>1133</v>
      </c>
      <c r="F772" s="452">
        <f t="shared" si="92"/>
        <v>12.875</v>
      </c>
      <c r="G772" s="79"/>
      <c r="H772" s="80"/>
      <c r="I772" s="450"/>
      <c r="J772" s="113"/>
      <c r="K772" s="80"/>
      <c r="L772" s="379"/>
      <c r="M772" s="79">
        <v>8800</v>
      </c>
      <c r="N772" s="80">
        <v>1133</v>
      </c>
      <c r="O772" s="426">
        <f t="shared" si="96"/>
        <v>12.875</v>
      </c>
      <c r="P772" s="80"/>
      <c r="Q772" s="80"/>
      <c r="R772" s="350"/>
    </row>
    <row r="773" spans="1:18" s="199" customFormat="1" ht="18" customHeight="1">
      <c r="A773" s="111">
        <v>4300</v>
      </c>
      <c r="B773" s="115" t="s">
        <v>489</v>
      </c>
      <c r="C773" s="79">
        <v>145000</v>
      </c>
      <c r="D773" s="65">
        <f t="shared" si="95"/>
        <v>145000</v>
      </c>
      <c r="E773" s="80">
        <f t="shared" si="94"/>
        <v>79855</v>
      </c>
      <c r="F773" s="452">
        <f t="shared" si="92"/>
        <v>55.07241379310345</v>
      </c>
      <c r="G773" s="79"/>
      <c r="H773" s="80"/>
      <c r="I773" s="450"/>
      <c r="J773" s="113"/>
      <c r="K773" s="80"/>
      <c r="L773" s="379"/>
      <c r="M773" s="79">
        <v>145000</v>
      </c>
      <c r="N773" s="80">
        <v>79855</v>
      </c>
      <c r="O773" s="426">
        <f t="shared" si="96"/>
        <v>55.07241379310345</v>
      </c>
      <c r="P773" s="80"/>
      <c r="Q773" s="80"/>
      <c r="R773" s="350"/>
    </row>
    <row r="774" spans="1:18" s="199" customFormat="1" ht="24">
      <c r="A774" s="111">
        <v>4350</v>
      </c>
      <c r="B774" s="115" t="s">
        <v>7</v>
      </c>
      <c r="C774" s="79">
        <v>10100</v>
      </c>
      <c r="D774" s="65">
        <f t="shared" si="95"/>
        <v>10100</v>
      </c>
      <c r="E774" s="80">
        <f t="shared" si="94"/>
        <v>4145</v>
      </c>
      <c r="F774" s="452">
        <f t="shared" si="92"/>
        <v>41.039603960396036</v>
      </c>
      <c r="G774" s="79"/>
      <c r="H774" s="80"/>
      <c r="I774" s="450"/>
      <c r="J774" s="113"/>
      <c r="K774" s="80"/>
      <c r="L774" s="379"/>
      <c r="M774" s="79">
        <v>10100</v>
      </c>
      <c r="N774" s="80">
        <v>4145</v>
      </c>
      <c r="O774" s="426">
        <f t="shared" si="96"/>
        <v>41.039603960396036</v>
      </c>
      <c r="P774" s="80"/>
      <c r="Q774" s="80"/>
      <c r="R774" s="350"/>
    </row>
    <row r="775" spans="1:18" s="199" customFormat="1" ht="38.25" customHeight="1">
      <c r="A775" s="159">
        <v>4360</v>
      </c>
      <c r="B775" s="326" t="s">
        <v>295</v>
      </c>
      <c r="C775" s="79">
        <v>1100</v>
      </c>
      <c r="D775" s="65">
        <f t="shared" si="95"/>
        <v>1100</v>
      </c>
      <c r="E775" s="80">
        <f>SUM(H775+K775+N775+Q775)</f>
        <v>590</v>
      </c>
      <c r="F775" s="452">
        <f t="shared" si="92"/>
        <v>53.63636363636364</v>
      </c>
      <c r="G775" s="79"/>
      <c r="H775" s="80"/>
      <c r="I775" s="450"/>
      <c r="J775" s="113"/>
      <c r="K775" s="80"/>
      <c r="L775" s="379"/>
      <c r="M775" s="79">
        <v>1100</v>
      </c>
      <c r="N775" s="80">
        <v>590</v>
      </c>
      <c r="O775" s="426">
        <f t="shared" si="96"/>
        <v>53.63636363636364</v>
      </c>
      <c r="P775" s="80"/>
      <c r="Q775" s="80"/>
      <c r="R775" s="350"/>
    </row>
    <row r="776" spans="1:18" s="199" customFormat="1" ht="39" customHeight="1">
      <c r="A776" s="159">
        <v>4370</v>
      </c>
      <c r="B776" s="326" t="s">
        <v>296</v>
      </c>
      <c r="C776" s="79">
        <v>32900</v>
      </c>
      <c r="D776" s="65">
        <f t="shared" si="95"/>
        <v>32900</v>
      </c>
      <c r="E776" s="80">
        <f>SUM(H776+K776+N776+Q776)</f>
        <v>14018</v>
      </c>
      <c r="F776" s="452">
        <f t="shared" si="92"/>
        <v>42.607902735562305</v>
      </c>
      <c r="G776" s="79"/>
      <c r="H776" s="80"/>
      <c r="I776" s="450"/>
      <c r="J776" s="113"/>
      <c r="K776" s="80"/>
      <c r="L776" s="379"/>
      <c r="M776" s="79">
        <v>32900</v>
      </c>
      <c r="N776" s="80">
        <v>14018</v>
      </c>
      <c r="O776" s="426">
        <f t="shared" si="96"/>
        <v>42.607902735562305</v>
      </c>
      <c r="P776" s="80"/>
      <c r="Q776" s="80"/>
      <c r="R776" s="350"/>
    </row>
    <row r="777" spans="1:18" s="199" customFormat="1" ht="36">
      <c r="A777" s="111">
        <v>4390</v>
      </c>
      <c r="B777" s="193" t="s">
        <v>271</v>
      </c>
      <c r="C777" s="79">
        <v>18000</v>
      </c>
      <c r="D777" s="65">
        <f t="shared" si="95"/>
        <v>18000</v>
      </c>
      <c r="E777" s="80">
        <f>SUM(H777+K777+N777+Q777)</f>
        <v>3940</v>
      </c>
      <c r="F777" s="452">
        <f t="shared" si="92"/>
        <v>21.88888888888889</v>
      </c>
      <c r="G777" s="79"/>
      <c r="H777" s="80"/>
      <c r="I777" s="450"/>
      <c r="J777" s="113"/>
      <c r="K777" s="80"/>
      <c r="L777" s="379"/>
      <c r="M777" s="79">
        <v>18000</v>
      </c>
      <c r="N777" s="80">
        <v>3940</v>
      </c>
      <c r="O777" s="426">
        <f t="shared" si="96"/>
        <v>21.88888888888889</v>
      </c>
      <c r="P777" s="80"/>
      <c r="Q777" s="80"/>
      <c r="R777" s="350"/>
    </row>
    <row r="778" spans="1:18" s="199" customFormat="1" ht="15.75" customHeight="1">
      <c r="A778" s="111">
        <v>4410</v>
      </c>
      <c r="B778" s="115" t="s">
        <v>463</v>
      </c>
      <c r="C778" s="79">
        <v>27500</v>
      </c>
      <c r="D778" s="65">
        <f t="shared" si="95"/>
        <v>30500</v>
      </c>
      <c r="E778" s="80">
        <f t="shared" si="94"/>
        <v>18199</v>
      </c>
      <c r="F778" s="452">
        <f t="shared" si="92"/>
        <v>59.6688524590164</v>
      </c>
      <c r="G778" s="79"/>
      <c r="H778" s="80"/>
      <c r="I778" s="450"/>
      <c r="J778" s="113"/>
      <c r="K778" s="80"/>
      <c r="L778" s="379"/>
      <c r="M778" s="79">
        <f>27500+3000</f>
        <v>30500</v>
      </c>
      <c r="N778" s="80">
        <f>18200-1</f>
        <v>18199</v>
      </c>
      <c r="O778" s="426">
        <f t="shared" si="96"/>
        <v>59.6688524590164</v>
      </c>
      <c r="P778" s="80"/>
      <c r="Q778" s="80"/>
      <c r="R778" s="350"/>
    </row>
    <row r="779" spans="1:18" s="199" customFormat="1" ht="27" customHeight="1">
      <c r="A779" s="111">
        <v>4420</v>
      </c>
      <c r="B779" s="115" t="s">
        <v>532</v>
      </c>
      <c r="C779" s="79">
        <v>500</v>
      </c>
      <c r="D779" s="65">
        <f t="shared" si="95"/>
        <v>3590</v>
      </c>
      <c r="E779" s="80">
        <f t="shared" si="94"/>
        <v>2525</v>
      </c>
      <c r="F779" s="452">
        <f t="shared" si="92"/>
        <v>70.33426183844011</v>
      </c>
      <c r="G779" s="79"/>
      <c r="H779" s="80"/>
      <c r="I779" s="450"/>
      <c r="J779" s="113"/>
      <c r="K779" s="80"/>
      <c r="L779" s="379"/>
      <c r="M779" s="79">
        <f>500+3090</f>
        <v>3590</v>
      </c>
      <c r="N779" s="80">
        <v>2525</v>
      </c>
      <c r="O779" s="426">
        <f t="shared" si="96"/>
        <v>70.33426183844011</v>
      </c>
      <c r="P779" s="80"/>
      <c r="Q779" s="80"/>
      <c r="R779" s="350"/>
    </row>
    <row r="780" spans="1:18" s="199" customFormat="1" ht="12.75" hidden="1">
      <c r="A780" s="111">
        <v>4430</v>
      </c>
      <c r="B780" s="115" t="s">
        <v>491</v>
      </c>
      <c r="C780" s="79"/>
      <c r="D780" s="65">
        <f>G780+J780+P780+M780</f>
        <v>0</v>
      </c>
      <c r="E780" s="80">
        <f>SUM(H780+K780+N780+Q780)</f>
        <v>0</v>
      </c>
      <c r="F780" s="452"/>
      <c r="G780" s="79"/>
      <c r="H780" s="80"/>
      <c r="I780" s="450"/>
      <c r="J780" s="113"/>
      <c r="K780" s="80"/>
      <c r="L780" s="379"/>
      <c r="M780" s="79"/>
      <c r="N780" s="80"/>
      <c r="O780" s="426"/>
      <c r="P780" s="80"/>
      <c r="Q780" s="80"/>
      <c r="R780" s="350"/>
    </row>
    <row r="781" spans="1:18" s="199" customFormat="1" ht="12.75">
      <c r="A781" s="111">
        <v>4440</v>
      </c>
      <c r="B781" s="115" t="s">
        <v>493</v>
      </c>
      <c r="C781" s="79">
        <v>515700</v>
      </c>
      <c r="D781" s="65">
        <f t="shared" si="95"/>
        <v>529848</v>
      </c>
      <c r="E781" s="80">
        <f t="shared" si="94"/>
        <v>420477</v>
      </c>
      <c r="F781" s="452">
        <f t="shared" si="92"/>
        <v>79.3580423064728</v>
      </c>
      <c r="G781" s="79"/>
      <c r="H781" s="80"/>
      <c r="I781" s="450"/>
      <c r="J781" s="113"/>
      <c r="K781" s="80"/>
      <c r="L781" s="379"/>
      <c r="M781" s="79">
        <f>515700+14148</f>
        <v>529848</v>
      </c>
      <c r="N781" s="80">
        <v>420477</v>
      </c>
      <c r="O781" s="426">
        <f t="shared" si="96"/>
        <v>79.3580423064728</v>
      </c>
      <c r="P781" s="80"/>
      <c r="Q781" s="80"/>
      <c r="R781" s="350"/>
    </row>
    <row r="782" spans="1:18" s="199" customFormat="1" ht="36">
      <c r="A782" s="159">
        <v>4700</v>
      </c>
      <c r="B782" s="326" t="s">
        <v>284</v>
      </c>
      <c r="C782" s="79">
        <v>14500</v>
      </c>
      <c r="D782" s="65">
        <f t="shared" si="95"/>
        <v>14500</v>
      </c>
      <c r="E782" s="80">
        <f>SUM(H782+K782+N782+Q782)</f>
        <v>5433</v>
      </c>
      <c r="F782" s="452">
        <f t="shared" si="92"/>
        <v>37.46896551724138</v>
      </c>
      <c r="G782" s="79"/>
      <c r="H782" s="80"/>
      <c r="I782" s="450"/>
      <c r="J782" s="113"/>
      <c r="K782" s="80"/>
      <c r="L782" s="379"/>
      <c r="M782" s="79">
        <v>14500</v>
      </c>
      <c r="N782" s="80">
        <v>5433</v>
      </c>
      <c r="O782" s="426">
        <f t="shared" si="96"/>
        <v>37.46896551724138</v>
      </c>
      <c r="P782" s="80"/>
      <c r="Q782" s="80"/>
      <c r="R782" s="350"/>
    </row>
    <row r="783" spans="1:18" s="199" customFormat="1" ht="51.75" customHeight="1">
      <c r="A783" s="159">
        <v>4740</v>
      </c>
      <c r="B783" s="326" t="s">
        <v>288</v>
      </c>
      <c r="C783" s="79">
        <v>17700</v>
      </c>
      <c r="D783" s="65">
        <f t="shared" si="95"/>
        <v>17700</v>
      </c>
      <c r="E783" s="80">
        <f>SUM(H783+K783+N783+Q783)</f>
        <v>4837</v>
      </c>
      <c r="F783" s="452">
        <f t="shared" si="92"/>
        <v>27.32768361581921</v>
      </c>
      <c r="G783" s="79"/>
      <c r="H783" s="80"/>
      <c r="I783" s="450"/>
      <c r="J783" s="113"/>
      <c r="K783" s="80"/>
      <c r="L783" s="379"/>
      <c r="M783" s="79">
        <v>17700</v>
      </c>
      <c r="N783" s="80">
        <v>4837</v>
      </c>
      <c r="O783" s="426">
        <f t="shared" si="96"/>
        <v>27.32768361581921</v>
      </c>
      <c r="P783" s="80"/>
      <c r="Q783" s="80"/>
      <c r="R783" s="350"/>
    </row>
    <row r="784" spans="1:18" s="199" customFormat="1" ht="36">
      <c r="A784" s="159">
        <v>4750</v>
      </c>
      <c r="B784" s="326" t="s">
        <v>289</v>
      </c>
      <c r="C784" s="79">
        <v>21800</v>
      </c>
      <c r="D784" s="65">
        <f t="shared" si="95"/>
        <v>26800</v>
      </c>
      <c r="E784" s="80">
        <f t="shared" si="94"/>
        <v>16211</v>
      </c>
      <c r="F784" s="452">
        <f t="shared" si="92"/>
        <v>60.48880597014925</v>
      </c>
      <c r="G784" s="79"/>
      <c r="H784" s="80"/>
      <c r="I784" s="450"/>
      <c r="J784" s="113"/>
      <c r="K784" s="80"/>
      <c r="L784" s="379"/>
      <c r="M784" s="79">
        <f>21800+5000</f>
        <v>26800</v>
      </c>
      <c r="N784" s="80">
        <v>16211</v>
      </c>
      <c r="O784" s="426">
        <f t="shared" si="96"/>
        <v>60.48880597014925</v>
      </c>
      <c r="P784" s="80"/>
      <c r="Q784" s="80"/>
      <c r="R784" s="350"/>
    </row>
    <row r="785" spans="1:18" s="199" customFormat="1" ht="24">
      <c r="A785" s="145">
        <v>6050</v>
      </c>
      <c r="B785" s="339" t="s">
        <v>549</v>
      </c>
      <c r="C785" s="147">
        <f>2540000+85800</f>
        <v>2625800</v>
      </c>
      <c r="D785" s="148">
        <f t="shared" si="95"/>
        <v>1736900</v>
      </c>
      <c r="E785" s="142">
        <f t="shared" si="94"/>
        <v>575076</v>
      </c>
      <c r="F785" s="453">
        <f t="shared" si="92"/>
        <v>33.10933271921239</v>
      </c>
      <c r="G785" s="147"/>
      <c r="H785" s="142"/>
      <c r="I785" s="463"/>
      <c r="J785" s="149"/>
      <c r="K785" s="142"/>
      <c r="L785" s="404"/>
      <c r="M785" s="147">
        <f>2540000+85800-2540000+2245000+12600-110000+33500-500000-30000</f>
        <v>1736900</v>
      </c>
      <c r="N785" s="142">
        <v>575076</v>
      </c>
      <c r="O785" s="446">
        <f t="shared" si="96"/>
        <v>33.10933271921239</v>
      </c>
      <c r="P785" s="142"/>
      <c r="Q785" s="142"/>
      <c r="R785" s="354"/>
    </row>
    <row r="786" spans="1:18" s="199" customFormat="1" ht="36">
      <c r="A786" s="145">
        <v>6060</v>
      </c>
      <c r="B786" s="339" t="s">
        <v>8</v>
      </c>
      <c r="C786" s="147">
        <v>23400</v>
      </c>
      <c r="D786" s="148">
        <f t="shared" si="95"/>
        <v>23400</v>
      </c>
      <c r="E786" s="142">
        <f t="shared" si="94"/>
        <v>0</v>
      </c>
      <c r="F786" s="453">
        <f t="shared" si="92"/>
        <v>0</v>
      </c>
      <c r="G786" s="147"/>
      <c r="H786" s="142"/>
      <c r="I786" s="463"/>
      <c r="J786" s="149"/>
      <c r="K786" s="142"/>
      <c r="L786" s="404"/>
      <c r="M786" s="147">
        <v>23400</v>
      </c>
      <c r="N786" s="142"/>
      <c r="O786" s="426">
        <f t="shared" si="96"/>
        <v>0</v>
      </c>
      <c r="P786" s="142"/>
      <c r="Q786" s="142"/>
      <c r="R786" s="354"/>
    </row>
    <row r="787" spans="1:18" s="264" customFormat="1" ht="16.5" customHeight="1">
      <c r="A787" s="137">
        <v>80123</v>
      </c>
      <c r="B787" s="174" t="s">
        <v>22</v>
      </c>
      <c r="C787" s="85">
        <f>SUM(C788:C808)</f>
        <v>2020500</v>
      </c>
      <c r="D787" s="86">
        <f>G787+J787+P787+M787</f>
        <v>2022257</v>
      </c>
      <c r="E787" s="75">
        <f>H787+K787+Q787+N787</f>
        <v>1158179</v>
      </c>
      <c r="F787" s="451">
        <f t="shared" si="92"/>
        <v>57.27160296638855</v>
      </c>
      <c r="G787" s="85"/>
      <c r="H787" s="86"/>
      <c r="I787" s="473"/>
      <c r="J787" s="158"/>
      <c r="K787" s="86"/>
      <c r="L787" s="406"/>
      <c r="M787" s="85">
        <f>SUM(M788:M808)</f>
        <v>2022257</v>
      </c>
      <c r="N787" s="86">
        <f>SUM(N788:N808)</f>
        <v>1158179</v>
      </c>
      <c r="O787" s="432">
        <f t="shared" si="96"/>
        <v>57.27160296638855</v>
      </c>
      <c r="P787" s="86"/>
      <c r="Q787" s="86"/>
      <c r="R787" s="358"/>
    </row>
    <row r="788" spans="1:18" s="199" customFormat="1" ht="36">
      <c r="A788" s="99">
        <v>3020</v>
      </c>
      <c r="B788" s="115" t="s">
        <v>259</v>
      </c>
      <c r="C788" s="81">
        <v>8000</v>
      </c>
      <c r="D788" s="94">
        <f aca="true" t="shared" si="97" ref="D788:D839">G788+J788+P788+M788</f>
        <v>8000</v>
      </c>
      <c r="E788" s="95">
        <f aca="true" t="shared" si="98" ref="E788:E808">SUM(H788+K788+N788+Q788)</f>
        <v>2393</v>
      </c>
      <c r="F788" s="454">
        <f t="shared" si="92"/>
        <v>29.912499999999998</v>
      </c>
      <c r="G788" s="81"/>
      <c r="H788" s="95"/>
      <c r="I788" s="474"/>
      <c r="J788" s="187"/>
      <c r="K788" s="95"/>
      <c r="L788" s="403"/>
      <c r="M788" s="81">
        <v>8000</v>
      </c>
      <c r="N788" s="95">
        <v>2393</v>
      </c>
      <c r="O788" s="454">
        <f>N788/M788*100</f>
        <v>29.912499999999998</v>
      </c>
      <c r="P788" s="81"/>
      <c r="Q788" s="95"/>
      <c r="R788" s="353"/>
    </row>
    <row r="789" spans="1:18" s="199" customFormat="1" ht="24">
      <c r="A789" s="111">
        <v>4010</v>
      </c>
      <c r="B789" s="115" t="s">
        <v>471</v>
      </c>
      <c r="C789" s="79">
        <v>1384000</v>
      </c>
      <c r="D789" s="65">
        <f t="shared" si="97"/>
        <v>1385890</v>
      </c>
      <c r="E789" s="80">
        <f t="shared" si="98"/>
        <v>757666</v>
      </c>
      <c r="F789" s="452">
        <f t="shared" si="92"/>
        <v>54.66999545418467</v>
      </c>
      <c r="G789" s="79"/>
      <c r="H789" s="80"/>
      <c r="I789" s="450"/>
      <c r="J789" s="113"/>
      <c r="K789" s="80"/>
      <c r="L789" s="379"/>
      <c r="M789" s="79">
        <f>1384000+1890</f>
        <v>1385890</v>
      </c>
      <c r="N789" s="80">
        <v>757666</v>
      </c>
      <c r="O789" s="452">
        <f aca="true" t="shared" si="99" ref="O789:O808">N789/M789*100</f>
        <v>54.66999545418467</v>
      </c>
      <c r="P789" s="80"/>
      <c r="Q789" s="80"/>
      <c r="R789" s="350"/>
    </row>
    <row r="790" spans="1:18" s="199" customFormat="1" ht="24">
      <c r="A790" s="111">
        <v>4040</v>
      </c>
      <c r="B790" s="115" t="s">
        <v>475</v>
      </c>
      <c r="C790" s="79">
        <v>109800</v>
      </c>
      <c r="D790" s="65">
        <f t="shared" si="97"/>
        <v>106535</v>
      </c>
      <c r="E790" s="80">
        <f t="shared" si="98"/>
        <v>106529</v>
      </c>
      <c r="F790" s="452">
        <f t="shared" si="92"/>
        <v>99.99436804805933</v>
      </c>
      <c r="G790" s="79"/>
      <c r="H790" s="80"/>
      <c r="I790" s="450"/>
      <c r="J790" s="113"/>
      <c r="K790" s="80"/>
      <c r="L790" s="379"/>
      <c r="M790" s="79">
        <f>109800-3265</f>
        <v>106535</v>
      </c>
      <c r="N790" s="80">
        <f>106527+2</f>
        <v>106529</v>
      </c>
      <c r="O790" s="452">
        <f t="shared" si="99"/>
        <v>99.99436804805933</v>
      </c>
      <c r="P790" s="80"/>
      <c r="Q790" s="80"/>
      <c r="R790" s="350"/>
    </row>
    <row r="791" spans="1:18" s="199" customFormat="1" ht="24">
      <c r="A791" s="111">
        <v>4110</v>
      </c>
      <c r="B791" s="115" t="s">
        <v>477</v>
      </c>
      <c r="C791" s="79">
        <v>227100</v>
      </c>
      <c r="D791" s="65">
        <f t="shared" si="97"/>
        <v>227360</v>
      </c>
      <c r="E791" s="80">
        <f t="shared" si="98"/>
        <v>111823</v>
      </c>
      <c r="F791" s="452">
        <f t="shared" si="92"/>
        <v>49.1832336382829</v>
      </c>
      <c r="G791" s="79"/>
      <c r="H791" s="80"/>
      <c r="I791" s="450"/>
      <c r="J791" s="113"/>
      <c r="K791" s="80"/>
      <c r="L791" s="379"/>
      <c r="M791" s="79">
        <f>227100+260</f>
        <v>227360</v>
      </c>
      <c r="N791" s="80">
        <v>111823</v>
      </c>
      <c r="O791" s="452">
        <f t="shared" si="99"/>
        <v>49.1832336382829</v>
      </c>
      <c r="P791" s="80"/>
      <c r="Q791" s="80"/>
      <c r="R791" s="350"/>
    </row>
    <row r="792" spans="1:18" s="199" customFormat="1" ht="12.75">
      <c r="A792" s="111">
        <v>4120</v>
      </c>
      <c r="B792" s="115" t="s">
        <v>547</v>
      </c>
      <c r="C792" s="79">
        <v>36500</v>
      </c>
      <c r="D792" s="65">
        <f t="shared" si="97"/>
        <v>36550</v>
      </c>
      <c r="E792" s="80">
        <f t="shared" si="98"/>
        <v>19250</v>
      </c>
      <c r="F792" s="452">
        <f t="shared" si="92"/>
        <v>52.667578659370726</v>
      </c>
      <c r="G792" s="79"/>
      <c r="H792" s="80"/>
      <c r="I792" s="450"/>
      <c r="J792" s="113"/>
      <c r="K792" s="80"/>
      <c r="L792" s="379"/>
      <c r="M792" s="79">
        <f>36500+50</f>
        <v>36550</v>
      </c>
      <c r="N792" s="80">
        <f>19249+1</f>
        <v>19250</v>
      </c>
      <c r="O792" s="452">
        <f t="shared" si="99"/>
        <v>52.667578659370726</v>
      </c>
      <c r="P792" s="80"/>
      <c r="Q792" s="80"/>
      <c r="R792" s="350"/>
    </row>
    <row r="793" spans="1:18" s="199" customFormat="1" ht="12.75">
      <c r="A793" s="111">
        <v>4140</v>
      </c>
      <c r="B793" s="115" t="s">
        <v>519</v>
      </c>
      <c r="C793" s="79">
        <v>6000</v>
      </c>
      <c r="D793" s="65">
        <f t="shared" si="97"/>
        <v>6000</v>
      </c>
      <c r="E793" s="80">
        <f t="shared" si="98"/>
        <v>2180</v>
      </c>
      <c r="F793" s="452">
        <f t="shared" si="92"/>
        <v>36.333333333333336</v>
      </c>
      <c r="G793" s="79"/>
      <c r="H793" s="80"/>
      <c r="I793" s="450"/>
      <c r="J793" s="113"/>
      <c r="K793" s="80"/>
      <c r="L793" s="379"/>
      <c r="M793" s="79">
        <v>6000</v>
      </c>
      <c r="N793" s="80">
        <v>2180</v>
      </c>
      <c r="O793" s="452">
        <f t="shared" si="99"/>
        <v>36.333333333333336</v>
      </c>
      <c r="P793" s="80"/>
      <c r="Q793" s="80"/>
      <c r="R793" s="350"/>
    </row>
    <row r="794" spans="1:18" s="199" customFormat="1" ht="24">
      <c r="A794" s="111">
        <v>4210</v>
      </c>
      <c r="B794" s="115" t="s">
        <v>481</v>
      </c>
      <c r="C794" s="79">
        <v>29000</v>
      </c>
      <c r="D794" s="65">
        <f t="shared" si="97"/>
        <v>29000</v>
      </c>
      <c r="E794" s="80">
        <f t="shared" si="98"/>
        <v>13658</v>
      </c>
      <c r="F794" s="452">
        <f t="shared" si="92"/>
        <v>47.09655172413793</v>
      </c>
      <c r="G794" s="79"/>
      <c r="H794" s="80"/>
      <c r="I794" s="450"/>
      <c r="J794" s="113"/>
      <c r="K794" s="80"/>
      <c r="L794" s="379"/>
      <c r="M794" s="79">
        <v>29000</v>
      </c>
      <c r="N794" s="80">
        <v>13658</v>
      </c>
      <c r="O794" s="452">
        <f t="shared" si="99"/>
        <v>47.09655172413793</v>
      </c>
      <c r="P794" s="80"/>
      <c r="Q794" s="80"/>
      <c r="R794" s="350"/>
    </row>
    <row r="795" spans="1:18" s="199" customFormat="1" ht="24">
      <c r="A795" s="111">
        <v>4240</v>
      </c>
      <c r="B795" s="115" t="s">
        <v>641</v>
      </c>
      <c r="C795" s="79">
        <v>10000</v>
      </c>
      <c r="D795" s="65">
        <f t="shared" si="97"/>
        <v>10000</v>
      </c>
      <c r="E795" s="80">
        <f t="shared" si="98"/>
        <v>715</v>
      </c>
      <c r="F795" s="452">
        <f t="shared" si="92"/>
        <v>7.1499999999999995</v>
      </c>
      <c r="G795" s="79"/>
      <c r="H795" s="80"/>
      <c r="I795" s="450"/>
      <c r="J795" s="113"/>
      <c r="K795" s="80"/>
      <c r="L795" s="379"/>
      <c r="M795" s="79">
        <v>10000</v>
      </c>
      <c r="N795" s="80">
        <v>715</v>
      </c>
      <c r="O795" s="452">
        <f t="shared" si="99"/>
        <v>7.1499999999999995</v>
      </c>
      <c r="P795" s="80"/>
      <c r="Q795" s="80"/>
      <c r="R795" s="350"/>
    </row>
    <row r="796" spans="1:18" s="199" customFormat="1" ht="12.75">
      <c r="A796" s="111">
        <v>4260</v>
      </c>
      <c r="B796" s="115" t="s">
        <v>485</v>
      </c>
      <c r="C796" s="79">
        <v>63000</v>
      </c>
      <c r="D796" s="65">
        <f t="shared" si="97"/>
        <v>63000</v>
      </c>
      <c r="E796" s="80">
        <f t="shared" si="98"/>
        <v>52067</v>
      </c>
      <c r="F796" s="452">
        <f t="shared" si="92"/>
        <v>82.64603174603174</v>
      </c>
      <c r="G796" s="79"/>
      <c r="H796" s="80"/>
      <c r="I796" s="450"/>
      <c r="J796" s="113"/>
      <c r="K796" s="80"/>
      <c r="L796" s="379"/>
      <c r="M796" s="79">
        <v>63000</v>
      </c>
      <c r="N796" s="80">
        <v>52067</v>
      </c>
      <c r="O796" s="452">
        <f t="shared" si="99"/>
        <v>82.64603174603174</v>
      </c>
      <c r="P796" s="80"/>
      <c r="Q796" s="80"/>
      <c r="R796" s="350"/>
    </row>
    <row r="797" spans="1:18" s="199" customFormat="1" ht="17.25" customHeight="1">
      <c r="A797" s="111">
        <v>4270</v>
      </c>
      <c r="B797" s="115" t="s">
        <v>487</v>
      </c>
      <c r="C797" s="79">
        <v>4500</v>
      </c>
      <c r="D797" s="65">
        <f t="shared" si="97"/>
        <v>4500</v>
      </c>
      <c r="E797" s="80">
        <f t="shared" si="98"/>
        <v>2474</v>
      </c>
      <c r="F797" s="452">
        <f t="shared" si="92"/>
        <v>54.97777777777778</v>
      </c>
      <c r="G797" s="79"/>
      <c r="H797" s="80"/>
      <c r="I797" s="450"/>
      <c r="J797" s="113"/>
      <c r="K797" s="80"/>
      <c r="L797" s="379"/>
      <c r="M797" s="79">
        <v>4500</v>
      </c>
      <c r="N797" s="80">
        <v>2474</v>
      </c>
      <c r="O797" s="452">
        <f t="shared" si="99"/>
        <v>54.97777777777778</v>
      </c>
      <c r="P797" s="80"/>
      <c r="Q797" s="80"/>
      <c r="R797" s="350"/>
    </row>
    <row r="798" spans="1:18" s="199" customFormat="1" ht="15" customHeight="1">
      <c r="A798" s="111">
        <v>4280</v>
      </c>
      <c r="B798" s="115" t="s">
        <v>520</v>
      </c>
      <c r="C798" s="79">
        <v>1800</v>
      </c>
      <c r="D798" s="65">
        <f t="shared" si="97"/>
        <v>1800</v>
      </c>
      <c r="E798" s="80">
        <f t="shared" si="98"/>
        <v>641</v>
      </c>
      <c r="F798" s="452">
        <f t="shared" si="92"/>
        <v>35.61111111111111</v>
      </c>
      <c r="G798" s="79"/>
      <c r="H798" s="80"/>
      <c r="I798" s="450"/>
      <c r="J798" s="113"/>
      <c r="K798" s="80"/>
      <c r="L798" s="379"/>
      <c r="M798" s="79">
        <v>1800</v>
      </c>
      <c r="N798" s="80">
        <v>641</v>
      </c>
      <c r="O798" s="452">
        <f t="shared" si="99"/>
        <v>35.61111111111111</v>
      </c>
      <c r="P798" s="80"/>
      <c r="Q798" s="80"/>
      <c r="R798" s="350"/>
    </row>
    <row r="799" spans="1:18" s="199" customFormat="1" ht="18.75" customHeight="1">
      <c r="A799" s="111">
        <v>4300</v>
      </c>
      <c r="B799" s="115" t="s">
        <v>489</v>
      </c>
      <c r="C799" s="79">
        <v>23800</v>
      </c>
      <c r="D799" s="65">
        <f t="shared" si="97"/>
        <v>23800</v>
      </c>
      <c r="E799" s="80">
        <f t="shared" si="98"/>
        <v>5831</v>
      </c>
      <c r="F799" s="452">
        <f t="shared" si="92"/>
        <v>24.5</v>
      </c>
      <c r="G799" s="79"/>
      <c r="H799" s="80"/>
      <c r="I799" s="450"/>
      <c r="J799" s="113"/>
      <c r="K799" s="80"/>
      <c r="L799" s="379"/>
      <c r="M799" s="79">
        <v>23800</v>
      </c>
      <c r="N799" s="80">
        <v>5831</v>
      </c>
      <c r="O799" s="452">
        <f t="shared" si="99"/>
        <v>24.5</v>
      </c>
      <c r="P799" s="80"/>
      <c r="Q799" s="80"/>
      <c r="R799" s="350"/>
    </row>
    <row r="800" spans="1:18" s="199" customFormat="1" ht="24">
      <c r="A800" s="111">
        <v>4350</v>
      </c>
      <c r="B800" s="115" t="s">
        <v>7</v>
      </c>
      <c r="C800" s="79">
        <v>1700</v>
      </c>
      <c r="D800" s="65">
        <f t="shared" si="97"/>
        <v>1700</v>
      </c>
      <c r="E800" s="80">
        <f t="shared" si="98"/>
        <v>792</v>
      </c>
      <c r="F800" s="452">
        <f aca="true" t="shared" si="100" ref="F800:F806">E800/D800*100</f>
        <v>46.588235294117645</v>
      </c>
      <c r="G800" s="113"/>
      <c r="H800" s="113"/>
      <c r="I800" s="450"/>
      <c r="J800" s="113"/>
      <c r="K800" s="80"/>
      <c r="L800" s="379"/>
      <c r="M800" s="79">
        <v>1700</v>
      </c>
      <c r="N800" s="80">
        <v>792</v>
      </c>
      <c r="O800" s="452">
        <f t="shared" si="99"/>
        <v>46.588235294117645</v>
      </c>
      <c r="P800" s="80"/>
      <c r="Q800" s="80"/>
      <c r="R800" s="350"/>
    </row>
    <row r="801" spans="1:18" s="199" customFormat="1" ht="40.5" customHeight="1">
      <c r="A801" s="159">
        <v>4360</v>
      </c>
      <c r="B801" s="326" t="s">
        <v>295</v>
      </c>
      <c r="C801" s="79">
        <v>600</v>
      </c>
      <c r="D801" s="65">
        <f>G801+J801+P801+M801</f>
        <v>600</v>
      </c>
      <c r="E801" s="80">
        <f>SUM(H801+K801+N801+Q801)</f>
        <v>442</v>
      </c>
      <c r="F801" s="452">
        <f t="shared" si="100"/>
        <v>73.66666666666667</v>
      </c>
      <c r="G801" s="113"/>
      <c r="H801" s="113"/>
      <c r="I801" s="450"/>
      <c r="J801" s="113"/>
      <c r="K801" s="80"/>
      <c r="L801" s="379"/>
      <c r="M801" s="79">
        <v>600</v>
      </c>
      <c r="N801" s="80">
        <v>442</v>
      </c>
      <c r="O801" s="452">
        <f t="shared" si="99"/>
        <v>73.66666666666667</v>
      </c>
      <c r="P801" s="80"/>
      <c r="Q801" s="80"/>
      <c r="R801" s="350"/>
    </row>
    <row r="802" spans="1:18" s="199" customFormat="1" ht="38.25" customHeight="1">
      <c r="A802" s="159">
        <v>4370</v>
      </c>
      <c r="B802" s="326" t="s">
        <v>296</v>
      </c>
      <c r="C802" s="79">
        <v>3700</v>
      </c>
      <c r="D802" s="65">
        <f>G802+J802+P802+M802</f>
        <v>3700</v>
      </c>
      <c r="E802" s="80">
        <f>SUM(H802+K802+N802+Q802)</f>
        <v>2613</v>
      </c>
      <c r="F802" s="452">
        <f t="shared" si="100"/>
        <v>70.62162162162163</v>
      </c>
      <c r="G802" s="113"/>
      <c r="H802" s="113"/>
      <c r="I802" s="450"/>
      <c r="J802" s="113"/>
      <c r="K802" s="80"/>
      <c r="L802" s="379"/>
      <c r="M802" s="79">
        <v>3700</v>
      </c>
      <c r="N802" s="80">
        <v>2613</v>
      </c>
      <c r="O802" s="452">
        <f t="shared" si="99"/>
        <v>70.62162162162163</v>
      </c>
      <c r="P802" s="80"/>
      <c r="Q802" s="80"/>
      <c r="R802" s="350"/>
    </row>
    <row r="803" spans="1:18" s="199" customFormat="1" ht="36">
      <c r="A803" s="111">
        <v>4390</v>
      </c>
      <c r="B803" s="193" t="s">
        <v>271</v>
      </c>
      <c r="C803" s="79">
        <v>3700</v>
      </c>
      <c r="D803" s="65">
        <f>G803+J803+P803+M803</f>
        <v>3700</v>
      </c>
      <c r="E803" s="80">
        <f>SUM(H803+K803+N803+Q803)</f>
        <v>0</v>
      </c>
      <c r="F803" s="452">
        <f t="shared" si="100"/>
        <v>0</v>
      </c>
      <c r="G803" s="113"/>
      <c r="H803" s="113"/>
      <c r="I803" s="450"/>
      <c r="J803" s="113"/>
      <c r="K803" s="80"/>
      <c r="L803" s="379"/>
      <c r="M803" s="79">
        <v>3700</v>
      </c>
      <c r="N803" s="80"/>
      <c r="O803" s="452">
        <f t="shared" si="99"/>
        <v>0</v>
      </c>
      <c r="P803" s="80"/>
      <c r="Q803" s="80"/>
      <c r="R803" s="350"/>
    </row>
    <row r="804" spans="1:18" s="199" customFormat="1" ht="15" customHeight="1">
      <c r="A804" s="111">
        <v>4410</v>
      </c>
      <c r="B804" s="115" t="s">
        <v>463</v>
      </c>
      <c r="C804" s="79">
        <v>2000</v>
      </c>
      <c r="D804" s="65">
        <f t="shared" si="97"/>
        <v>2000</v>
      </c>
      <c r="E804" s="80">
        <f t="shared" si="98"/>
        <v>565</v>
      </c>
      <c r="F804" s="452">
        <f t="shared" si="100"/>
        <v>28.249999999999996</v>
      </c>
      <c r="G804" s="80"/>
      <c r="H804" s="113"/>
      <c r="I804" s="450"/>
      <c r="J804" s="113"/>
      <c r="K804" s="80"/>
      <c r="L804" s="379"/>
      <c r="M804" s="79">
        <v>2000</v>
      </c>
      <c r="N804" s="80">
        <v>565</v>
      </c>
      <c r="O804" s="452">
        <f t="shared" si="99"/>
        <v>28.249999999999996</v>
      </c>
      <c r="P804" s="80"/>
      <c r="Q804" s="80"/>
      <c r="R804" s="350"/>
    </row>
    <row r="805" spans="1:18" s="199" customFormat="1" ht="12.75">
      <c r="A805" s="111">
        <v>4440</v>
      </c>
      <c r="B805" s="115" t="s">
        <v>493</v>
      </c>
      <c r="C805" s="79">
        <v>92800</v>
      </c>
      <c r="D805" s="65">
        <f t="shared" si="97"/>
        <v>95622</v>
      </c>
      <c r="E805" s="80">
        <f>SUM(H805+K805+N805+Q805)</f>
        <v>74969</v>
      </c>
      <c r="F805" s="452">
        <f t="shared" si="100"/>
        <v>78.40141390056682</v>
      </c>
      <c r="G805" s="80"/>
      <c r="H805" s="113"/>
      <c r="I805" s="450"/>
      <c r="J805" s="113"/>
      <c r="K805" s="80"/>
      <c r="L805" s="379"/>
      <c r="M805" s="79">
        <f>92800+2822</f>
        <v>95622</v>
      </c>
      <c r="N805" s="80">
        <v>74969</v>
      </c>
      <c r="O805" s="452">
        <f t="shared" si="99"/>
        <v>78.40141390056682</v>
      </c>
      <c r="P805" s="80"/>
      <c r="Q805" s="80"/>
      <c r="R805" s="350"/>
    </row>
    <row r="806" spans="1:18" s="199" customFormat="1" ht="36">
      <c r="A806" s="184">
        <v>4700</v>
      </c>
      <c r="B806" s="185" t="s">
        <v>284</v>
      </c>
      <c r="C806" s="147">
        <v>3100</v>
      </c>
      <c r="D806" s="148">
        <f t="shared" si="97"/>
        <v>3100</v>
      </c>
      <c r="E806" s="142">
        <f>SUM(H806+K806+N806+Q806)</f>
        <v>930</v>
      </c>
      <c r="F806" s="453">
        <f t="shared" si="100"/>
        <v>30</v>
      </c>
      <c r="G806" s="142"/>
      <c r="H806" s="149"/>
      <c r="I806" s="463"/>
      <c r="J806" s="149"/>
      <c r="K806" s="142"/>
      <c r="L806" s="404"/>
      <c r="M806" s="147">
        <v>3100</v>
      </c>
      <c r="N806" s="142">
        <v>930</v>
      </c>
      <c r="O806" s="453">
        <f t="shared" si="99"/>
        <v>30</v>
      </c>
      <c r="P806" s="142"/>
      <c r="Q806" s="142"/>
      <c r="R806" s="354"/>
    </row>
    <row r="807" spans="1:18" s="199" customFormat="1" ht="52.5" customHeight="1">
      <c r="A807" s="159">
        <v>4740</v>
      </c>
      <c r="B807" s="326" t="s">
        <v>288</v>
      </c>
      <c r="C807" s="79">
        <v>4100</v>
      </c>
      <c r="D807" s="65">
        <f t="shared" si="97"/>
        <v>4100</v>
      </c>
      <c r="E807" s="80">
        <f t="shared" si="98"/>
        <v>566</v>
      </c>
      <c r="F807" s="452">
        <f aca="true" t="shared" si="101" ref="F807:F839">E807/D807*100</f>
        <v>13.80487804878049</v>
      </c>
      <c r="G807" s="80"/>
      <c r="H807" s="113"/>
      <c r="I807" s="450"/>
      <c r="J807" s="113"/>
      <c r="K807" s="80"/>
      <c r="L807" s="379"/>
      <c r="M807" s="79">
        <v>4100</v>
      </c>
      <c r="N807" s="80">
        <v>566</v>
      </c>
      <c r="O807" s="452">
        <f t="shared" si="99"/>
        <v>13.80487804878049</v>
      </c>
      <c r="P807" s="80"/>
      <c r="Q807" s="80"/>
      <c r="R807" s="350"/>
    </row>
    <row r="808" spans="1:18" s="199" customFormat="1" ht="36">
      <c r="A808" s="159">
        <v>4750</v>
      </c>
      <c r="B808" s="326" t="s">
        <v>289</v>
      </c>
      <c r="C808" s="147">
        <v>5300</v>
      </c>
      <c r="D808" s="65">
        <f t="shared" si="97"/>
        <v>5300</v>
      </c>
      <c r="E808" s="80">
        <f t="shared" si="98"/>
        <v>2075</v>
      </c>
      <c r="F808" s="452">
        <f t="shared" si="101"/>
        <v>39.15094339622642</v>
      </c>
      <c r="G808" s="142"/>
      <c r="H808" s="149"/>
      <c r="I808" s="463"/>
      <c r="J808" s="149"/>
      <c r="K808" s="142"/>
      <c r="L808" s="404"/>
      <c r="M808" s="147">
        <v>5300</v>
      </c>
      <c r="N808" s="142">
        <v>2075</v>
      </c>
      <c r="O808" s="452">
        <f t="shared" si="99"/>
        <v>39.15094339622642</v>
      </c>
      <c r="P808" s="142"/>
      <c r="Q808" s="142"/>
      <c r="R808" s="354"/>
    </row>
    <row r="809" spans="1:18" s="199" customFormat="1" ht="17.25" customHeight="1">
      <c r="A809" s="106">
        <v>80130</v>
      </c>
      <c r="B809" s="172" t="s">
        <v>23</v>
      </c>
      <c r="C809" s="108">
        <f>SUM(C810:C839)</f>
        <v>20194900</v>
      </c>
      <c r="D809" s="86">
        <f t="shared" si="97"/>
        <v>21097702</v>
      </c>
      <c r="E809" s="75">
        <f>H809+K809+Q809+N809</f>
        <v>11785068</v>
      </c>
      <c r="F809" s="451">
        <f t="shared" si="101"/>
        <v>55.859486497628986</v>
      </c>
      <c r="G809" s="136"/>
      <c r="H809" s="135"/>
      <c r="I809" s="473"/>
      <c r="J809" s="135"/>
      <c r="K809" s="136"/>
      <c r="L809" s="395"/>
      <c r="M809" s="108">
        <f>SUM(M810:M839)</f>
        <v>21097702</v>
      </c>
      <c r="N809" s="75">
        <f>SUM(N810:N839)</f>
        <v>11785068</v>
      </c>
      <c r="O809" s="432">
        <f t="shared" si="96"/>
        <v>55.859486497628986</v>
      </c>
      <c r="P809" s="75"/>
      <c r="Q809" s="75"/>
      <c r="R809" s="360"/>
    </row>
    <row r="810" spans="1:18" s="199" customFormat="1" ht="37.5" customHeight="1">
      <c r="A810" s="99">
        <v>2540</v>
      </c>
      <c r="B810" s="186" t="s">
        <v>5</v>
      </c>
      <c r="C810" s="81">
        <v>3300000</v>
      </c>
      <c r="D810" s="94">
        <f t="shared" si="97"/>
        <v>4194502</v>
      </c>
      <c r="E810" s="95">
        <f>SUM(H810+K810+N810+Q810)</f>
        <v>2785515</v>
      </c>
      <c r="F810" s="454">
        <f t="shared" si="101"/>
        <v>66.40871788832142</v>
      </c>
      <c r="G810" s="95"/>
      <c r="H810" s="187"/>
      <c r="I810" s="474"/>
      <c r="J810" s="187"/>
      <c r="K810" s="95"/>
      <c r="L810" s="403"/>
      <c r="M810" s="81">
        <f>3300000+894502</f>
        <v>4194502</v>
      </c>
      <c r="N810" s="95">
        <v>2785515</v>
      </c>
      <c r="O810" s="448">
        <f t="shared" si="96"/>
        <v>66.40871788832142</v>
      </c>
      <c r="P810" s="95"/>
      <c r="Q810" s="95"/>
      <c r="R810" s="353"/>
    </row>
    <row r="811" spans="1:18" s="199" customFormat="1" ht="75.75" customHeight="1">
      <c r="A811" s="111">
        <v>2590</v>
      </c>
      <c r="B811" s="115" t="s">
        <v>432</v>
      </c>
      <c r="C811" s="79">
        <v>525000</v>
      </c>
      <c r="D811" s="65">
        <f>G811+J811+P811+M811</f>
        <v>525000</v>
      </c>
      <c r="E811" s="80">
        <f>SUM(H811+K811+N811+Q811)</f>
        <v>274738</v>
      </c>
      <c r="F811" s="452">
        <f>E811/D811*100</f>
        <v>52.331047619047624</v>
      </c>
      <c r="G811" s="80"/>
      <c r="H811" s="113"/>
      <c r="I811" s="450"/>
      <c r="J811" s="113"/>
      <c r="K811" s="80"/>
      <c r="L811" s="379"/>
      <c r="M811" s="79">
        <v>525000</v>
      </c>
      <c r="N811" s="80">
        <v>274738</v>
      </c>
      <c r="O811" s="426">
        <f t="shared" si="96"/>
        <v>52.331047619047624</v>
      </c>
      <c r="P811" s="80"/>
      <c r="Q811" s="80"/>
      <c r="R811" s="350"/>
    </row>
    <row r="812" spans="1:18" s="199" customFormat="1" ht="36">
      <c r="A812" s="111">
        <v>3020</v>
      </c>
      <c r="B812" s="115" t="s">
        <v>259</v>
      </c>
      <c r="C812" s="79">
        <v>77000</v>
      </c>
      <c r="D812" s="65">
        <f t="shared" si="97"/>
        <v>82300</v>
      </c>
      <c r="E812" s="80">
        <f aca="true" t="shared" si="102" ref="E812:E839">SUM(H812+K812+N812+Q812)</f>
        <v>29466</v>
      </c>
      <c r="F812" s="452">
        <f t="shared" si="101"/>
        <v>35.80315917375456</v>
      </c>
      <c r="G812" s="80"/>
      <c r="H812" s="113"/>
      <c r="I812" s="450"/>
      <c r="J812" s="113"/>
      <c r="K812" s="80"/>
      <c r="L812" s="379"/>
      <c r="M812" s="79">
        <f>77000+5300</f>
        <v>82300</v>
      </c>
      <c r="N812" s="80">
        <v>29466</v>
      </c>
      <c r="O812" s="426">
        <f t="shared" si="96"/>
        <v>35.80315917375456</v>
      </c>
      <c r="P812" s="80"/>
      <c r="Q812" s="80"/>
      <c r="R812" s="350"/>
    </row>
    <row r="813" spans="1:18" s="199" customFormat="1" ht="12.75">
      <c r="A813" s="111">
        <v>3050</v>
      </c>
      <c r="B813" s="115" t="s">
        <v>24</v>
      </c>
      <c r="C813" s="79">
        <v>20100</v>
      </c>
      <c r="D813" s="65">
        <f t="shared" si="97"/>
        <v>20100</v>
      </c>
      <c r="E813" s="80">
        <f t="shared" si="102"/>
        <v>9480</v>
      </c>
      <c r="F813" s="452">
        <f t="shared" si="101"/>
        <v>47.16417910447761</v>
      </c>
      <c r="G813" s="80"/>
      <c r="H813" s="113"/>
      <c r="I813" s="450"/>
      <c r="J813" s="113"/>
      <c r="K813" s="80"/>
      <c r="L813" s="379"/>
      <c r="M813" s="79">
        <v>20100</v>
      </c>
      <c r="N813" s="80">
        <v>9480</v>
      </c>
      <c r="O813" s="426">
        <f t="shared" si="96"/>
        <v>47.16417910447761</v>
      </c>
      <c r="P813" s="80"/>
      <c r="Q813" s="80"/>
      <c r="R813" s="350"/>
    </row>
    <row r="814" spans="1:18" s="199" customFormat="1" ht="12.75" hidden="1">
      <c r="A814" s="111">
        <v>3110</v>
      </c>
      <c r="B814" s="115" t="s">
        <v>65</v>
      </c>
      <c r="C814" s="79"/>
      <c r="D814" s="65">
        <f>G814+J814+P814+M814</f>
        <v>0</v>
      </c>
      <c r="E814" s="80">
        <f>SUM(H814+K814+N814+Q814)</f>
        <v>0</v>
      </c>
      <c r="F814" s="452" t="e">
        <f>E814/D814*100</f>
        <v>#DIV/0!</v>
      </c>
      <c r="G814" s="80"/>
      <c r="H814" s="113"/>
      <c r="I814" s="450"/>
      <c r="J814" s="113"/>
      <c r="K814" s="80"/>
      <c r="L814" s="379"/>
      <c r="M814" s="79"/>
      <c r="N814" s="80"/>
      <c r="O814" s="426" t="e">
        <f t="shared" si="96"/>
        <v>#DIV/0!</v>
      </c>
      <c r="P814" s="80"/>
      <c r="Q814" s="80"/>
      <c r="R814" s="350"/>
    </row>
    <row r="815" spans="1:18" s="199" customFormat="1" ht="24">
      <c r="A815" s="111">
        <v>4010</v>
      </c>
      <c r="B815" s="115" t="s">
        <v>471</v>
      </c>
      <c r="C815" s="79">
        <v>10652400</v>
      </c>
      <c r="D815" s="65">
        <f t="shared" si="97"/>
        <v>10661240</v>
      </c>
      <c r="E815" s="80">
        <f t="shared" si="102"/>
        <v>5176925</v>
      </c>
      <c r="F815" s="452">
        <f t="shared" si="101"/>
        <v>48.55837594876393</v>
      </c>
      <c r="G815" s="80"/>
      <c r="H815" s="113"/>
      <c r="I815" s="450"/>
      <c r="J815" s="113"/>
      <c r="K815" s="80"/>
      <c r="L815" s="379"/>
      <c r="M815" s="79">
        <f>10652400+8840</f>
        <v>10661240</v>
      </c>
      <c r="N815" s="80">
        <v>5176925</v>
      </c>
      <c r="O815" s="426">
        <f t="shared" si="96"/>
        <v>48.55837594876393</v>
      </c>
      <c r="P815" s="80"/>
      <c r="Q815" s="80"/>
      <c r="R815" s="350"/>
    </row>
    <row r="816" spans="1:18" s="199" customFormat="1" ht="24">
      <c r="A816" s="111">
        <v>4040</v>
      </c>
      <c r="B816" s="115" t="s">
        <v>475</v>
      </c>
      <c r="C816" s="79">
        <v>889900</v>
      </c>
      <c r="D816" s="65">
        <f t="shared" si="97"/>
        <v>822543</v>
      </c>
      <c r="E816" s="80">
        <f t="shared" si="102"/>
        <v>822522</v>
      </c>
      <c r="F816" s="452">
        <f t="shared" si="101"/>
        <v>99.99744694198358</v>
      </c>
      <c r="G816" s="80"/>
      <c r="H816" s="113"/>
      <c r="I816" s="450"/>
      <c r="J816" s="113"/>
      <c r="K816" s="80"/>
      <c r="L816" s="379"/>
      <c r="M816" s="79">
        <f>889900-67357</f>
        <v>822543</v>
      </c>
      <c r="N816" s="80">
        <v>822522</v>
      </c>
      <c r="O816" s="426">
        <f t="shared" si="96"/>
        <v>99.99744694198358</v>
      </c>
      <c r="P816" s="80"/>
      <c r="Q816" s="80"/>
      <c r="R816" s="350"/>
    </row>
    <row r="817" spans="1:18" s="199" customFormat="1" ht="24">
      <c r="A817" s="111">
        <v>4110</v>
      </c>
      <c r="B817" s="115" t="s">
        <v>477</v>
      </c>
      <c r="C817" s="79">
        <v>1764800</v>
      </c>
      <c r="D817" s="65">
        <f t="shared" si="97"/>
        <v>1766140</v>
      </c>
      <c r="E817" s="80">
        <f t="shared" si="102"/>
        <v>853308</v>
      </c>
      <c r="F817" s="452">
        <f t="shared" si="101"/>
        <v>48.31485612692086</v>
      </c>
      <c r="G817" s="80"/>
      <c r="H817" s="113"/>
      <c r="I817" s="450"/>
      <c r="J817" s="113"/>
      <c r="K817" s="80"/>
      <c r="L817" s="379"/>
      <c r="M817" s="79">
        <f>1764800+1340</f>
        <v>1766140</v>
      </c>
      <c r="N817" s="80">
        <v>853308</v>
      </c>
      <c r="O817" s="426">
        <f t="shared" si="96"/>
        <v>48.31485612692086</v>
      </c>
      <c r="P817" s="80"/>
      <c r="Q817" s="80"/>
      <c r="R817" s="350"/>
    </row>
    <row r="818" spans="1:18" s="199" customFormat="1" ht="12.75">
      <c r="A818" s="111">
        <v>4120</v>
      </c>
      <c r="B818" s="115" t="s">
        <v>547</v>
      </c>
      <c r="C818" s="79">
        <v>281700</v>
      </c>
      <c r="D818" s="65">
        <f t="shared" si="97"/>
        <v>281920</v>
      </c>
      <c r="E818" s="80">
        <f t="shared" si="102"/>
        <v>139898</v>
      </c>
      <c r="F818" s="452">
        <f t="shared" si="101"/>
        <v>49.623297389330304</v>
      </c>
      <c r="G818" s="80"/>
      <c r="H818" s="113"/>
      <c r="I818" s="450"/>
      <c r="J818" s="113"/>
      <c r="K818" s="80"/>
      <c r="L818" s="379"/>
      <c r="M818" s="79">
        <f>281700+220</f>
        <v>281920</v>
      </c>
      <c r="N818" s="80">
        <v>139898</v>
      </c>
      <c r="O818" s="426">
        <f t="shared" si="96"/>
        <v>49.623297389330304</v>
      </c>
      <c r="P818" s="80"/>
      <c r="Q818" s="80"/>
      <c r="R818" s="350"/>
    </row>
    <row r="819" spans="1:18" s="199" customFormat="1" ht="24">
      <c r="A819" s="111">
        <v>4130</v>
      </c>
      <c r="B819" s="115" t="s">
        <v>10</v>
      </c>
      <c r="C819" s="79"/>
      <c r="D819" s="65">
        <f t="shared" si="97"/>
        <v>500</v>
      </c>
      <c r="E819" s="80">
        <f t="shared" si="102"/>
        <v>189</v>
      </c>
      <c r="F819" s="452">
        <f t="shared" si="101"/>
        <v>37.8</v>
      </c>
      <c r="G819" s="80"/>
      <c r="H819" s="113"/>
      <c r="I819" s="450"/>
      <c r="J819" s="113"/>
      <c r="K819" s="80"/>
      <c r="L819" s="379"/>
      <c r="M819" s="79">
        <v>500</v>
      </c>
      <c r="N819" s="80">
        <v>189</v>
      </c>
      <c r="O819" s="426">
        <f t="shared" si="96"/>
        <v>37.8</v>
      </c>
      <c r="P819" s="80"/>
      <c r="Q819" s="80"/>
      <c r="R819" s="350"/>
    </row>
    <row r="820" spans="1:18" s="199" customFormat="1" ht="12.75">
      <c r="A820" s="111">
        <v>4140</v>
      </c>
      <c r="B820" s="115" t="s">
        <v>25</v>
      </c>
      <c r="C820" s="79">
        <v>58600</v>
      </c>
      <c r="D820" s="65">
        <f t="shared" si="97"/>
        <v>58600</v>
      </c>
      <c r="E820" s="80">
        <f t="shared" si="102"/>
        <v>21201</v>
      </c>
      <c r="F820" s="452">
        <f t="shared" si="101"/>
        <v>36.17918088737201</v>
      </c>
      <c r="G820" s="80"/>
      <c r="H820" s="113"/>
      <c r="I820" s="450"/>
      <c r="J820" s="113"/>
      <c r="K820" s="80"/>
      <c r="L820" s="379"/>
      <c r="M820" s="79">
        <v>58600</v>
      </c>
      <c r="N820" s="80">
        <v>21201</v>
      </c>
      <c r="O820" s="426">
        <f t="shared" si="96"/>
        <v>36.17918088737201</v>
      </c>
      <c r="P820" s="80"/>
      <c r="Q820" s="80"/>
      <c r="R820" s="350"/>
    </row>
    <row r="821" spans="1:18" s="199" customFormat="1" ht="24">
      <c r="A821" s="111">
        <v>4210</v>
      </c>
      <c r="B821" s="115" t="s">
        <v>481</v>
      </c>
      <c r="C821" s="79">
        <v>333000</v>
      </c>
      <c r="D821" s="65">
        <f t="shared" si="97"/>
        <v>364000</v>
      </c>
      <c r="E821" s="80">
        <f t="shared" si="102"/>
        <v>170214</v>
      </c>
      <c r="F821" s="452">
        <f t="shared" si="101"/>
        <v>46.762087912087914</v>
      </c>
      <c r="G821" s="80"/>
      <c r="H821" s="113"/>
      <c r="I821" s="450"/>
      <c r="J821" s="113"/>
      <c r="K821" s="80"/>
      <c r="L821" s="379"/>
      <c r="M821" s="79">
        <f>333000+31000</f>
        <v>364000</v>
      </c>
      <c r="N821" s="80">
        <v>170214</v>
      </c>
      <c r="O821" s="426">
        <f t="shared" si="96"/>
        <v>46.762087912087914</v>
      </c>
      <c r="P821" s="80"/>
      <c r="Q821" s="80"/>
      <c r="R821" s="350"/>
    </row>
    <row r="822" spans="1:18" s="199" customFormat="1" ht="36">
      <c r="A822" s="111">
        <v>4240</v>
      </c>
      <c r="B822" s="115" t="s">
        <v>539</v>
      </c>
      <c r="C822" s="79">
        <v>128000</v>
      </c>
      <c r="D822" s="65">
        <f t="shared" si="97"/>
        <v>128000</v>
      </c>
      <c r="E822" s="80">
        <f t="shared" si="102"/>
        <v>36045</v>
      </c>
      <c r="F822" s="452">
        <f t="shared" si="101"/>
        <v>28.16015625</v>
      </c>
      <c r="G822" s="80"/>
      <c r="H822" s="113"/>
      <c r="I822" s="450"/>
      <c r="J822" s="113"/>
      <c r="K822" s="80"/>
      <c r="L822" s="379"/>
      <c r="M822" s="79">
        <v>128000</v>
      </c>
      <c r="N822" s="80">
        <v>36045</v>
      </c>
      <c r="O822" s="426">
        <f t="shared" si="96"/>
        <v>28.16015625</v>
      </c>
      <c r="P822" s="80"/>
      <c r="Q822" s="80"/>
      <c r="R822" s="350"/>
    </row>
    <row r="823" spans="1:18" s="199" customFormat="1" ht="12.75">
      <c r="A823" s="111">
        <v>4260</v>
      </c>
      <c r="B823" s="115" t="s">
        <v>485</v>
      </c>
      <c r="C823" s="79">
        <v>895000</v>
      </c>
      <c r="D823" s="65">
        <f t="shared" si="97"/>
        <v>895000</v>
      </c>
      <c r="E823" s="80">
        <f t="shared" si="102"/>
        <v>603919</v>
      </c>
      <c r="F823" s="452">
        <f t="shared" si="101"/>
        <v>67.47698324022346</v>
      </c>
      <c r="G823" s="80"/>
      <c r="H823" s="113"/>
      <c r="I823" s="450"/>
      <c r="J823" s="113"/>
      <c r="K823" s="80"/>
      <c r="L823" s="379"/>
      <c r="M823" s="79">
        <v>895000</v>
      </c>
      <c r="N823" s="80">
        <v>603919</v>
      </c>
      <c r="O823" s="426">
        <f t="shared" si="96"/>
        <v>67.47698324022346</v>
      </c>
      <c r="P823" s="80"/>
      <c r="Q823" s="80"/>
      <c r="R823" s="350"/>
    </row>
    <row r="824" spans="1:18" s="199" customFormat="1" ht="18" customHeight="1">
      <c r="A824" s="111">
        <v>4270</v>
      </c>
      <c r="B824" s="115" t="s">
        <v>487</v>
      </c>
      <c r="C824" s="79">
        <v>46000</v>
      </c>
      <c r="D824" s="65">
        <f t="shared" si="97"/>
        <v>46000</v>
      </c>
      <c r="E824" s="80">
        <f t="shared" si="102"/>
        <v>22742</v>
      </c>
      <c r="F824" s="452">
        <f t="shared" si="101"/>
        <v>49.439130434782605</v>
      </c>
      <c r="G824" s="80"/>
      <c r="H824" s="113"/>
      <c r="I824" s="450"/>
      <c r="J824" s="113"/>
      <c r="K824" s="80"/>
      <c r="L824" s="379"/>
      <c r="M824" s="79">
        <v>46000</v>
      </c>
      <c r="N824" s="80">
        <v>22742</v>
      </c>
      <c r="O824" s="426">
        <f t="shared" si="96"/>
        <v>49.439130434782605</v>
      </c>
      <c r="P824" s="80"/>
      <c r="Q824" s="80"/>
      <c r="R824" s="350"/>
    </row>
    <row r="825" spans="1:18" s="199" customFormat="1" ht="16.5" customHeight="1">
      <c r="A825" s="145">
        <v>4280</v>
      </c>
      <c r="B825" s="146" t="s">
        <v>520</v>
      </c>
      <c r="C825" s="147">
        <v>14300</v>
      </c>
      <c r="D825" s="148">
        <f t="shared" si="97"/>
        <v>14300</v>
      </c>
      <c r="E825" s="142">
        <f t="shared" si="102"/>
        <v>4510</v>
      </c>
      <c r="F825" s="453">
        <f t="shared" si="101"/>
        <v>31.538461538461537</v>
      </c>
      <c r="G825" s="142"/>
      <c r="H825" s="149"/>
      <c r="I825" s="463"/>
      <c r="J825" s="149"/>
      <c r="K825" s="142"/>
      <c r="L825" s="404"/>
      <c r="M825" s="147">
        <v>14300</v>
      </c>
      <c r="N825" s="142">
        <v>4510</v>
      </c>
      <c r="O825" s="446">
        <f t="shared" si="96"/>
        <v>31.538461538461537</v>
      </c>
      <c r="P825" s="142"/>
      <c r="Q825" s="142"/>
      <c r="R825" s="354"/>
    </row>
    <row r="826" spans="1:18" s="199" customFormat="1" ht="16.5" customHeight="1">
      <c r="A826" s="111">
        <v>4300</v>
      </c>
      <c r="B826" s="115" t="s">
        <v>489</v>
      </c>
      <c r="C826" s="79">
        <v>186000</v>
      </c>
      <c r="D826" s="65">
        <f t="shared" si="97"/>
        <v>186000</v>
      </c>
      <c r="E826" s="80">
        <f t="shared" si="102"/>
        <v>77998</v>
      </c>
      <c r="F826" s="452">
        <f t="shared" si="101"/>
        <v>41.93440860215053</v>
      </c>
      <c r="G826" s="80"/>
      <c r="H826" s="113"/>
      <c r="I826" s="450"/>
      <c r="J826" s="113"/>
      <c r="K826" s="80"/>
      <c r="L826" s="379"/>
      <c r="M826" s="79">
        <v>186000</v>
      </c>
      <c r="N826" s="80">
        <f>77997+1</f>
        <v>77998</v>
      </c>
      <c r="O826" s="426">
        <f aca="true" t="shared" si="103" ref="O826:O839">N826/M826*100</f>
        <v>41.93440860215053</v>
      </c>
      <c r="P826" s="80"/>
      <c r="Q826" s="80"/>
      <c r="R826" s="350"/>
    </row>
    <row r="827" spans="1:18" s="199" customFormat="1" ht="24">
      <c r="A827" s="111">
        <v>4350</v>
      </c>
      <c r="B827" s="115" t="s">
        <v>7</v>
      </c>
      <c r="C827" s="79">
        <v>8500</v>
      </c>
      <c r="D827" s="65">
        <f t="shared" si="97"/>
        <v>10900</v>
      </c>
      <c r="E827" s="80">
        <f t="shared" si="102"/>
        <v>4076</v>
      </c>
      <c r="F827" s="452">
        <f t="shared" si="101"/>
        <v>37.39449541284404</v>
      </c>
      <c r="G827" s="80"/>
      <c r="H827" s="113"/>
      <c r="I827" s="450"/>
      <c r="J827" s="113"/>
      <c r="K827" s="80"/>
      <c r="L827" s="379"/>
      <c r="M827" s="79">
        <f>8500+2400</f>
        <v>10900</v>
      </c>
      <c r="N827" s="80">
        <v>4076</v>
      </c>
      <c r="O827" s="426">
        <f t="shared" si="103"/>
        <v>37.39449541284404</v>
      </c>
      <c r="P827" s="80"/>
      <c r="Q827" s="80"/>
      <c r="R827" s="350"/>
    </row>
    <row r="828" spans="1:18" s="199" customFormat="1" ht="39" customHeight="1">
      <c r="A828" s="159">
        <v>4360</v>
      </c>
      <c r="B828" s="326" t="s">
        <v>295</v>
      </c>
      <c r="C828" s="79">
        <v>4000</v>
      </c>
      <c r="D828" s="65">
        <f>G828+J828+P828+M828</f>
        <v>4000</v>
      </c>
      <c r="E828" s="80">
        <f>SUM(H828+K828+N828+Q828)</f>
        <v>2110</v>
      </c>
      <c r="F828" s="452">
        <f>E828/D828*100</f>
        <v>52.75</v>
      </c>
      <c r="G828" s="80"/>
      <c r="H828" s="113"/>
      <c r="I828" s="450"/>
      <c r="J828" s="113"/>
      <c r="K828" s="80"/>
      <c r="L828" s="379"/>
      <c r="M828" s="79">
        <v>4000</v>
      </c>
      <c r="N828" s="80">
        <v>2110</v>
      </c>
      <c r="O828" s="426">
        <f t="shared" si="103"/>
        <v>52.75</v>
      </c>
      <c r="P828" s="80"/>
      <c r="Q828" s="80"/>
      <c r="R828" s="350"/>
    </row>
    <row r="829" spans="1:18" s="199" customFormat="1" ht="37.5" customHeight="1">
      <c r="A829" s="159">
        <v>4370</v>
      </c>
      <c r="B829" s="326" t="s">
        <v>296</v>
      </c>
      <c r="C829" s="79">
        <v>42600</v>
      </c>
      <c r="D829" s="65">
        <f>G829+J829+P829+M829</f>
        <v>42600</v>
      </c>
      <c r="E829" s="80">
        <f>SUM(H829+K829+N829+Q829)</f>
        <v>17074</v>
      </c>
      <c r="F829" s="452">
        <f>E829/D829*100</f>
        <v>40.07981220657277</v>
      </c>
      <c r="G829" s="80"/>
      <c r="H829" s="113"/>
      <c r="I829" s="450"/>
      <c r="J829" s="113"/>
      <c r="K829" s="80"/>
      <c r="L829" s="379"/>
      <c r="M829" s="79">
        <v>42600</v>
      </c>
      <c r="N829" s="80">
        <f>17073+1</f>
        <v>17074</v>
      </c>
      <c r="O829" s="426">
        <f t="shared" si="103"/>
        <v>40.07981220657277</v>
      </c>
      <c r="P829" s="80"/>
      <c r="Q829" s="80"/>
      <c r="R829" s="350"/>
    </row>
    <row r="830" spans="1:18" s="199" customFormat="1" ht="28.5" customHeight="1">
      <c r="A830" s="111">
        <v>4380</v>
      </c>
      <c r="B830" s="115" t="s">
        <v>297</v>
      </c>
      <c r="C830" s="79">
        <v>2000</v>
      </c>
      <c r="D830" s="65">
        <f>G830+J830+P830+M830</f>
        <v>2000</v>
      </c>
      <c r="E830" s="80">
        <f>SUM(H830+K830+N830+Q830)</f>
        <v>0</v>
      </c>
      <c r="F830" s="452">
        <f>E830/D830*100</f>
        <v>0</v>
      </c>
      <c r="G830" s="80"/>
      <c r="H830" s="113"/>
      <c r="I830" s="450"/>
      <c r="J830" s="113"/>
      <c r="K830" s="80"/>
      <c r="L830" s="379"/>
      <c r="M830" s="79">
        <v>2000</v>
      </c>
      <c r="N830" s="80"/>
      <c r="O830" s="426">
        <f t="shared" si="103"/>
        <v>0</v>
      </c>
      <c r="P830" s="80"/>
      <c r="Q830" s="80"/>
      <c r="R830" s="350"/>
    </row>
    <row r="831" spans="1:18" s="199" customFormat="1" ht="36">
      <c r="A831" s="111">
        <v>4390</v>
      </c>
      <c r="B831" s="193" t="s">
        <v>271</v>
      </c>
      <c r="C831" s="79">
        <v>43900</v>
      </c>
      <c r="D831" s="65">
        <f>G831+J831+P831+M831</f>
        <v>43900</v>
      </c>
      <c r="E831" s="80">
        <f>SUM(H831+K831+N831+Q831)</f>
        <v>12390</v>
      </c>
      <c r="F831" s="452">
        <f>E831/D831*100</f>
        <v>28.22323462414579</v>
      </c>
      <c r="G831" s="80"/>
      <c r="H831" s="113"/>
      <c r="I831" s="450"/>
      <c r="J831" s="113"/>
      <c r="K831" s="80"/>
      <c r="L831" s="379"/>
      <c r="M831" s="79">
        <v>43900</v>
      </c>
      <c r="N831" s="80">
        <v>12390</v>
      </c>
      <c r="O831" s="426">
        <f t="shared" si="103"/>
        <v>28.22323462414579</v>
      </c>
      <c r="P831" s="80"/>
      <c r="Q831" s="80"/>
      <c r="R831" s="350"/>
    </row>
    <row r="832" spans="1:18" s="199" customFormat="1" ht="15" customHeight="1">
      <c r="A832" s="111">
        <v>4410</v>
      </c>
      <c r="B832" s="115" t="s">
        <v>463</v>
      </c>
      <c r="C832" s="79">
        <v>26300</v>
      </c>
      <c r="D832" s="65">
        <f t="shared" si="97"/>
        <v>26300</v>
      </c>
      <c r="E832" s="80">
        <f t="shared" si="102"/>
        <v>13057</v>
      </c>
      <c r="F832" s="452">
        <f t="shared" si="101"/>
        <v>49.64638783269962</v>
      </c>
      <c r="G832" s="80"/>
      <c r="H832" s="113"/>
      <c r="I832" s="450"/>
      <c r="J832" s="113"/>
      <c r="K832" s="80"/>
      <c r="L832" s="379"/>
      <c r="M832" s="79">
        <v>26300</v>
      </c>
      <c r="N832" s="80">
        <v>13057</v>
      </c>
      <c r="O832" s="426">
        <f t="shared" si="103"/>
        <v>49.64638783269962</v>
      </c>
      <c r="P832" s="80"/>
      <c r="Q832" s="80"/>
      <c r="R832" s="350"/>
    </row>
    <row r="833" spans="1:18" s="199" customFormat="1" ht="24">
      <c r="A833" s="111">
        <v>4420</v>
      </c>
      <c r="B833" s="115" t="s">
        <v>532</v>
      </c>
      <c r="C833" s="79">
        <v>11100</v>
      </c>
      <c r="D833" s="65">
        <f t="shared" si="97"/>
        <v>11100</v>
      </c>
      <c r="E833" s="80">
        <f t="shared" si="102"/>
        <v>4328</v>
      </c>
      <c r="F833" s="452">
        <f t="shared" si="101"/>
        <v>38.990990990990994</v>
      </c>
      <c r="G833" s="80"/>
      <c r="H833" s="113"/>
      <c r="I833" s="450"/>
      <c r="J833" s="113"/>
      <c r="K833" s="80"/>
      <c r="L833" s="379"/>
      <c r="M833" s="79">
        <v>11100</v>
      </c>
      <c r="N833" s="80">
        <v>4328</v>
      </c>
      <c r="O833" s="426">
        <f t="shared" si="103"/>
        <v>38.990990990990994</v>
      </c>
      <c r="P833" s="80"/>
      <c r="Q833" s="80"/>
      <c r="R833" s="350"/>
    </row>
    <row r="834" spans="1:18" s="199" customFormat="1" ht="12.75">
      <c r="A834" s="111">
        <v>4440</v>
      </c>
      <c r="B834" s="115" t="s">
        <v>493</v>
      </c>
      <c r="C834" s="79">
        <v>643900</v>
      </c>
      <c r="D834" s="65">
        <f t="shared" si="97"/>
        <v>669957</v>
      </c>
      <c r="E834" s="80">
        <f t="shared" si="102"/>
        <v>523519</v>
      </c>
      <c r="F834" s="452">
        <f t="shared" si="101"/>
        <v>78.14217927419223</v>
      </c>
      <c r="G834" s="80"/>
      <c r="H834" s="113"/>
      <c r="I834" s="450"/>
      <c r="J834" s="113"/>
      <c r="K834" s="80"/>
      <c r="L834" s="379"/>
      <c r="M834" s="79">
        <f>643900+19442+6615</f>
        <v>669957</v>
      </c>
      <c r="N834" s="80">
        <v>523519</v>
      </c>
      <c r="O834" s="426">
        <f t="shared" si="103"/>
        <v>78.14217927419223</v>
      </c>
      <c r="P834" s="80"/>
      <c r="Q834" s="80"/>
      <c r="R834" s="350"/>
    </row>
    <row r="835" spans="1:18" s="199" customFormat="1" ht="36">
      <c r="A835" s="159">
        <v>4700</v>
      </c>
      <c r="B835" s="326" t="s">
        <v>284</v>
      </c>
      <c r="C835" s="79">
        <v>20800</v>
      </c>
      <c r="D835" s="65">
        <f>G835+J835+P835+M835</f>
        <v>20800</v>
      </c>
      <c r="E835" s="80">
        <f>SUM(H835+K835+N835+Q835)</f>
        <v>12615</v>
      </c>
      <c r="F835" s="452">
        <f>E835/D835*100</f>
        <v>60.64903846153846</v>
      </c>
      <c r="G835" s="80"/>
      <c r="H835" s="113"/>
      <c r="I835" s="450"/>
      <c r="J835" s="113"/>
      <c r="K835" s="80"/>
      <c r="L835" s="379"/>
      <c r="M835" s="79">
        <v>20800</v>
      </c>
      <c r="N835" s="80">
        <v>12615</v>
      </c>
      <c r="O835" s="426">
        <f t="shared" si="103"/>
        <v>60.64903846153846</v>
      </c>
      <c r="P835" s="80"/>
      <c r="Q835" s="80"/>
      <c r="R835" s="350"/>
    </row>
    <row r="836" spans="1:18" s="199" customFormat="1" ht="48" customHeight="1">
      <c r="A836" s="159">
        <v>4740</v>
      </c>
      <c r="B836" s="326" t="s">
        <v>288</v>
      </c>
      <c r="C836" s="79">
        <v>15600</v>
      </c>
      <c r="D836" s="65">
        <f>G836+J836+P836+M836</f>
        <v>15600</v>
      </c>
      <c r="E836" s="80">
        <f>SUM(H836+K836+N836+Q836)</f>
        <v>4980</v>
      </c>
      <c r="F836" s="452">
        <f>E836/D836*100</f>
        <v>31.92307692307692</v>
      </c>
      <c r="G836" s="80"/>
      <c r="H836" s="113"/>
      <c r="I836" s="450"/>
      <c r="J836" s="113"/>
      <c r="K836" s="80"/>
      <c r="L836" s="379"/>
      <c r="M836" s="79">
        <v>15600</v>
      </c>
      <c r="N836" s="80">
        <v>4980</v>
      </c>
      <c r="O836" s="426">
        <f t="shared" si="103"/>
        <v>31.92307692307692</v>
      </c>
      <c r="P836" s="80"/>
      <c r="Q836" s="80"/>
      <c r="R836" s="350"/>
    </row>
    <row r="837" spans="1:18" s="199" customFormat="1" ht="36">
      <c r="A837" s="159">
        <v>4750</v>
      </c>
      <c r="B837" s="326" t="s">
        <v>289</v>
      </c>
      <c r="C837" s="79">
        <v>42800</v>
      </c>
      <c r="D837" s="65">
        <f>G837+J837+P837+M837</f>
        <v>42800</v>
      </c>
      <c r="E837" s="80">
        <f>SUM(H837+K837+N837+Q837)</f>
        <v>24508</v>
      </c>
      <c r="F837" s="452">
        <f>E837/D837*100</f>
        <v>57.26168224299065</v>
      </c>
      <c r="G837" s="80"/>
      <c r="H837" s="113"/>
      <c r="I837" s="450"/>
      <c r="J837" s="113"/>
      <c r="K837" s="80"/>
      <c r="L837" s="379"/>
      <c r="M837" s="79">
        <v>42800</v>
      </c>
      <c r="N837" s="80">
        <v>24508</v>
      </c>
      <c r="O837" s="426">
        <f t="shared" si="103"/>
        <v>57.26168224299065</v>
      </c>
      <c r="P837" s="80"/>
      <c r="Q837" s="80"/>
      <c r="R837" s="350"/>
    </row>
    <row r="838" spans="1:18" s="199" customFormat="1" ht="24">
      <c r="A838" s="111">
        <v>6050</v>
      </c>
      <c r="B838" s="115" t="s">
        <v>549</v>
      </c>
      <c r="C838" s="79">
        <v>123500</v>
      </c>
      <c r="D838" s="65">
        <f t="shared" si="97"/>
        <v>129000</v>
      </c>
      <c r="E838" s="80">
        <f t="shared" si="102"/>
        <v>113475</v>
      </c>
      <c r="F838" s="452">
        <f t="shared" si="101"/>
        <v>87.96511627906976</v>
      </c>
      <c r="G838" s="80"/>
      <c r="H838" s="113"/>
      <c r="I838" s="450"/>
      <c r="J838" s="113"/>
      <c r="K838" s="80"/>
      <c r="L838" s="379"/>
      <c r="M838" s="79">
        <f>123500+5500</f>
        <v>129000</v>
      </c>
      <c r="N838" s="80">
        <v>113475</v>
      </c>
      <c r="O838" s="426">
        <f t="shared" si="103"/>
        <v>87.96511627906976</v>
      </c>
      <c r="P838" s="80"/>
      <c r="Q838" s="80"/>
      <c r="R838" s="350"/>
    </row>
    <row r="839" spans="1:18" s="199" customFormat="1" ht="36">
      <c r="A839" s="111">
        <v>6060</v>
      </c>
      <c r="B839" s="115" t="s">
        <v>8</v>
      </c>
      <c r="C839" s="79">
        <v>38100</v>
      </c>
      <c r="D839" s="65">
        <f t="shared" si="97"/>
        <v>32600</v>
      </c>
      <c r="E839" s="80">
        <f t="shared" si="102"/>
        <v>24266</v>
      </c>
      <c r="F839" s="452">
        <f t="shared" si="101"/>
        <v>74.43558282208589</v>
      </c>
      <c r="G839" s="80"/>
      <c r="H839" s="113"/>
      <c r="I839" s="450"/>
      <c r="J839" s="113"/>
      <c r="K839" s="80"/>
      <c r="L839" s="379"/>
      <c r="M839" s="79">
        <f>38100-5500</f>
        <v>32600</v>
      </c>
      <c r="N839" s="142">
        <v>24266</v>
      </c>
      <c r="O839" s="426">
        <f t="shared" si="103"/>
        <v>74.43558282208589</v>
      </c>
      <c r="P839" s="80"/>
      <c r="Q839" s="80"/>
      <c r="R839" s="350"/>
    </row>
    <row r="840" spans="1:18" s="264" customFormat="1" ht="30" customHeight="1" hidden="1">
      <c r="A840" s="137">
        <v>80133</v>
      </c>
      <c r="B840" s="174" t="s">
        <v>26</v>
      </c>
      <c r="C840" s="85">
        <f>SUM(C841)</f>
        <v>0</v>
      </c>
      <c r="D840" s="86"/>
      <c r="E840" s="86"/>
      <c r="F840" s="451"/>
      <c r="G840" s="86"/>
      <c r="H840" s="158"/>
      <c r="I840" s="473"/>
      <c r="J840" s="158"/>
      <c r="K840" s="86"/>
      <c r="L840" s="406"/>
      <c r="M840" s="85"/>
      <c r="N840" s="86"/>
      <c r="O840" s="432"/>
      <c r="P840" s="86"/>
      <c r="Q840" s="86"/>
      <c r="R840" s="358"/>
    </row>
    <row r="841" spans="1:18" s="199" customFormat="1" ht="60" hidden="1">
      <c r="A841" s="111">
        <v>2540</v>
      </c>
      <c r="B841" s="115" t="s">
        <v>20</v>
      </c>
      <c r="C841" s="79">
        <v>0</v>
      </c>
      <c r="D841" s="65"/>
      <c r="E841" s="134"/>
      <c r="F841" s="451"/>
      <c r="G841" s="80"/>
      <c r="H841" s="113"/>
      <c r="I841" s="450"/>
      <c r="J841" s="113"/>
      <c r="K841" s="80"/>
      <c r="L841" s="379"/>
      <c r="M841" s="79"/>
      <c r="N841" s="80"/>
      <c r="O841" s="426"/>
      <c r="P841" s="80"/>
      <c r="Q841" s="80"/>
      <c r="R841" s="350"/>
    </row>
    <row r="842" spans="1:18" s="199" customFormat="1" ht="26.25" customHeight="1">
      <c r="A842" s="106">
        <v>80134</v>
      </c>
      <c r="B842" s="172" t="s">
        <v>27</v>
      </c>
      <c r="C842" s="108">
        <f>SUM(C843:C863)</f>
        <v>1393500</v>
      </c>
      <c r="D842" s="86">
        <f>G842+J842+P842+M842</f>
        <v>1402791</v>
      </c>
      <c r="E842" s="75">
        <f>H842+K842+Q842+N842</f>
        <v>849199</v>
      </c>
      <c r="F842" s="451">
        <f aca="true" t="shared" si="104" ref="F842:F889">E842/D842*100</f>
        <v>60.536387815433656</v>
      </c>
      <c r="G842" s="136"/>
      <c r="H842" s="135"/>
      <c r="I842" s="473"/>
      <c r="J842" s="135"/>
      <c r="K842" s="136"/>
      <c r="L842" s="395"/>
      <c r="M842" s="266">
        <f>SUM(M843:M863)</f>
        <v>1402791</v>
      </c>
      <c r="N842" s="75">
        <f>SUM(N843:N863)</f>
        <v>849199</v>
      </c>
      <c r="O842" s="432">
        <f aca="true" t="shared" si="105" ref="O842:O889">N842/M842*100</f>
        <v>60.536387815433656</v>
      </c>
      <c r="P842" s="75"/>
      <c r="Q842" s="75"/>
      <c r="R842" s="360"/>
    </row>
    <row r="843" spans="1:18" s="199" customFormat="1" ht="36">
      <c r="A843" s="131">
        <v>3020</v>
      </c>
      <c r="B843" s="132" t="s">
        <v>259</v>
      </c>
      <c r="C843" s="133">
        <v>4000</v>
      </c>
      <c r="D843" s="134">
        <f aca="true" t="shared" si="106" ref="D843:E898">G843+J843+P843+M843</f>
        <v>4000</v>
      </c>
      <c r="E843" s="136">
        <f aca="true" t="shared" si="107" ref="E843:E848">SUM(H843+K843+N843+Q843)</f>
        <v>1252</v>
      </c>
      <c r="F843" s="451">
        <f t="shared" si="104"/>
        <v>31.3</v>
      </c>
      <c r="G843" s="136"/>
      <c r="H843" s="135"/>
      <c r="I843" s="473"/>
      <c r="J843" s="135"/>
      <c r="K843" s="136"/>
      <c r="L843" s="395"/>
      <c r="M843" s="133">
        <v>4000</v>
      </c>
      <c r="N843" s="136">
        <v>1252</v>
      </c>
      <c r="O843" s="432">
        <f t="shared" si="105"/>
        <v>31.3</v>
      </c>
      <c r="P843" s="136"/>
      <c r="Q843" s="136"/>
      <c r="R843" s="360"/>
    </row>
    <row r="844" spans="1:18" s="199" customFormat="1" ht="28.5" customHeight="1">
      <c r="A844" s="111">
        <v>4010</v>
      </c>
      <c r="B844" s="115" t="s">
        <v>471</v>
      </c>
      <c r="C844" s="79">
        <v>968700</v>
      </c>
      <c r="D844" s="65">
        <f t="shared" si="106"/>
        <v>968700</v>
      </c>
      <c r="E844" s="80">
        <f t="shared" si="107"/>
        <v>548150</v>
      </c>
      <c r="F844" s="452">
        <f t="shared" si="104"/>
        <v>56.58614638174873</v>
      </c>
      <c r="G844" s="80"/>
      <c r="H844" s="113"/>
      <c r="I844" s="450"/>
      <c r="J844" s="113"/>
      <c r="K844" s="80"/>
      <c r="L844" s="379"/>
      <c r="M844" s="79">
        <v>968700</v>
      </c>
      <c r="N844" s="80">
        <v>548150</v>
      </c>
      <c r="O844" s="426">
        <f t="shared" si="105"/>
        <v>56.58614638174873</v>
      </c>
      <c r="P844" s="80"/>
      <c r="Q844" s="80"/>
      <c r="R844" s="350"/>
    </row>
    <row r="845" spans="1:18" s="199" customFormat="1" ht="24.75" customHeight="1">
      <c r="A845" s="111">
        <v>4040</v>
      </c>
      <c r="B845" s="115" t="s">
        <v>475</v>
      </c>
      <c r="C845" s="79">
        <v>74600</v>
      </c>
      <c r="D845" s="65">
        <f t="shared" si="106"/>
        <v>74210</v>
      </c>
      <c r="E845" s="80">
        <f t="shared" si="107"/>
        <v>74210</v>
      </c>
      <c r="F845" s="452">
        <f t="shared" si="104"/>
        <v>100</v>
      </c>
      <c r="G845" s="80"/>
      <c r="H845" s="113"/>
      <c r="I845" s="450"/>
      <c r="J845" s="113"/>
      <c r="K845" s="80"/>
      <c r="L845" s="379"/>
      <c r="M845" s="79">
        <f>74600-390</f>
        <v>74210</v>
      </c>
      <c r="N845" s="80">
        <v>74210</v>
      </c>
      <c r="O845" s="426">
        <f t="shared" si="105"/>
        <v>100</v>
      </c>
      <c r="P845" s="80"/>
      <c r="Q845" s="80"/>
      <c r="R845" s="350"/>
    </row>
    <row r="846" spans="1:18" s="199" customFormat="1" ht="23.25" customHeight="1">
      <c r="A846" s="111">
        <v>4110</v>
      </c>
      <c r="B846" s="115" t="s">
        <v>477</v>
      </c>
      <c r="C846" s="79">
        <v>159600</v>
      </c>
      <c r="D846" s="65">
        <f t="shared" si="106"/>
        <v>159600</v>
      </c>
      <c r="E846" s="80">
        <f t="shared" si="107"/>
        <v>90696</v>
      </c>
      <c r="F846" s="452">
        <f t="shared" si="104"/>
        <v>56.82706766917293</v>
      </c>
      <c r="G846" s="80"/>
      <c r="H846" s="113"/>
      <c r="I846" s="450"/>
      <c r="J846" s="113"/>
      <c r="K846" s="80"/>
      <c r="L846" s="379"/>
      <c r="M846" s="79">
        <v>159600</v>
      </c>
      <c r="N846" s="80">
        <v>90696</v>
      </c>
      <c r="O846" s="426">
        <f t="shared" si="105"/>
        <v>56.82706766917293</v>
      </c>
      <c r="P846" s="80"/>
      <c r="Q846" s="80"/>
      <c r="R846" s="350"/>
    </row>
    <row r="847" spans="1:18" s="199" customFormat="1" ht="15" customHeight="1">
      <c r="A847" s="111">
        <v>4120</v>
      </c>
      <c r="B847" s="115" t="s">
        <v>547</v>
      </c>
      <c r="C847" s="79">
        <v>25400</v>
      </c>
      <c r="D847" s="65">
        <f t="shared" si="106"/>
        <v>25400</v>
      </c>
      <c r="E847" s="80">
        <f t="shared" si="107"/>
        <v>14047</v>
      </c>
      <c r="F847" s="452">
        <f t="shared" si="104"/>
        <v>55.303149606299215</v>
      </c>
      <c r="G847" s="80"/>
      <c r="H847" s="113"/>
      <c r="I847" s="450"/>
      <c r="J847" s="113"/>
      <c r="K847" s="80"/>
      <c r="L847" s="379"/>
      <c r="M847" s="79">
        <v>25400</v>
      </c>
      <c r="N847" s="80">
        <v>14047</v>
      </c>
      <c r="O847" s="426">
        <f t="shared" si="105"/>
        <v>55.303149606299215</v>
      </c>
      <c r="P847" s="80"/>
      <c r="Q847" s="80"/>
      <c r="R847" s="350"/>
    </row>
    <row r="848" spans="1:18" s="199" customFormat="1" ht="24.75" customHeight="1">
      <c r="A848" s="111">
        <v>4210</v>
      </c>
      <c r="B848" s="115" t="s">
        <v>481</v>
      </c>
      <c r="C848" s="79">
        <v>17000</v>
      </c>
      <c r="D848" s="65">
        <f t="shared" si="106"/>
        <v>18500</v>
      </c>
      <c r="E848" s="80">
        <f t="shared" si="107"/>
        <v>8499</v>
      </c>
      <c r="F848" s="452">
        <f t="shared" si="104"/>
        <v>45.94054054054054</v>
      </c>
      <c r="G848" s="80"/>
      <c r="H848" s="113"/>
      <c r="I848" s="450"/>
      <c r="J848" s="113"/>
      <c r="K848" s="80"/>
      <c r="L848" s="379"/>
      <c r="M848" s="79">
        <f>17000+1500</f>
        <v>18500</v>
      </c>
      <c r="N848" s="80">
        <v>8499</v>
      </c>
      <c r="O848" s="426">
        <f t="shared" si="105"/>
        <v>45.94054054054054</v>
      </c>
      <c r="P848" s="80"/>
      <c r="Q848" s="80"/>
      <c r="R848" s="350"/>
    </row>
    <row r="849" spans="1:18" s="199" customFormat="1" ht="27.75" customHeight="1">
      <c r="A849" s="111">
        <v>4240</v>
      </c>
      <c r="B849" s="115" t="s">
        <v>539</v>
      </c>
      <c r="C849" s="79">
        <v>2000</v>
      </c>
      <c r="D849" s="65">
        <f t="shared" si="106"/>
        <v>3500</v>
      </c>
      <c r="E849" s="65">
        <f>H849+K849+Q849+N849</f>
        <v>1919</v>
      </c>
      <c r="F849" s="452">
        <f t="shared" si="104"/>
        <v>54.82857142857143</v>
      </c>
      <c r="G849" s="80"/>
      <c r="H849" s="113"/>
      <c r="I849" s="450"/>
      <c r="J849" s="113"/>
      <c r="K849" s="80"/>
      <c r="L849" s="379"/>
      <c r="M849" s="79">
        <f>2000+1500</f>
        <v>3500</v>
      </c>
      <c r="N849" s="80">
        <v>1919</v>
      </c>
      <c r="O849" s="426">
        <f t="shared" si="105"/>
        <v>54.82857142857143</v>
      </c>
      <c r="P849" s="80"/>
      <c r="Q849" s="80"/>
      <c r="R849" s="350"/>
    </row>
    <row r="850" spans="1:18" s="199" customFormat="1" ht="15.75" customHeight="1">
      <c r="A850" s="111">
        <v>4260</v>
      </c>
      <c r="B850" s="115" t="s">
        <v>485</v>
      </c>
      <c r="C850" s="79">
        <v>45000</v>
      </c>
      <c r="D850" s="65">
        <f t="shared" si="106"/>
        <v>45000</v>
      </c>
      <c r="E850" s="65">
        <f>H850+K850+Q850+N850</f>
        <v>40946</v>
      </c>
      <c r="F850" s="452">
        <f t="shared" si="104"/>
        <v>90.99111111111111</v>
      </c>
      <c r="G850" s="80"/>
      <c r="H850" s="113"/>
      <c r="I850" s="450"/>
      <c r="J850" s="113"/>
      <c r="K850" s="80"/>
      <c r="L850" s="379"/>
      <c r="M850" s="79">
        <v>45000</v>
      </c>
      <c r="N850" s="80">
        <v>40946</v>
      </c>
      <c r="O850" s="426">
        <f t="shared" si="105"/>
        <v>90.99111111111111</v>
      </c>
      <c r="P850" s="80"/>
      <c r="Q850" s="80"/>
      <c r="R850" s="350"/>
    </row>
    <row r="851" spans="1:18" s="199" customFormat="1" ht="16.5" customHeight="1">
      <c r="A851" s="111">
        <v>4270</v>
      </c>
      <c r="B851" s="115" t="s">
        <v>487</v>
      </c>
      <c r="C851" s="79">
        <v>1400</v>
      </c>
      <c r="D851" s="65">
        <f t="shared" si="106"/>
        <v>1400</v>
      </c>
      <c r="E851" s="65">
        <f>H851+K851+Q851+N851</f>
        <v>425</v>
      </c>
      <c r="F851" s="452">
        <f t="shared" si="104"/>
        <v>30.357142857142854</v>
      </c>
      <c r="G851" s="80"/>
      <c r="H851" s="113"/>
      <c r="I851" s="450"/>
      <c r="J851" s="113"/>
      <c r="K851" s="80"/>
      <c r="L851" s="379"/>
      <c r="M851" s="79">
        <v>1400</v>
      </c>
      <c r="N851" s="80">
        <v>425</v>
      </c>
      <c r="O851" s="426">
        <f t="shared" si="105"/>
        <v>30.357142857142854</v>
      </c>
      <c r="P851" s="80"/>
      <c r="Q851" s="80"/>
      <c r="R851" s="350"/>
    </row>
    <row r="852" spans="1:18" s="199" customFormat="1" ht="18" customHeight="1">
      <c r="A852" s="111">
        <v>4280</v>
      </c>
      <c r="B852" s="115" t="s">
        <v>520</v>
      </c>
      <c r="C852" s="79">
        <v>900</v>
      </c>
      <c r="D852" s="65">
        <f t="shared" si="106"/>
        <v>900</v>
      </c>
      <c r="E852" s="65">
        <f>H852+K852+Q852+N852</f>
        <v>89</v>
      </c>
      <c r="F852" s="452">
        <f t="shared" si="104"/>
        <v>9.88888888888889</v>
      </c>
      <c r="G852" s="80"/>
      <c r="H852" s="113"/>
      <c r="I852" s="450"/>
      <c r="J852" s="113"/>
      <c r="K852" s="80"/>
      <c r="L852" s="379"/>
      <c r="M852" s="79">
        <v>900</v>
      </c>
      <c r="N852" s="80">
        <v>89</v>
      </c>
      <c r="O852" s="426">
        <f t="shared" si="105"/>
        <v>9.88888888888889</v>
      </c>
      <c r="P852" s="80"/>
      <c r="Q852" s="80"/>
      <c r="R852" s="350"/>
    </row>
    <row r="853" spans="1:18" s="199" customFormat="1" ht="16.5" customHeight="1">
      <c r="A853" s="111">
        <v>4300</v>
      </c>
      <c r="B853" s="115" t="s">
        <v>489</v>
      </c>
      <c r="C853" s="79">
        <v>34000</v>
      </c>
      <c r="D853" s="65">
        <f t="shared" si="106"/>
        <v>34000</v>
      </c>
      <c r="E853" s="80">
        <f aca="true" t="shared" si="108" ref="E853:E863">SUM(H853+K853+N853+Q853)</f>
        <v>18197</v>
      </c>
      <c r="F853" s="452">
        <f t="shared" si="104"/>
        <v>53.52058823529412</v>
      </c>
      <c r="G853" s="80"/>
      <c r="H853" s="113"/>
      <c r="I853" s="450"/>
      <c r="J853" s="113"/>
      <c r="K853" s="80"/>
      <c r="L853" s="379"/>
      <c r="M853" s="79">
        <v>34000</v>
      </c>
      <c r="N853" s="80">
        <v>18197</v>
      </c>
      <c r="O853" s="426">
        <f t="shared" si="105"/>
        <v>53.52058823529412</v>
      </c>
      <c r="P853" s="80"/>
      <c r="Q853" s="80"/>
      <c r="R853" s="350"/>
    </row>
    <row r="854" spans="1:18" s="199" customFormat="1" ht="24">
      <c r="A854" s="111">
        <v>4350</v>
      </c>
      <c r="B854" s="115" t="s">
        <v>7</v>
      </c>
      <c r="C854" s="79">
        <v>600</v>
      </c>
      <c r="D854" s="65">
        <f t="shared" si="106"/>
        <v>600</v>
      </c>
      <c r="E854" s="80">
        <f t="shared" si="108"/>
        <v>313</v>
      </c>
      <c r="F854" s="452">
        <f t="shared" si="104"/>
        <v>52.166666666666664</v>
      </c>
      <c r="G854" s="80"/>
      <c r="H854" s="113"/>
      <c r="I854" s="450"/>
      <c r="J854" s="113"/>
      <c r="K854" s="80"/>
      <c r="L854" s="379"/>
      <c r="M854" s="79">
        <v>600</v>
      </c>
      <c r="N854" s="80">
        <v>313</v>
      </c>
      <c r="O854" s="426">
        <f t="shared" si="105"/>
        <v>52.166666666666664</v>
      </c>
      <c r="P854" s="80"/>
      <c r="Q854" s="80"/>
      <c r="R854" s="350"/>
    </row>
    <row r="855" spans="1:18" s="199" customFormat="1" ht="37.5" customHeight="1">
      <c r="A855" s="159">
        <v>4360</v>
      </c>
      <c r="B855" s="326" t="s">
        <v>295</v>
      </c>
      <c r="C855" s="79">
        <v>200</v>
      </c>
      <c r="D855" s="65">
        <f t="shared" si="106"/>
        <v>200</v>
      </c>
      <c r="E855" s="80">
        <f t="shared" si="108"/>
        <v>116</v>
      </c>
      <c r="F855" s="452">
        <f t="shared" si="104"/>
        <v>57.99999999999999</v>
      </c>
      <c r="G855" s="80"/>
      <c r="H855" s="113"/>
      <c r="I855" s="450"/>
      <c r="J855" s="113"/>
      <c r="K855" s="80"/>
      <c r="L855" s="379"/>
      <c r="M855" s="79">
        <v>200</v>
      </c>
      <c r="N855" s="80">
        <v>116</v>
      </c>
      <c r="O855" s="426">
        <f t="shared" si="105"/>
        <v>57.99999999999999</v>
      </c>
      <c r="P855" s="80"/>
      <c r="Q855" s="80"/>
      <c r="R855" s="350"/>
    </row>
    <row r="856" spans="1:18" s="199" customFormat="1" ht="40.5" customHeight="1">
      <c r="A856" s="159">
        <v>4370</v>
      </c>
      <c r="B856" s="326" t="s">
        <v>296</v>
      </c>
      <c r="C856" s="79">
        <v>1300</v>
      </c>
      <c r="D856" s="65">
        <f t="shared" si="106"/>
        <v>1300</v>
      </c>
      <c r="E856" s="80">
        <f t="shared" si="108"/>
        <v>632</v>
      </c>
      <c r="F856" s="452">
        <f t="shared" si="104"/>
        <v>48.61538461538461</v>
      </c>
      <c r="G856" s="80"/>
      <c r="H856" s="113"/>
      <c r="I856" s="450"/>
      <c r="J856" s="113"/>
      <c r="K856" s="80"/>
      <c r="L856" s="379"/>
      <c r="M856" s="79">
        <v>1300</v>
      </c>
      <c r="N856" s="80">
        <v>632</v>
      </c>
      <c r="O856" s="426">
        <f t="shared" si="105"/>
        <v>48.61538461538461</v>
      </c>
      <c r="P856" s="80"/>
      <c r="Q856" s="80"/>
      <c r="R856" s="350"/>
    </row>
    <row r="857" spans="1:18" s="199" customFormat="1" ht="36">
      <c r="A857" s="111">
        <v>4390</v>
      </c>
      <c r="B857" s="193" t="s">
        <v>271</v>
      </c>
      <c r="C857" s="79">
        <v>1400</v>
      </c>
      <c r="D857" s="65">
        <f t="shared" si="106"/>
        <v>1400</v>
      </c>
      <c r="E857" s="80">
        <f t="shared" si="108"/>
        <v>198</v>
      </c>
      <c r="F857" s="452">
        <f t="shared" si="104"/>
        <v>14.142857142857142</v>
      </c>
      <c r="G857" s="80"/>
      <c r="H857" s="113"/>
      <c r="I857" s="450"/>
      <c r="J857" s="113"/>
      <c r="K857" s="80"/>
      <c r="L857" s="379"/>
      <c r="M857" s="79">
        <v>1400</v>
      </c>
      <c r="N857" s="80">
        <v>198</v>
      </c>
      <c r="O857" s="426">
        <f t="shared" si="105"/>
        <v>14.142857142857142</v>
      </c>
      <c r="P857" s="80"/>
      <c r="Q857" s="80"/>
      <c r="R857" s="350"/>
    </row>
    <row r="858" spans="1:18" s="199" customFormat="1" ht="16.5" customHeight="1">
      <c r="A858" s="111">
        <v>4410</v>
      </c>
      <c r="B858" s="115" t="s">
        <v>463</v>
      </c>
      <c r="C858" s="79">
        <v>800</v>
      </c>
      <c r="D858" s="65">
        <f t="shared" si="106"/>
        <v>800</v>
      </c>
      <c r="E858" s="80">
        <f t="shared" si="108"/>
        <v>34</v>
      </c>
      <c r="F858" s="452">
        <f t="shared" si="104"/>
        <v>4.25</v>
      </c>
      <c r="G858" s="80"/>
      <c r="H858" s="113"/>
      <c r="I858" s="450"/>
      <c r="J858" s="113"/>
      <c r="K858" s="80"/>
      <c r="L858" s="379"/>
      <c r="M858" s="79">
        <v>800</v>
      </c>
      <c r="N858" s="80">
        <f>35-1</f>
        <v>34</v>
      </c>
      <c r="O858" s="426">
        <f t="shared" si="105"/>
        <v>4.25</v>
      </c>
      <c r="P858" s="80"/>
      <c r="Q858" s="80"/>
      <c r="R858" s="350"/>
    </row>
    <row r="859" spans="1:18" s="199" customFormat="1" ht="12.75">
      <c r="A859" s="111">
        <v>4440</v>
      </c>
      <c r="B859" s="115" t="s">
        <v>493</v>
      </c>
      <c r="C859" s="79">
        <v>46100</v>
      </c>
      <c r="D859" s="65">
        <f t="shared" si="106"/>
        <v>48781</v>
      </c>
      <c r="E859" s="80">
        <f t="shared" si="108"/>
        <v>37185</v>
      </c>
      <c r="F859" s="452">
        <f t="shared" si="104"/>
        <v>76.2284496012792</v>
      </c>
      <c r="G859" s="80"/>
      <c r="H859" s="113"/>
      <c r="I859" s="450"/>
      <c r="J859" s="113"/>
      <c r="K859" s="80"/>
      <c r="L859" s="379"/>
      <c r="M859" s="79">
        <f>46100+2681</f>
        <v>48781</v>
      </c>
      <c r="N859" s="80">
        <v>37185</v>
      </c>
      <c r="O859" s="426">
        <f t="shared" si="105"/>
        <v>76.2284496012792</v>
      </c>
      <c r="P859" s="80"/>
      <c r="Q859" s="80"/>
      <c r="R859" s="350"/>
    </row>
    <row r="860" spans="1:18" s="199" customFormat="1" ht="36">
      <c r="A860" s="159">
        <v>4700</v>
      </c>
      <c r="B860" s="326" t="s">
        <v>284</v>
      </c>
      <c r="C860" s="79">
        <v>1100</v>
      </c>
      <c r="D860" s="65">
        <f t="shared" si="106"/>
        <v>1100</v>
      </c>
      <c r="E860" s="80">
        <f t="shared" si="108"/>
        <v>225</v>
      </c>
      <c r="F860" s="452">
        <f t="shared" si="104"/>
        <v>20.454545454545457</v>
      </c>
      <c r="G860" s="80"/>
      <c r="H860" s="113"/>
      <c r="I860" s="450"/>
      <c r="J860" s="113"/>
      <c r="K860" s="80"/>
      <c r="L860" s="379"/>
      <c r="M860" s="79">
        <v>1100</v>
      </c>
      <c r="N860" s="80">
        <v>225</v>
      </c>
      <c r="O860" s="426">
        <f t="shared" si="105"/>
        <v>20.454545454545457</v>
      </c>
      <c r="P860" s="80"/>
      <c r="Q860" s="80"/>
      <c r="R860" s="350"/>
    </row>
    <row r="861" spans="1:18" s="199" customFormat="1" ht="51" customHeight="1">
      <c r="A861" s="159">
        <v>4740</v>
      </c>
      <c r="B861" s="326" t="s">
        <v>288</v>
      </c>
      <c r="C861" s="79">
        <v>900</v>
      </c>
      <c r="D861" s="65">
        <f t="shared" si="106"/>
        <v>900</v>
      </c>
      <c r="E861" s="80">
        <f t="shared" si="108"/>
        <v>101</v>
      </c>
      <c r="F861" s="452">
        <f t="shared" si="104"/>
        <v>11.222222222222221</v>
      </c>
      <c r="G861" s="80"/>
      <c r="H861" s="113"/>
      <c r="I861" s="450"/>
      <c r="J861" s="113"/>
      <c r="K861" s="80"/>
      <c r="L861" s="379"/>
      <c r="M861" s="79">
        <v>900</v>
      </c>
      <c r="N861" s="80">
        <v>101</v>
      </c>
      <c r="O861" s="426">
        <f t="shared" si="105"/>
        <v>11.222222222222221</v>
      </c>
      <c r="P861" s="80"/>
      <c r="Q861" s="80"/>
      <c r="R861" s="350"/>
    </row>
    <row r="862" spans="1:18" s="199" customFormat="1" ht="36">
      <c r="A862" s="184">
        <v>4750</v>
      </c>
      <c r="B862" s="185" t="s">
        <v>289</v>
      </c>
      <c r="C862" s="147">
        <v>1500</v>
      </c>
      <c r="D862" s="148">
        <f t="shared" si="106"/>
        <v>1500</v>
      </c>
      <c r="E862" s="142">
        <f>SUM(H862+K862+N862+Q862)</f>
        <v>966</v>
      </c>
      <c r="F862" s="453">
        <f>E862/D862*100</f>
        <v>64.4</v>
      </c>
      <c r="G862" s="142"/>
      <c r="H862" s="149"/>
      <c r="I862" s="463"/>
      <c r="J862" s="149"/>
      <c r="K862" s="142"/>
      <c r="L862" s="404"/>
      <c r="M862" s="147">
        <v>1500</v>
      </c>
      <c r="N862" s="142">
        <v>966</v>
      </c>
      <c r="O862" s="446">
        <f t="shared" si="105"/>
        <v>64.4</v>
      </c>
      <c r="P862" s="142"/>
      <c r="Q862" s="142"/>
      <c r="R862" s="354"/>
    </row>
    <row r="863" spans="1:18" s="199" customFormat="1" ht="36">
      <c r="A863" s="111">
        <v>6060</v>
      </c>
      <c r="B863" s="115" t="s">
        <v>8</v>
      </c>
      <c r="C863" s="79">
        <v>7000</v>
      </c>
      <c r="D863" s="148">
        <f t="shared" si="106"/>
        <v>11000</v>
      </c>
      <c r="E863" s="142">
        <f t="shared" si="108"/>
        <v>10999</v>
      </c>
      <c r="F863" s="453">
        <f t="shared" si="104"/>
        <v>99.99090909090908</v>
      </c>
      <c r="G863" s="142"/>
      <c r="H863" s="149"/>
      <c r="I863" s="463"/>
      <c r="J863" s="149"/>
      <c r="K863" s="142"/>
      <c r="L863" s="404"/>
      <c r="M863" s="79">
        <f>7000+4000</f>
        <v>11000</v>
      </c>
      <c r="N863" s="142">
        <f>11000-1</f>
        <v>10999</v>
      </c>
      <c r="O863" s="426">
        <f t="shared" si="105"/>
        <v>99.99090909090908</v>
      </c>
      <c r="P863" s="142"/>
      <c r="Q863" s="142"/>
      <c r="R863" s="354"/>
    </row>
    <row r="864" spans="1:18" s="199" customFormat="1" ht="60">
      <c r="A864" s="106">
        <v>80140</v>
      </c>
      <c r="B864" s="172" t="s">
        <v>28</v>
      </c>
      <c r="C864" s="108">
        <f>SUM(C865:C889)</f>
        <v>2507000</v>
      </c>
      <c r="D864" s="86">
        <f t="shared" si="106"/>
        <v>2505640</v>
      </c>
      <c r="E864" s="75">
        <f>H864+K864+Q864+N864</f>
        <v>1304749</v>
      </c>
      <c r="F864" s="451">
        <f t="shared" si="104"/>
        <v>52.07248447502435</v>
      </c>
      <c r="G864" s="136"/>
      <c r="H864" s="135"/>
      <c r="I864" s="473"/>
      <c r="J864" s="135"/>
      <c r="K864" s="136"/>
      <c r="L864" s="395"/>
      <c r="M864" s="108">
        <f>SUM(M865:M889)</f>
        <v>2505640</v>
      </c>
      <c r="N864" s="75">
        <f>SUM(N865:N889)</f>
        <v>1304749</v>
      </c>
      <c r="O864" s="432">
        <f t="shared" si="105"/>
        <v>52.07248447502435</v>
      </c>
      <c r="P864" s="75"/>
      <c r="Q864" s="75"/>
      <c r="R864" s="360"/>
    </row>
    <row r="865" spans="1:18" s="199" customFormat="1" ht="36">
      <c r="A865" s="111">
        <v>3020</v>
      </c>
      <c r="B865" s="115" t="s">
        <v>259</v>
      </c>
      <c r="C865" s="79">
        <v>7500</v>
      </c>
      <c r="D865" s="65">
        <f t="shared" si="106"/>
        <v>7500</v>
      </c>
      <c r="E865" s="80">
        <f aca="true" t="shared" si="109" ref="E865:E889">SUM(H865+K865+N865+Q865)</f>
        <v>1399</v>
      </c>
      <c r="F865" s="452">
        <f t="shared" si="104"/>
        <v>18.653333333333332</v>
      </c>
      <c r="G865" s="80"/>
      <c r="H865" s="113"/>
      <c r="I865" s="450"/>
      <c r="J865" s="113"/>
      <c r="K865" s="80"/>
      <c r="L865" s="379"/>
      <c r="M865" s="79">
        <v>7500</v>
      </c>
      <c r="N865" s="80">
        <v>1399</v>
      </c>
      <c r="O865" s="426">
        <f t="shared" si="105"/>
        <v>18.653333333333332</v>
      </c>
      <c r="P865" s="80"/>
      <c r="Q865" s="80"/>
      <c r="R865" s="350"/>
    </row>
    <row r="866" spans="1:18" s="199" customFormat="1" ht="24">
      <c r="A866" s="111">
        <v>4010</v>
      </c>
      <c r="B866" s="115" t="s">
        <v>471</v>
      </c>
      <c r="C866" s="79">
        <v>1614000</v>
      </c>
      <c r="D866" s="65">
        <f t="shared" si="106"/>
        <v>1614000</v>
      </c>
      <c r="E866" s="80">
        <f t="shared" si="109"/>
        <v>774907</v>
      </c>
      <c r="F866" s="452">
        <f t="shared" si="104"/>
        <v>48.011586121437425</v>
      </c>
      <c r="G866" s="80"/>
      <c r="H866" s="113"/>
      <c r="I866" s="450"/>
      <c r="J866" s="113"/>
      <c r="K866" s="80"/>
      <c r="L866" s="379"/>
      <c r="M866" s="79">
        <f>1614000</f>
        <v>1614000</v>
      </c>
      <c r="N866" s="80">
        <f>774908-1</f>
        <v>774907</v>
      </c>
      <c r="O866" s="426">
        <f t="shared" si="105"/>
        <v>48.011586121437425</v>
      </c>
      <c r="P866" s="80"/>
      <c r="Q866" s="80"/>
      <c r="R866" s="350"/>
    </row>
    <row r="867" spans="1:18" s="199" customFormat="1" ht="24">
      <c r="A867" s="111">
        <v>4040</v>
      </c>
      <c r="B867" s="115" t="s">
        <v>475</v>
      </c>
      <c r="C867" s="79">
        <v>132900</v>
      </c>
      <c r="D867" s="65">
        <f t="shared" si="106"/>
        <v>125650</v>
      </c>
      <c r="E867" s="80">
        <f t="shared" si="109"/>
        <v>125646</v>
      </c>
      <c r="F867" s="452">
        <f t="shared" si="104"/>
        <v>99.99681655391961</v>
      </c>
      <c r="G867" s="80"/>
      <c r="H867" s="113"/>
      <c r="I867" s="450"/>
      <c r="J867" s="113"/>
      <c r="K867" s="80"/>
      <c r="L867" s="379"/>
      <c r="M867" s="79">
        <f>132900-7250</f>
        <v>125650</v>
      </c>
      <c r="N867" s="80">
        <v>125646</v>
      </c>
      <c r="O867" s="426">
        <f t="shared" si="105"/>
        <v>99.99681655391961</v>
      </c>
      <c r="P867" s="80"/>
      <c r="Q867" s="80"/>
      <c r="R867" s="350"/>
    </row>
    <row r="868" spans="1:18" s="199" customFormat="1" ht="24">
      <c r="A868" s="111">
        <v>4110</v>
      </c>
      <c r="B868" s="115" t="s">
        <v>477</v>
      </c>
      <c r="C868" s="79">
        <v>264000</v>
      </c>
      <c r="D868" s="65">
        <f t="shared" si="106"/>
        <v>264000</v>
      </c>
      <c r="E868" s="80">
        <f t="shared" si="109"/>
        <v>130057</v>
      </c>
      <c r="F868" s="452">
        <f t="shared" si="104"/>
        <v>49.26401515151515</v>
      </c>
      <c r="G868" s="80"/>
      <c r="H868" s="113"/>
      <c r="I868" s="450"/>
      <c r="J868" s="113"/>
      <c r="K868" s="80"/>
      <c r="L868" s="379"/>
      <c r="M868" s="79">
        <v>264000</v>
      </c>
      <c r="N868" s="80">
        <v>130057</v>
      </c>
      <c r="O868" s="426">
        <f t="shared" si="105"/>
        <v>49.26401515151515</v>
      </c>
      <c r="P868" s="80"/>
      <c r="Q868" s="80"/>
      <c r="R868" s="350"/>
    </row>
    <row r="869" spans="1:18" s="199" customFormat="1" ht="12.75">
      <c r="A869" s="111">
        <v>4120</v>
      </c>
      <c r="B869" s="115" t="s">
        <v>547</v>
      </c>
      <c r="C869" s="79">
        <v>42300</v>
      </c>
      <c r="D869" s="65">
        <f t="shared" si="106"/>
        <v>42300</v>
      </c>
      <c r="E869" s="80">
        <f t="shared" si="109"/>
        <v>21045</v>
      </c>
      <c r="F869" s="452">
        <f t="shared" si="104"/>
        <v>49.751773049645394</v>
      </c>
      <c r="G869" s="80"/>
      <c r="H869" s="113"/>
      <c r="I869" s="450"/>
      <c r="J869" s="113"/>
      <c r="K869" s="80"/>
      <c r="L869" s="379"/>
      <c r="M869" s="79">
        <v>42300</v>
      </c>
      <c r="N869" s="80">
        <v>21045</v>
      </c>
      <c r="O869" s="426">
        <f t="shared" si="105"/>
        <v>49.751773049645394</v>
      </c>
      <c r="P869" s="80"/>
      <c r="Q869" s="80"/>
      <c r="R869" s="350"/>
    </row>
    <row r="870" spans="1:18" s="199" customFormat="1" ht="12.75">
      <c r="A870" s="111">
        <v>4140</v>
      </c>
      <c r="B870" s="115" t="s">
        <v>519</v>
      </c>
      <c r="C870" s="79">
        <v>24100</v>
      </c>
      <c r="D870" s="65">
        <f t="shared" si="106"/>
        <v>24100</v>
      </c>
      <c r="E870" s="80">
        <f>SUM(H870+K870+N870+Q870)</f>
        <v>7595</v>
      </c>
      <c r="F870" s="452">
        <f>E870/D870*100</f>
        <v>31.51452282157676</v>
      </c>
      <c r="G870" s="80"/>
      <c r="H870" s="113"/>
      <c r="I870" s="450"/>
      <c r="J870" s="113"/>
      <c r="K870" s="80"/>
      <c r="L870" s="379"/>
      <c r="M870" s="79">
        <v>24100</v>
      </c>
      <c r="N870" s="80">
        <v>7595</v>
      </c>
      <c r="O870" s="426">
        <f t="shared" si="105"/>
        <v>31.51452282157676</v>
      </c>
      <c r="P870" s="80"/>
      <c r="Q870" s="80"/>
      <c r="R870" s="350"/>
    </row>
    <row r="871" spans="1:18" s="199" customFormat="1" ht="24">
      <c r="A871" s="111">
        <v>4210</v>
      </c>
      <c r="B871" s="115" t="s">
        <v>481</v>
      </c>
      <c r="C871" s="79">
        <v>30000</v>
      </c>
      <c r="D871" s="65">
        <f t="shared" si="106"/>
        <v>30000</v>
      </c>
      <c r="E871" s="80">
        <f t="shared" si="109"/>
        <v>18994</v>
      </c>
      <c r="F871" s="452">
        <f t="shared" si="104"/>
        <v>63.31333333333333</v>
      </c>
      <c r="G871" s="80"/>
      <c r="H871" s="113"/>
      <c r="I871" s="450"/>
      <c r="J871" s="113"/>
      <c r="K871" s="80"/>
      <c r="L871" s="379"/>
      <c r="M871" s="79">
        <v>30000</v>
      </c>
      <c r="N871" s="80">
        <v>18994</v>
      </c>
      <c r="O871" s="426">
        <f t="shared" si="105"/>
        <v>63.31333333333333</v>
      </c>
      <c r="P871" s="80"/>
      <c r="Q871" s="80"/>
      <c r="R871" s="350"/>
    </row>
    <row r="872" spans="1:18" s="199" customFormat="1" ht="27" customHeight="1">
      <c r="A872" s="111">
        <v>4240</v>
      </c>
      <c r="B872" s="115" t="s">
        <v>539</v>
      </c>
      <c r="C872" s="79">
        <v>10000</v>
      </c>
      <c r="D872" s="65">
        <f t="shared" si="106"/>
        <v>10000</v>
      </c>
      <c r="E872" s="80">
        <f t="shared" si="109"/>
        <v>2084</v>
      </c>
      <c r="F872" s="452">
        <f t="shared" si="104"/>
        <v>20.84</v>
      </c>
      <c r="G872" s="80"/>
      <c r="H872" s="113"/>
      <c r="I872" s="450"/>
      <c r="J872" s="113"/>
      <c r="K872" s="80"/>
      <c r="L872" s="379"/>
      <c r="M872" s="79">
        <v>10000</v>
      </c>
      <c r="N872" s="80">
        <v>2084</v>
      </c>
      <c r="O872" s="426">
        <f t="shared" si="105"/>
        <v>20.84</v>
      </c>
      <c r="P872" s="80"/>
      <c r="Q872" s="80"/>
      <c r="R872" s="350"/>
    </row>
    <row r="873" spans="1:18" s="199" customFormat="1" ht="12.75">
      <c r="A873" s="111">
        <v>4260</v>
      </c>
      <c r="B873" s="115" t="s">
        <v>485</v>
      </c>
      <c r="C873" s="79">
        <v>180000</v>
      </c>
      <c r="D873" s="65">
        <f t="shared" si="106"/>
        <v>180000</v>
      </c>
      <c r="E873" s="80">
        <f t="shared" si="109"/>
        <v>105658</v>
      </c>
      <c r="F873" s="452">
        <f t="shared" si="104"/>
        <v>58.69888888888889</v>
      </c>
      <c r="G873" s="80"/>
      <c r="H873" s="113"/>
      <c r="I873" s="450"/>
      <c r="J873" s="113"/>
      <c r="K873" s="80"/>
      <c r="L873" s="379"/>
      <c r="M873" s="79">
        <v>180000</v>
      </c>
      <c r="N873" s="80">
        <v>105658</v>
      </c>
      <c r="O873" s="426">
        <f t="shared" si="105"/>
        <v>58.69888888888889</v>
      </c>
      <c r="P873" s="80"/>
      <c r="Q873" s="80"/>
      <c r="R873" s="350"/>
    </row>
    <row r="874" spans="1:18" s="199" customFormat="1" ht="14.25" customHeight="1">
      <c r="A874" s="111">
        <v>4270</v>
      </c>
      <c r="B874" s="115" t="s">
        <v>487</v>
      </c>
      <c r="C874" s="79">
        <v>10000</v>
      </c>
      <c r="D874" s="65">
        <f t="shared" si="106"/>
        <v>10000</v>
      </c>
      <c r="E874" s="80">
        <f t="shared" si="109"/>
        <v>6636</v>
      </c>
      <c r="F874" s="452">
        <f t="shared" si="104"/>
        <v>66.36</v>
      </c>
      <c r="G874" s="80"/>
      <c r="H874" s="113"/>
      <c r="I874" s="450"/>
      <c r="J874" s="113"/>
      <c r="K874" s="80"/>
      <c r="L874" s="379"/>
      <c r="M874" s="79">
        <v>10000</v>
      </c>
      <c r="N874" s="80">
        <v>6636</v>
      </c>
      <c r="O874" s="426">
        <f t="shared" si="105"/>
        <v>66.36</v>
      </c>
      <c r="P874" s="80"/>
      <c r="Q874" s="80"/>
      <c r="R874" s="350"/>
    </row>
    <row r="875" spans="1:18" s="199" customFormat="1" ht="17.25" customHeight="1">
      <c r="A875" s="111">
        <v>4280</v>
      </c>
      <c r="B875" s="115" t="s">
        <v>520</v>
      </c>
      <c r="C875" s="79">
        <v>1300</v>
      </c>
      <c r="D875" s="65">
        <f t="shared" si="106"/>
        <v>1300</v>
      </c>
      <c r="E875" s="80">
        <f t="shared" si="109"/>
        <v>1258</v>
      </c>
      <c r="F875" s="452">
        <f t="shared" si="104"/>
        <v>96.76923076923077</v>
      </c>
      <c r="G875" s="80"/>
      <c r="H875" s="113"/>
      <c r="I875" s="450"/>
      <c r="J875" s="113"/>
      <c r="K875" s="80"/>
      <c r="L875" s="379"/>
      <c r="M875" s="79">
        <v>1300</v>
      </c>
      <c r="N875" s="80">
        <v>1258</v>
      </c>
      <c r="O875" s="426">
        <f t="shared" si="105"/>
        <v>96.76923076923077</v>
      </c>
      <c r="P875" s="80"/>
      <c r="Q875" s="80"/>
      <c r="R875" s="350"/>
    </row>
    <row r="876" spans="1:18" s="199" customFormat="1" ht="18.75" customHeight="1">
      <c r="A876" s="111">
        <v>4300</v>
      </c>
      <c r="B876" s="115" t="s">
        <v>489</v>
      </c>
      <c r="C876" s="79">
        <v>18000</v>
      </c>
      <c r="D876" s="65">
        <f t="shared" si="106"/>
        <v>18000</v>
      </c>
      <c r="E876" s="80">
        <f t="shared" si="109"/>
        <v>12224</v>
      </c>
      <c r="F876" s="452">
        <f t="shared" si="104"/>
        <v>67.91111111111111</v>
      </c>
      <c r="G876" s="80"/>
      <c r="H876" s="113"/>
      <c r="I876" s="450"/>
      <c r="J876" s="113"/>
      <c r="K876" s="80"/>
      <c r="L876" s="379"/>
      <c r="M876" s="79">
        <v>18000</v>
      </c>
      <c r="N876" s="80">
        <v>12224</v>
      </c>
      <c r="O876" s="426">
        <f t="shared" si="105"/>
        <v>67.91111111111111</v>
      </c>
      <c r="P876" s="80"/>
      <c r="Q876" s="80"/>
      <c r="R876" s="350"/>
    </row>
    <row r="877" spans="1:18" s="199" customFormat="1" ht="24">
      <c r="A877" s="111">
        <v>4350</v>
      </c>
      <c r="B877" s="115" t="s">
        <v>7</v>
      </c>
      <c r="C877" s="79">
        <v>3900</v>
      </c>
      <c r="D877" s="65">
        <f t="shared" si="106"/>
        <v>3900</v>
      </c>
      <c r="E877" s="80">
        <f t="shared" si="109"/>
        <v>1906</v>
      </c>
      <c r="F877" s="452">
        <f t="shared" si="104"/>
        <v>48.87179487179487</v>
      </c>
      <c r="G877" s="80"/>
      <c r="H877" s="113"/>
      <c r="I877" s="450"/>
      <c r="J877" s="113"/>
      <c r="K877" s="80"/>
      <c r="L877" s="379"/>
      <c r="M877" s="79">
        <v>3900</v>
      </c>
      <c r="N877" s="80">
        <v>1906</v>
      </c>
      <c r="O877" s="426">
        <f t="shared" si="105"/>
        <v>48.87179487179487</v>
      </c>
      <c r="P877" s="80"/>
      <c r="Q877" s="80"/>
      <c r="R877" s="350"/>
    </row>
    <row r="878" spans="1:18" s="199" customFormat="1" ht="39.75" customHeight="1">
      <c r="A878" s="159">
        <v>4360</v>
      </c>
      <c r="B878" s="326" t="s">
        <v>295</v>
      </c>
      <c r="C878" s="79">
        <v>1300</v>
      </c>
      <c r="D878" s="65">
        <f t="shared" si="106"/>
        <v>1300</v>
      </c>
      <c r="E878" s="80">
        <f>SUM(H878+K878+N878+Q878)</f>
        <v>594</v>
      </c>
      <c r="F878" s="452">
        <f>E878/D878*100</f>
        <v>45.69230769230769</v>
      </c>
      <c r="G878" s="80"/>
      <c r="H878" s="113"/>
      <c r="I878" s="450"/>
      <c r="J878" s="113"/>
      <c r="K878" s="80"/>
      <c r="L878" s="379"/>
      <c r="M878" s="79">
        <v>1300</v>
      </c>
      <c r="N878" s="80">
        <v>594</v>
      </c>
      <c r="O878" s="426">
        <f t="shared" si="105"/>
        <v>45.69230769230769</v>
      </c>
      <c r="P878" s="80"/>
      <c r="Q878" s="80"/>
      <c r="R878" s="350"/>
    </row>
    <row r="879" spans="1:18" s="199" customFormat="1" ht="41.25" customHeight="1">
      <c r="A879" s="159">
        <v>4370</v>
      </c>
      <c r="B879" s="326" t="s">
        <v>296</v>
      </c>
      <c r="C879" s="79">
        <v>10900</v>
      </c>
      <c r="D879" s="65">
        <f t="shared" si="106"/>
        <v>10900</v>
      </c>
      <c r="E879" s="80">
        <f>SUM(H879+K879+N879+Q879)</f>
        <v>4714</v>
      </c>
      <c r="F879" s="452">
        <f>E879/D879*100</f>
        <v>43.247706422018354</v>
      </c>
      <c r="G879" s="80"/>
      <c r="H879" s="113"/>
      <c r="I879" s="450"/>
      <c r="J879" s="113"/>
      <c r="K879" s="80"/>
      <c r="L879" s="379"/>
      <c r="M879" s="79">
        <v>10900</v>
      </c>
      <c r="N879" s="80">
        <v>4714</v>
      </c>
      <c r="O879" s="426">
        <f t="shared" si="105"/>
        <v>43.247706422018354</v>
      </c>
      <c r="P879" s="80"/>
      <c r="Q879" s="80"/>
      <c r="R879" s="350"/>
    </row>
    <row r="880" spans="1:18" s="199" customFormat="1" ht="36">
      <c r="A880" s="111">
        <v>4390</v>
      </c>
      <c r="B880" s="193" t="s">
        <v>271</v>
      </c>
      <c r="C880" s="79">
        <v>4000</v>
      </c>
      <c r="D880" s="65">
        <f t="shared" si="106"/>
        <v>4000</v>
      </c>
      <c r="E880" s="80">
        <f>SUM(H880+K880+N880+Q880)</f>
        <v>976</v>
      </c>
      <c r="F880" s="452">
        <f>E880/D880*100</f>
        <v>24.4</v>
      </c>
      <c r="G880" s="80"/>
      <c r="H880" s="113"/>
      <c r="I880" s="450"/>
      <c r="J880" s="113"/>
      <c r="K880" s="80"/>
      <c r="L880" s="379"/>
      <c r="M880" s="79">
        <v>4000</v>
      </c>
      <c r="N880" s="80">
        <v>976</v>
      </c>
      <c r="O880" s="426">
        <f t="shared" si="105"/>
        <v>24.4</v>
      </c>
      <c r="P880" s="80"/>
      <c r="Q880" s="80"/>
      <c r="R880" s="350"/>
    </row>
    <row r="881" spans="1:18" s="199" customFormat="1" ht="17.25" customHeight="1">
      <c r="A881" s="145">
        <v>4410</v>
      </c>
      <c r="B881" s="146" t="s">
        <v>463</v>
      </c>
      <c r="C881" s="147">
        <v>1500</v>
      </c>
      <c r="D881" s="148">
        <f t="shared" si="106"/>
        <v>1500</v>
      </c>
      <c r="E881" s="142">
        <f t="shared" si="109"/>
        <v>70</v>
      </c>
      <c r="F881" s="453">
        <f t="shared" si="104"/>
        <v>4.666666666666667</v>
      </c>
      <c r="G881" s="142"/>
      <c r="H881" s="149"/>
      <c r="I881" s="463"/>
      <c r="J881" s="149"/>
      <c r="K881" s="142"/>
      <c r="L881" s="404"/>
      <c r="M881" s="147">
        <v>1500</v>
      </c>
      <c r="N881" s="142">
        <v>70</v>
      </c>
      <c r="O881" s="446">
        <f t="shared" si="105"/>
        <v>4.666666666666667</v>
      </c>
      <c r="P881" s="142"/>
      <c r="Q881" s="142"/>
      <c r="R881" s="354"/>
    </row>
    <row r="882" spans="1:18" s="199" customFormat="1" ht="24">
      <c r="A882" s="111">
        <v>4420</v>
      </c>
      <c r="B882" s="115" t="s">
        <v>532</v>
      </c>
      <c r="C882" s="79"/>
      <c r="D882" s="65">
        <f t="shared" si="106"/>
        <v>500</v>
      </c>
      <c r="E882" s="80">
        <f>SUM(H882+K882+N882+Q882)</f>
        <v>246</v>
      </c>
      <c r="F882" s="452">
        <f>E882/D882*100</f>
        <v>49.2</v>
      </c>
      <c r="G882" s="80"/>
      <c r="H882" s="113"/>
      <c r="I882" s="450"/>
      <c r="J882" s="113"/>
      <c r="K882" s="80"/>
      <c r="L882" s="379"/>
      <c r="M882" s="79">
        <v>500</v>
      </c>
      <c r="N882" s="80">
        <v>246</v>
      </c>
      <c r="O882" s="426">
        <f t="shared" si="105"/>
        <v>49.2</v>
      </c>
      <c r="P882" s="80"/>
      <c r="Q882" s="80"/>
      <c r="R882" s="350"/>
    </row>
    <row r="883" spans="1:18" s="199" customFormat="1" ht="12.75">
      <c r="A883" s="111">
        <v>4430</v>
      </c>
      <c r="B883" s="115" t="s">
        <v>491</v>
      </c>
      <c r="C883" s="79">
        <v>300</v>
      </c>
      <c r="D883" s="65">
        <f t="shared" si="106"/>
        <v>300</v>
      </c>
      <c r="E883" s="80">
        <f t="shared" si="109"/>
        <v>50</v>
      </c>
      <c r="F883" s="452">
        <f t="shared" si="104"/>
        <v>16.666666666666664</v>
      </c>
      <c r="G883" s="80"/>
      <c r="H883" s="113"/>
      <c r="I883" s="450"/>
      <c r="J883" s="113"/>
      <c r="K883" s="80"/>
      <c r="L883" s="379"/>
      <c r="M883" s="79">
        <v>300</v>
      </c>
      <c r="N883" s="80">
        <v>50</v>
      </c>
      <c r="O883" s="426">
        <f t="shared" si="105"/>
        <v>16.666666666666664</v>
      </c>
      <c r="P883" s="80"/>
      <c r="Q883" s="80"/>
      <c r="R883" s="350"/>
    </row>
    <row r="884" spans="1:18" s="199" customFormat="1" ht="12.75">
      <c r="A884" s="111">
        <v>4440</v>
      </c>
      <c r="B884" s="115" t="s">
        <v>493</v>
      </c>
      <c r="C884" s="79">
        <v>92700</v>
      </c>
      <c r="D884" s="65">
        <f t="shared" si="106"/>
        <v>98590</v>
      </c>
      <c r="E884" s="80">
        <f t="shared" si="109"/>
        <v>80106</v>
      </c>
      <c r="F884" s="452">
        <f t="shared" si="104"/>
        <v>81.25164824018664</v>
      </c>
      <c r="G884" s="80"/>
      <c r="H884" s="113"/>
      <c r="I884" s="450"/>
      <c r="J884" s="113"/>
      <c r="K884" s="80"/>
      <c r="L884" s="379"/>
      <c r="M884" s="79">
        <f>92700+5890</f>
        <v>98590</v>
      </c>
      <c r="N884" s="80">
        <v>80106</v>
      </c>
      <c r="O884" s="426">
        <f t="shared" si="105"/>
        <v>81.25164824018664</v>
      </c>
      <c r="P884" s="80"/>
      <c r="Q884" s="80"/>
      <c r="R884" s="350"/>
    </row>
    <row r="885" spans="1:18" s="199" customFormat="1" ht="36">
      <c r="A885" s="159">
        <v>4700</v>
      </c>
      <c r="B885" s="326" t="s">
        <v>284</v>
      </c>
      <c r="C885" s="79">
        <v>4000</v>
      </c>
      <c r="D885" s="65">
        <f t="shared" si="106"/>
        <v>4000</v>
      </c>
      <c r="E885" s="80">
        <f t="shared" si="109"/>
        <v>1845</v>
      </c>
      <c r="F885" s="452">
        <f t="shared" si="104"/>
        <v>46.125</v>
      </c>
      <c r="G885" s="80"/>
      <c r="H885" s="113"/>
      <c r="I885" s="450"/>
      <c r="J885" s="113"/>
      <c r="K885" s="80"/>
      <c r="L885" s="379"/>
      <c r="M885" s="79">
        <v>4000</v>
      </c>
      <c r="N885" s="80">
        <v>1845</v>
      </c>
      <c r="O885" s="426">
        <f t="shared" si="105"/>
        <v>46.125</v>
      </c>
      <c r="P885" s="80"/>
      <c r="Q885" s="80"/>
      <c r="R885" s="350"/>
    </row>
    <row r="886" spans="1:18" s="199" customFormat="1" ht="48.75" customHeight="1">
      <c r="A886" s="159">
        <v>4740</v>
      </c>
      <c r="B886" s="326" t="s">
        <v>288</v>
      </c>
      <c r="C886" s="79">
        <v>2700</v>
      </c>
      <c r="D886" s="65">
        <f t="shared" si="106"/>
        <v>2700</v>
      </c>
      <c r="E886" s="80">
        <f t="shared" si="109"/>
        <v>1802</v>
      </c>
      <c r="F886" s="452">
        <f t="shared" si="104"/>
        <v>66.74074074074075</v>
      </c>
      <c r="G886" s="80"/>
      <c r="H886" s="113"/>
      <c r="I886" s="450"/>
      <c r="J886" s="113"/>
      <c r="K886" s="80"/>
      <c r="L886" s="379"/>
      <c r="M886" s="79">
        <v>2700</v>
      </c>
      <c r="N886" s="80">
        <v>1802</v>
      </c>
      <c r="O886" s="426">
        <f t="shared" si="105"/>
        <v>66.74074074074075</v>
      </c>
      <c r="P886" s="80"/>
      <c r="Q886" s="80"/>
      <c r="R886" s="350"/>
    </row>
    <row r="887" spans="1:18" s="199" customFormat="1" ht="36">
      <c r="A887" s="159">
        <v>4750</v>
      </c>
      <c r="B887" s="326" t="s">
        <v>289</v>
      </c>
      <c r="C887" s="79">
        <v>10000</v>
      </c>
      <c r="D887" s="65">
        <f t="shared" si="106"/>
        <v>9500</v>
      </c>
      <c r="E887" s="80">
        <f t="shared" si="109"/>
        <v>4937</v>
      </c>
      <c r="F887" s="452">
        <f t="shared" si="104"/>
        <v>51.96842105263158</v>
      </c>
      <c r="G887" s="80"/>
      <c r="H887" s="113"/>
      <c r="I887" s="450"/>
      <c r="J887" s="113"/>
      <c r="K887" s="80"/>
      <c r="L887" s="379"/>
      <c r="M887" s="79">
        <f>10000-500</f>
        <v>9500</v>
      </c>
      <c r="N887" s="80">
        <v>4937</v>
      </c>
      <c r="O887" s="426">
        <f t="shared" si="105"/>
        <v>51.96842105263158</v>
      </c>
      <c r="P887" s="80"/>
      <c r="Q887" s="80"/>
      <c r="R887" s="350"/>
    </row>
    <row r="888" spans="1:18" s="199" customFormat="1" ht="24">
      <c r="A888" s="159">
        <v>6050</v>
      </c>
      <c r="B888" s="115" t="s">
        <v>549</v>
      </c>
      <c r="C888" s="79">
        <v>41600</v>
      </c>
      <c r="D888" s="65">
        <f t="shared" si="106"/>
        <v>41600</v>
      </c>
      <c r="E888" s="80">
        <f t="shared" si="109"/>
        <v>0</v>
      </c>
      <c r="F888" s="452">
        <f t="shared" si="104"/>
        <v>0</v>
      </c>
      <c r="G888" s="80"/>
      <c r="H888" s="113"/>
      <c r="I888" s="450"/>
      <c r="J888" s="113"/>
      <c r="K888" s="80"/>
      <c r="L888" s="379"/>
      <c r="M888" s="79">
        <v>41600</v>
      </c>
      <c r="N888" s="80"/>
      <c r="O888" s="426">
        <f t="shared" si="105"/>
        <v>0</v>
      </c>
      <c r="P888" s="80"/>
      <c r="Q888" s="80"/>
      <c r="R888" s="350"/>
    </row>
    <row r="889" spans="1:18" s="199" customFormat="1" ht="36" hidden="1">
      <c r="A889" s="111">
        <v>6060</v>
      </c>
      <c r="B889" s="115" t="s">
        <v>8</v>
      </c>
      <c r="C889" s="79"/>
      <c r="D889" s="65">
        <f t="shared" si="106"/>
        <v>0</v>
      </c>
      <c r="E889" s="80">
        <f t="shared" si="109"/>
        <v>0</v>
      </c>
      <c r="F889" s="452" t="e">
        <f t="shared" si="104"/>
        <v>#DIV/0!</v>
      </c>
      <c r="G889" s="80"/>
      <c r="H889" s="113"/>
      <c r="I889" s="450"/>
      <c r="J889" s="113"/>
      <c r="K889" s="80"/>
      <c r="L889" s="379"/>
      <c r="M889" s="79"/>
      <c r="N889" s="80"/>
      <c r="O889" s="426" t="e">
        <f t="shared" si="105"/>
        <v>#DIV/0!</v>
      </c>
      <c r="P889" s="80"/>
      <c r="Q889" s="80"/>
      <c r="R889" s="350"/>
    </row>
    <row r="890" spans="1:18" s="264" customFormat="1" ht="15" customHeight="1" hidden="1">
      <c r="A890" s="137">
        <v>80145</v>
      </c>
      <c r="B890" s="174" t="s">
        <v>29</v>
      </c>
      <c r="C890" s="85">
        <f>SUM(C892)</f>
        <v>0</v>
      </c>
      <c r="D890" s="86">
        <f t="shared" si="106"/>
        <v>0</v>
      </c>
      <c r="E890" s="86">
        <f>H890+K890+Q890+N890</f>
        <v>0</v>
      </c>
      <c r="F890" s="451" t="e">
        <f>E890/D890*100</f>
        <v>#DIV/0!</v>
      </c>
      <c r="G890" s="267">
        <f>SUM(G891:G892)</f>
        <v>0</v>
      </c>
      <c r="H890" s="86">
        <f>SUM(H891:H892)</f>
        <v>0</v>
      </c>
      <c r="I890" s="432" t="e">
        <f>H890/G890*100</f>
        <v>#DIV/0!</v>
      </c>
      <c r="J890" s="158"/>
      <c r="K890" s="86"/>
      <c r="L890" s="406"/>
      <c r="M890" s="85">
        <f>SUM(M891:M892)</f>
        <v>0</v>
      </c>
      <c r="N890" s="86">
        <f>SUM(N891:N892)</f>
        <v>0</v>
      </c>
      <c r="O890" s="301" t="e">
        <f>N890/M890*100</f>
        <v>#DIV/0!</v>
      </c>
      <c r="P890" s="86"/>
      <c r="Q890" s="86"/>
      <c r="R890" s="358"/>
    </row>
    <row r="891" spans="1:18" s="11" customFormat="1" ht="24" hidden="1">
      <c r="A891" s="181">
        <v>4170</v>
      </c>
      <c r="B891" s="182" t="s">
        <v>511</v>
      </c>
      <c r="C891" s="93"/>
      <c r="D891" s="94">
        <f t="shared" si="106"/>
        <v>0</v>
      </c>
      <c r="E891" s="95">
        <f>SUM(H891+K891+N891+Q891)</f>
        <v>0</v>
      </c>
      <c r="F891" s="454" t="e">
        <f>E891/D891*100</f>
        <v>#DIV/0!</v>
      </c>
      <c r="G891" s="93"/>
      <c r="H891" s="183"/>
      <c r="I891" s="448" t="e">
        <f>H891/G891*100</f>
        <v>#DIV/0!</v>
      </c>
      <c r="J891" s="183"/>
      <c r="K891" s="94"/>
      <c r="L891" s="403"/>
      <c r="M891" s="93"/>
      <c r="N891" s="94"/>
      <c r="O891" s="289" t="e">
        <f>N891/M891*100</f>
        <v>#DIV/0!</v>
      </c>
      <c r="P891" s="94"/>
      <c r="Q891" s="94"/>
      <c r="R891" s="353"/>
    </row>
    <row r="892" spans="1:18" s="199" customFormat="1" ht="14.25" customHeight="1" hidden="1">
      <c r="A892" s="145">
        <v>4300</v>
      </c>
      <c r="B892" s="146" t="s">
        <v>489</v>
      </c>
      <c r="C892" s="147"/>
      <c r="D892" s="148">
        <f t="shared" si="106"/>
        <v>0</v>
      </c>
      <c r="E892" s="142">
        <f>SUM(H892+K892+N892+Q892)</f>
        <v>0</v>
      </c>
      <c r="F892" s="453"/>
      <c r="G892" s="142">
        <f>7000-7000</f>
        <v>0</v>
      </c>
      <c r="H892" s="149"/>
      <c r="I892" s="446"/>
      <c r="J892" s="149"/>
      <c r="K892" s="142"/>
      <c r="L892" s="404"/>
      <c r="M892" s="147">
        <f>5000-5000</f>
        <v>0</v>
      </c>
      <c r="N892" s="142"/>
      <c r="O892" s="259"/>
      <c r="P892" s="142"/>
      <c r="Q892" s="142"/>
      <c r="R892" s="354"/>
    </row>
    <row r="893" spans="1:18" s="264" customFormat="1" ht="30" customHeight="1">
      <c r="A893" s="137">
        <v>80146</v>
      </c>
      <c r="B893" s="174" t="s">
        <v>30</v>
      </c>
      <c r="C893" s="85">
        <f>SUM(C894:C909)</f>
        <v>588200</v>
      </c>
      <c r="D893" s="86">
        <f t="shared" si="106"/>
        <v>589038</v>
      </c>
      <c r="E893" s="86">
        <f>H893+K893+Q893+N893</f>
        <v>256342</v>
      </c>
      <c r="F893" s="451">
        <f aca="true" t="shared" si="110" ref="F893:F959">E893/D893*100</f>
        <v>43.518754307871475</v>
      </c>
      <c r="G893" s="85">
        <f>SUM(G894:G909)</f>
        <v>302482</v>
      </c>
      <c r="H893" s="206">
        <f>SUM(H894:H909)</f>
        <v>141203</v>
      </c>
      <c r="I893" s="432">
        <f aca="true" t="shared" si="111" ref="I893:I920">H893/G893*100</f>
        <v>46.681455425446806</v>
      </c>
      <c r="J893" s="158"/>
      <c r="K893" s="86"/>
      <c r="L893" s="406"/>
      <c r="M893" s="85">
        <f>SUM(M894:M909)</f>
        <v>286556</v>
      </c>
      <c r="N893" s="86">
        <f>SUM(N894:N909)</f>
        <v>115139</v>
      </c>
      <c r="O893" s="301">
        <f>N893/M893*100</f>
        <v>40.180278898365415</v>
      </c>
      <c r="P893" s="86"/>
      <c r="Q893" s="86"/>
      <c r="R893" s="358"/>
    </row>
    <row r="894" spans="1:18" s="199" customFormat="1" ht="24" hidden="1">
      <c r="A894" s="99">
        <v>2510</v>
      </c>
      <c r="B894" s="186" t="s">
        <v>31</v>
      </c>
      <c r="C894" s="81"/>
      <c r="D894" s="94">
        <f t="shared" si="106"/>
        <v>0</v>
      </c>
      <c r="E894" s="94">
        <f>H894+K894+Q894+N894</f>
        <v>0</v>
      </c>
      <c r="F894" s="454"/>
      <c r="G894" s="81"/>
      <c r="H894" s="187"/>
      <c r="I894" s="426"/>
      <c r="J894" s="187"/>
      <c r="K894" s="95"/>
      <c r="L894" s="403"/>
      <c r="M894" s="81"/>
      <c r="N894" s="95"/>
      <c r="O894" s="289"/>
      <c r="P894" s="95"/>
      <c r="Q894" s="95"/>
      <c r="R894" s="353"/>
    </row>
    <row r="895" spans="1:18" s="199" customFormat="1" ht="24">
      <c r="A895" s="111">
        <v>4010</v>
      </c>
      <c r="B895" s="115" t="s">
        <v>471</v>
      </c>
      <c r="C895" s="79">
        <v>134500</v>
      </c>
      <c r="D895" s="65">
        <f t="shared" si="106"/>
        <v>134500</v>
      </c>
      <c r="E895" s="65">
        <f>H895+K895+Q895+N895</f>
        <v>68763</v>
      </c>
      <c r="F895" s="452">
        <f t="shared" si="110"/>
        <v>51.12490706319702</v>
      </c>
      <c r="G895" s="79">
        <v>52800</v>
      </c>
      <c r="H895" s="113">
        <v>27044</v>
      </c>
      <c r="I895" s="426">
        <f t="shared" si="111"/>
        <v>51.21969696969697</v>
      </c>
      <c r="J895" s="113"/>
      <c r="K895" s="80"/>
      <c r="L895" s="379"/>
      <c r="M895" s="79">
        <v>81700</v>
      </c>
      <c r="N895" s="80">
        <v>41719</v>
      </c>
      <c r="O895" s="426">
        <f aca="true" t="shared" si="112" ref="O895:O905">N895/M895*100</f>
        <v>51.063647490820074</v>
      </c>
      <c r="P895" s="80"/>
      <c r="Q895" s="80"/>
      <c r="R895" s="350"/>
    </row>
    <row r="896" spans="1:18" s="199" customFormat="1" ht="24">
      <c r="A896" s="111">
        <v>4040</v>
      </c>
      <c r="B896" s="115" t="s">
        <v>475</v>
      </c>
      <c r="C896" s="79">
        <v>11200</v>
      </c>
      <c r="D896" s="65">
        <f t="shared" si="106"/>
        <v>11391</v>
      </c>
      <c r="E896" s="80">
        <f>SUM(H896+K896+N896+Q896)</f>
        <v>11378</v>
      </c>
      <c r="F896" s="452">
        <f t="shared" si="110"/>
        <v>99.88587481344922</v>
      </c>
      <c r="G896" s="80">
        <f>4600+30</f>
        <v>4630</v>
      </c>
      <c r="H896" s="113">
        <f>4620+1</f>
        <v>4621</v>
      </c>
      <c r="I896" s="426">
        <f t="shared" si="111"/>
        <v>99.80561555075595</v>
      </c>
      <c r="J896" s="113"/>
      <c r="K896" s="80"/>
      <c r="L896" s="379"/>
      <c r="M896" s="79">
        <f>6600+161</f>
        <v>6761</v>
      </c>
      <c r="N896" s="80">
        <f>6757+1-1</f>
        <v>6757</v>
      </c>
      <c r="O896" s="426">
        <f t="shared" si="112"/>
        <v>99.94083715426711</v>
      </c>
      <c r="P896" s="80"/>
      <c r="Q896" s="80"/>
      <c r="R896" s="350"/>
    </row>
    <row r="897" spans="1:18" s="199" customFormat="1" ht="24">
      <c r="A897" s="111">
        <v>4110</v>
      </c>
      <c r="B897" s="115" t="s">
        <v>477</v>
      </c>
      <c r="C897" s="79">
        <v>22800</v>
      </c>
      <c r="D897" s="65">
        <f t="shared" si="106"/>
        <v>22800</v>
      </c>
      <c r="E897" s="65">
        <f>H897+K897+Q897+N897</f>
        <v>11816</v>
      </c>
      <c r="F897" s="452">
        <f t="shared" si="110"/>
        <v>51.824561403508774</v>
      </c>
      <c r="G897" s="79">
        <v>9500</v>
      </c>
      <c r="H897" s="113">
        <v>4986</v>
      </c>
      <c r="I897" s="426">
        <f t="shared" si="111"/>
        <v>52.48421052631579</v>
      </c>
      <c r="J897" s="113"/>
      <c r="K897" s="80"/>
      <c r="L897" s="379"/>
      <c r="M897" s="79">
        <v>13300</v>
      </c>
      <c r="N897" s="80">
        <v>6830</v>
      </c>
      <c r="O897" s="426">
        <f t="shared" si="112"/>
        <v>51.35338345864662</v>
      </c>
      <c r="P897" s="80"/>
      <c r="Q897" s="80"/>
      <c r="R897" s="350"/>
    </row>
    <row r="898" spans="1:18" s="199" customFormat="1" ht="12.75">
      <c r="A898" s="111">
        <v>4120</v>
      </c>
      <c r="B898" s="115" t="s">
        <v>547</v>
      </c>
      <c r="C898" s="79">
        <v>3700</v>
      </c>
      <c r="D898" s="65">
        <f t="shared" si="106"/>
        <v>3700</v>
      </c>
      <c r="E898" s="65">
        <f t="shared" si="106"/>
        <v>1688</v>
      </c>
      <c r="F898" s="452">
        <f t="shared" si="110"/>
        <v>45.62162162162162</v>
      </c>
      <c r="G898" s="79">
        <v>1500</v>
      </c>
      <c r="H898" s="113">
        <v>702</v>
      </c>
      <c r="I898" s="426">
        <f t="shared" si="111"/>
        <v>46.800000000000004</v>
      </c>
      <c r="J898" s="113"/>
      <c r="K898" s="80"/>
      <c r="L898" s="379"/>
      <c r="M898" s="79">
        <v>2200</v>
      </c>
      <c r="N898" s="80">
        <v>986</v>
      </c>
      <c r="O898" s="426">
        <f t="shared" si="112"/>
        <v>44.81818181818182</v>
      </c>
      <c r="P898" s="80"/>
      <c r="Q898" s="80"/>
      <c r="R898" s="350"/>
    </row>
    <row r="899" spans="1:18" s="199" customFormat="1" ht="12.75" hidden="1">
      <c r="A899" s="111">
        <v>4140</v>
      </c>
      <c r="B899" s="115" t="s">
        <v>519</v>
      </c>
      <c r="C899" s="79"/>
      <c r="D899" s="65">
        <f aca="true" t="shared" si="113" ref="D899:E915">G899+J899+P899+M899</f>
        <v>0</v>
      </c>
      <c r="E899" s="65">
        <f t="shared" si="113"/>
        <v>0</v>
      </c>
      <c r="F899" s="452" t="e">
        <f t="shared" si="110"/>
        <v>#DIV/0!</v>
      </c>
      <c r="G899" s="79"/>
      <c r="H899" s="113"/>
      <c r="I899" s="426" t="e">
        <f t="shared" si="111"/>
        <v>#DIV/0!</v>
      </c>
      <c r="J899" s="113"/>
      <c r="K899" s="80"/>
      <c r="L899" s="379"/>
      <c r="M899" s="79"/>
      <c r="N899" s="80"/>
      <c r="O899" s="426" t="e">
        <f t="shared" si="112"/>
        <v>#DIV/0!</v>
      </c>
      <c r="P899" s="80"/>
      <c r="Q899" s="80"/>
      <c r="R899" s="350"/>
    </row>
    <row r="900" spans="1:18" s="199" customFormat="1" ht="24" hidden="1">
      <c r="A900" s="111">
        <v>4170</v>
      </c>
      <c r="B900" s="115" t="s">
        <v>511</v>
      </c>
      <c r="C900" s="79"/>
      <c r="D900" s="65">
        <f t="shared" si="113"/>
        <v>0</v>
      </c>
      <c r="E900" s="65">
        <f t="shared" si="113"/>
        <v>0</v>
      </c>
      <c r="F900" s="452" t="e">
        <f t="shared" si="110"/>
        <v>#DIV/0!</v>
      </c>
      <c r="G900" s="79"/>
      <c r="H900" s="113"/>
      <c r="I900" s="426" t="e">
        <f t="shared" si="111"/>
        <v>#DIV/0!</v>
      </c>
      <c r="J900" s="113"/>
      <c r="K900" s="80"/>
      <c r="L900" s="379"/>
      <c r="M900" s="79"/>
      <c r="N900" s="80"/>
      <c r="O900" s="426" t="e">
        <f t="shared" si="112"/>
        <v>#DIV/0!</v>
      </c>
      <c r="P900" s="80"/>
      <c r="Q900" s="80"/>
      <c r="R900" s="350"/>
    </row>
    <row r="901" spans="1:18" s="199" customFormat="1" ht="24">
      <c r="A901" s="111">
        <v>4210</v>
      </c>
      <c r="B901" s="115" t="s">
        <v>481</v>
      </c>
      <c r="C901" s="79"/>
      <c r="D901" s="65">
        <f t="shared" si="113"/>
        <v>18350</v>
      </c>
      <c r="E901" s="65">
        <f t="shared" si="113"/>
        <v>2095</v>
      </c>
      <c r="F901" s="452">
        <f t="shared" si="110"/>
        <v>11.416893732970028</v>
      </c>
      <c r="G901" s="79">
        <v>9550</v>
      </c>
      <c r="H901" s="113">
        <v>2095</v>
      </c>
      <c r="I901" s="426">
        <f t="shared" si="111"/>
        <v>21.93717277486911</v>
      </c>
      <c r="J901" s="113"/>
      <c r="K901" s="80"/>
      <c r="L901" s="379"/>
      <c r="M901" s="79">
        <v>8800</v>
      </c>
      <c r="N901" s="80"/>
      <c r="O901" s="426">
        <f t="shared" si="112"/>
        <v>0</v>
      </c>
      <c r="P901" s="80"/>
      <c r="Q901" s="80"/>
      <c r="R901" s="350"/>
    </row>
    <row r="902" spans="1:18" s="199" customFormat="1" ht="27.75" customHeight="1">
      <c r="A902" s="111">
        <v>4240</v>
      </c>
      <c r="B902" s="115" t="s">
        <v>539</v>
      </c>
      <c r="C902" s="79"/>
      <c r="D902" s="65">
        <f>G902+J902+P902+M902</f>
        <v>200</v>
      </c>
      <c r="E902" s="65">
        <f>H902+K902+Q902+N902</f>
        <v>199</v>
      </c>
      <c r="F902" s="452">
        <f>E902/D902*100</f>
        <v>99.5</v>
      </c>
      <c r="G902" s="79">
        <v>200</v>
      </c>
      <c r="H902" s="113">
        <v>199</v>
      </c>
      <c r="I902" s="426">
        <f t="shared" si="111"/>
        <v>99.5</v>
      </c>
      <c r="J902" s="113"/>
      <c r="K902" s="80"/>
      <c r="L902" s="379"/>
      <c r="M902" s="79"/>
      <c r="N902" s="80"/>
      <c r="O902" s="426"/>
      <c r="P902" s="80"/>
      <c r="Q902" s="80"/>
      <c r="R902" s="350"/>
    </row>
    <row r="903" spans="1:18" s="199" customFormat="1" ht="27" customHeight="1">
      <c r="A903" s="111">
        <v>4300</v>
      </c>
      <c r="B903" s="115" t="s">
        <v>32</v>
      </c>
      <c r="C903" s="79">
        <v>407200</v>
      </c>
      <c r="D903" s="65">
        <f t="shared" si="113"/>
        <v>209785</v>
      </c>
      <c r="E903" s="65">
        <f t="shared" si="113"/>
        <v>90412</v>
      </c>
      <c r="F903" s="452">
        <f>E903/D903*100</f>
        <v>43.097456920180186</v>
      </c>
      <c r="G903" s="79">
        <f>230000-230000+123150+3960</f>
        <v>127110</v>
      </c>
      <c r="H903" s="113">
        <v>58305</v>
      </c>
      <c r="I903" s="426">
        <f>H903/G903*100</f>
        <v>45.86971914090158</v>
      </c>
      <c r="J903" s="113"/>
      <c r="K903" s="80"/>
      <c r="L903" s="379"/>
      <c r="M903" s="79">
        <f>177200-177200+85650-675-2300</f>
        <v>82675</v>
      </c>
      <c r="N903" s="80">
        <v>32107</v>
      </c>
      <c r="O903" s="426">
        <f t="shared" si="112"/>
        <v>38.83519806471122</v>
      </c>
      <c r="P903" s="80"/>
      <c r="Q903" s="80"/>
      <c r="R903" s="356"/>
    </row>
    <row r="904" spans="1:18" s="199" customFormat="1" ht="18" customHeight="1">
      <c r="A904" s="111">
        <v>4410</v>
      </c>
      <c r="B904" s="115" t="s">
        <v>463</v>
      </c>
      <c r="C904" s="79"/>
      <c r="D904" s="65">
        <f t="shared" si="113"/>
        <v>51750</v>
      </c>
      <c r="E904" s="65">
        <f t="shared" si="113"/>
        <v>20393</v>
      </c>
      <c r="F904" s="452">
        <f t="shared" si="110"/>
        <v>39.406763285024155</v>
      </c>
      <c r="G904" s="79">
        <f>24850+200</f>
        <v>25050</v>
      </c>
      <c r="H904" s="113">
        <v>13414</v>
      </c>
      <c r="I904" s="426">
        <f t="shared" si="111"/>
        <v>53.54890219560878</v>
      </c>
      <c r="J904" s="113"/>
      <c r="K904" s="80"/>
      <c r="L904" s="379"/>
      <c r="M904" s="79">
        <f>24400+2300</f>
        <v>26700</v>
      </c>
      <c r="N904" s="80">
        <v>6979</v>
      </c>
      <c r="O904" s="426">
        <f t="shared" si="112"/>
        <v>26.138576779026216</v>
      </c>
      <c r="P904" s="80"/>
      <c r="Q904" s="80"/>
      <c r="R904" s="356"/>
    </row>
    <row r="905" spans="1:18" s="199" customFormat="1" ht="24">
      <c r="A905" s="111">
        <v>4420</v>
      </c>
      <c r="B905" s="115" t="s">
        <v>532</v>
      </c>
      <c r="C905" s="79"/>
      <c r="D905" s="65">
        <f t="shared" si="113"/>
        <v>815</v>
      </c>
      <c r="E905" s="65">
        <f>H905+K905+Q905+N905</f>
        <v>808</v>
      </c>
      <c r="F905" s="452">
        <f>E905/D905*100</f>
        <v>99.14110429447854</v>
      </c>
      <c r="G905" s="79">
        <v>140</v>
      </c>
      <c r="H905" s="113">
        <v>135</v>
      </c>
      <c r="I905" s="426">
        <f t="shared" si="111"/>
        <v>96.42857142857143</v>
      </c>
      <c r="J905" s="113"/>
      <c r="K905" s="80"/>
      <c r="L905" s="379"/>
      <c r="M905" s="79">
        <v>675</v>
      </c>
      <c r="N905" s="80">
        <v>673</v>
      </c>
      <c r="O905" s="426">
        <f t="shared" si="112"/>
        <v>99.70370370370371</v>
      </c>
      <c r="P905" s="80"/>
      <c r="Q905" s="80"/>
      <c r="R905" s="350"/>
    </row>
    <row r="906" spans="1:18" s="199" customFormat="1" ht="12.75">
      <c r="A906" s="111">
        <v>4440</v>
      </c>
      <c r="B906" s="115" t="s">
        <v>493</v>
      </c>
      <c r="C906" s="79">
        <v>8800</v>
      </c>
      <c r="D906" s="65">
        <f t="shared" si="113"/>
        <v>9447</v>
      </c>
      <c r="E906" s="65">
        <f>H906+K906+Q906+N906</f>
        <v>6566</v>
      </c>
      <c r="F906" s="452">
        <f>E906/D906*100</f>
        <v>69.50354609929079</v>
      </c>
      <c r="G906" s="79">
        <f>3400+652</f>
        <v>4052</v>
      </c>
      <c r="H906" s="113">
        <v>2368</v>
      </c>
      <c r="I906" s="426">
        <f t="shared" si="111"/>
        <v>58.440276406712734</v>
      </c>
      <c r="J906" s="113"/>
      <c r="K906" s="80"/>
      <c r="L906" s="379"/>
      <c r="M906" s="79">
        <f>5400-5</f>
        <v>5395</v>
      </c>
      <c r="N906" s="80">
        <v>4198</v>
      </c>
      <c r="O906" s="426">
        <f>N906/M906*100</f>
        <v>77.81278962001853</v>
      </c>
      <c r="P906" s="80"/>
      <c r="Q906" s="80"/>
      <c r="R906" s="350"/>
    </row>
    <row r="907" spans="1:18" s="199" customFormat="1" ht="36">
      <c r="A907" s="145">
        <v>4700</v>
      </c>
      <c r="B907" s="185" t="s">
        <v>284</v>
      </c>
      <c r="C907" s="147"/>
      <c r="D907" s="148">
        <f t="shared" si="113"/>
        <v>124150</v>
      </c>
      <c r="E907" s="148">
        <f>H907+K907+Q907+N907</f>
        <v>41687</v>
      </c>
      <c r="F907" s="453">
        <f>E907/D907*100</f>
        <v>33.57792992347966</v>
      </c>
      <c r="G907" s="147">
        <f>71300-4300</f>
        <v>67000</v>
      </c>
      <c r="H907" s="149">
        <v>26797</v>
      </c>
      <c r="I907" s="446">
        <f t="shared" si="111"/>
        <v>39.9955223880597</v>
      </c>
      <c r="J907" s="149"/>
      <c r="K907" s="142"/>
      <c r="L907" s="404"/>
      <c r="M907" s="147">
        <v>57150</v>
      </c>
      <c r="N907" s="142">
        <f>14890</f>
        <v>14890</v>
      </c>
      <c r="O907" s="446">
        <f>N907/M907*100</f>
        <v>26.054243219597552</v>
      </c>
      <c r="P907" s="142"/>
      <c r="Q907" s="142"/>
      <c r="R907" s="354"/>
    </row>
    <row r="908" spans="1:18" s="199" customFormat="1" ht="49.5" customHeight="1">
      <c r="A908" s="111">
        <v>4740</v>
      </c>
      <c r="B908" s="326" t="s">
        <v>288</v>
      </c>
      <c r="C908" s="79"/>
      <c r="D908" s="65">
        <f>G908+J908+P908+M908</f>
        <v>1050</v>
      </c>
      <c r="E908" s="65">
        <f>H908+K908+Q908+N908</f>
        <v>400</v>
      </c>
      <c r="F908" s="452">
        <f>E908/D908*100</f>
        <v>38.095238095238095</v>
      </c>
      <c r="G908" s="79">
        <v>450</v>
      </c>
      <c r="H908" s="113">
        <v>400</v>
      </c>
      <c r="I908" s="426">
        <f t="shared" si="111"/>
        <v>88.88888888888889</v>
      </c>
      <c r="J908" s="113"/>
      <c r="K908" s="80"/>
      <c r="L908" s="379"/>
      <c r="M908" s="79">
        <v>600</v>
      </c>
      <c r="N908" s="80"/>
      <c r="O908" s="426">
        <f>N908/M908*100</f>
        <v>0</v>
      </c>
      <c r="P908" s="80"/>
      <c r="Q908" s="80"/>
      <c r="R908" s="350"/>
    </row>
    <row r="909" spans="1:18" s="199" customFormat="1" ht="36">
      <c r="A909" s="111">
        <v>4750</v>
      </c>
      <c r="B909" s="326" t="s">
        <v>289</v>
      </c>
      <c r="C909" s="79"/>
      <c r="D909" s="65">
        <f t="shared" si="113"/>
        <v>1100</v>
      </c>
      <c r="E909" s="65">
        <f t="shared" si="113"/>
        <v>137</v>
      </c>
      <c r="F909" s="452">
        <f t="shared" si="110"/>
        <v>12.454545454545455</v>
      </c>
      <c r="G909" s="79">
        <v>500</v>
      </c>
      <c r="H909" s="113">
        <v>137</v>
      </c>
      <c r="I909" s="426">
        <f t="shared" si="111"/>
        <v>27.400000000000002</v>
      </c>
      <c r="J909" s="113"/>
      <c r="K909" s="80"/>
      <c r="L909" s="379"/>
      <c r="M909" s="79">
        <v>600</v>
      </c>
      <c r="N909" s="80"/>
      <c r="O909" s="426">
        <f>N909/M909*100</f>
        <v>0</v>
      </c>
      <c r="P909" s="80"/>
      <c r="Q909" s="80"/>
      <c r="R909" s="350"/>
    </row>
    <row r="910" spans="1:18" ht="24.75" customHeight="1">
      <c r="A910" s="106">
        <v>80195</v>
      </c>
      <c r="B910" s="172" t="s">
        <v>504</v>
      </c>
      <c r="C910" s="85">
        <f>SUM(C912:C938)+C969</f>
        <v>9686020</v>
      </c>
      <c r="D910" s="86">
        <f>G910+J910+P910+M910</f>
        <v>11537926</v>
      </c>
      <c r="E910" s="86">
        <f t="shared" si="113"/>
        <v>3181283</v>
      </c>
      <c r="F910" s="451">
        <f t="shared" si="110"/>
        <v>27.572399060281715</v>
      </c>
      <c r="G910" s="267">
        <f>SUM(G912:G938)+G946+G947+G986+G961+G990</f>
        <v>5063352</v>
      </c>
      <c r="H910" s="86">
        <f>SUM(H912:H938)+H946+H947+H986+H961+H990</f>
        <v>2035838</v>
      </c>
      <c r="I910" s="432">
        <f t="shared" si="111"/>
        <v>40.20731720804716</v>
      </c>
      <c r="J910" s="158">
        <f>SUM(J913:J937)</f>
        <v>0</v>
      </c>
      <c r="K910" s="158">
        <f>SUM(K913:K937)</f>
        <v>0</v>
      </c>
      <c r="L910" s="478"/>
      <c r="M910" s="85">
        <f>SUM(M912:M938)+M947+M969+M961+M983</f>
        <v>6474574</v>
      </c>
      <c r="N910" s="86">
        <f>SUM(N912:N938)+N947+N969+N961+N983</f>
        <v>1145445</v>
      </c>
      <c r="O910" s="432">
        <f>N910/M910*100</f>
        <v>17.69143421636698</v>
      </c>
      <c r="P910" s="75"/>
      <c r="Q910" s="75"/>
      <c r="R910" s="360"/>
    </row>
    <row r="911" spans="1:18" ht="36" hidden="1">
      <c r="A911" s="111">
        <v>6060</v>
      </c>
      <c r="B911" s="262" t="s">
        <v>528</v>
      </c>
      <c r="C911" s="161"/>
      <c r="D911" s="65">
        <f t="shared" si="113"/>
        <v>0</v>
      </c>
      <c r="E911" s="80">
        <f>SUM(H911+K911+N911+Q911)</f>
        <v>0</v>
      </c>
      <c r="F911" s="452" t="e">
        <f t="shared" si="110"/>
        <v>#DIV/0!</v>
      </c>
      <c r="G911" s="161">
        <f>10000-10000</f>
        <v>0</v>
      </c>
      <c r="H911" s="65"/>
      <c r="I911" s="426" t="e">
        <f t="shared" si="111"/>
        <v>#DIV/0!</v>
      </c>
      <c r="J911" s="270"/>
      <c r="K911" s="169"/>
      <c r="L911" s="590"/>
      <c r="M911" s="65"/>
      <c r="N911" s="65"/>
      <c r="O911" s="356"/>
      <c r="P911" s="169"/>
      <c r="Q911" s="169"/>
      <c r="R911" s="356"/>
    </row>
    <row r="912" spans="1:18" ht="36" hidden="1">
      <c r="A912" s="111">
        <v>3020</v>
      </c>
      <c r="B912" s="115" t="s">
        <v>515</v>
      </c>
      <c r="C912" s="161"/>
      <c r="D912" s="65">
        <f t="shared" si="113"/>
        <v>0</v>
      </c>
      <c r="E912" s="65">
        <f aca="true" t="shared" si="114" ref="E912:E938">SUM(H912+K912+N912+Q912)</f>
        <v>0</v>
      </c>
      <c r="F912" s="452" t="e">
        <f t="shared" si="110"/>
        <v>#DIV/0!</v>
      </c>
      <c r="G912" s="65"/>
      <c r="H912" s="162"/>
      <c r="I912" s="426" t="e">
        <f t="shared" si="111"/>
        <v>#DIV/0!</v>
      </c>
      <c r="J912" s="113"/>
      <c r="K912" s="80"/>
      <c r="L912" s="466"/>
      <c r="M912" s="79"/>
      <c r="N912" s="80"/>
      <c r="O912" s="211" t="e">
        <f aca="true" t="shared" si="115" ref="O912:O932">N912/M912*100</f>
        <v>#DIV/0!</v>
      </c>
      <c r="P912" s="80"/>
      <c r="Q912" s="80"/>
      <c r="R912" s="350"/>
    </row>
    <row r="913" spans="1:18" ht="24">
      <c r="A913" s="111">
        <v>4010</v>
      </c>
      <c r="B913" s="115" t="s">
        <v>471</v>
      </c>
      <c r="C913" s="161">
        <f>42300+84000+571000+893000</f>
        <v>1590300</v>
      </c>
      <c r="D913" s="65">
        <f t="shared" si="113"/>
        <v>1195826</v>
      </c>
      <c r="E913" s="65">
        <f t="shared" si="114"/>
        <v>312817</v>
      </c>
      <c r="F913" s="452">
        <f t="shared" si="110"/>
        <v>26.159073309996607</v>
      </c>
      <c r="G913" s="65">
        <f>16800+84000+350000+445000-17000+11000-222800-52500+52500</f>
        <v>667000</v>
      </c>
      <c r="H913" s="162">
        <v>196058</v>
      </c>
      <c r="I913" s="426">
        <f t="shared" si="111"/>
        <v>29.394002998500753</v>
      </c>
      <c r="J913" s="113"/>
      <c r="K913" s="80"/>
      <c r="L913" s="466"/>
      <c r="M913" s="79">
        <f>25500+221000+448000+6000-149127-22547</f>
        <v>528826</v>
      </c>
      <c r="N913" s="80">
        <v>116759</v>
      </c>
      <c r="O913" s="211">
        <f t="shared" si="115"/>
        <v>22.078906861614218</v>
      </c>
      <c r="P913" s="80"/>
      <c r="Q913" s="80"/>
      <c r="R913" s="350"/>
    </row>
    <row r="914" spans="1:18" ht="24">
      <c r="A914" s="111">
        <v>4110</v>
      </c>
      <c r="B914" s="115" t="s">
        <v>477</v>
      </c>
      <c r="C914" s="161">
        <f>6700+14000+91400+1500+2600</f>
        <v>116200</v>
      </c>
      <c r="D914" s="65">
        <f t="shared" si="113"/>
        <v>117011</v>
      </c>
      <c r="E914" s="65">
        <f t="shared" si="114"/>
        <v>44257</v>
      </c>
      <c r="F914" s="452">
        <f t="shared" si="110"/>
        <v>37.822939723615725</v>
      </c>
      <c r="G914" s="65">
        <f>2800+14000+57800+2600-2600+1680+811-6250+6250</f>
        <v>77091</v>
      </c>
      <c r="H914" s="162">
        <v>28137</v>
      </c>
      <c r="I914" s="426">
        <f t="shared" si="111"/>
        <v>36.498423940537805</v>
      </c>
      <c r="J914" s="113"/>
      <c r="K914" s="80"/>
      <c r="L914" s="466"/>
      <c r="M914" s="79">
        <f>3900+33600+1500+920</f>
        <v>39920</v>
      </c>
      <c r="N914" s="80">
        <v>16120</v>
      </c>
      <c r="O914" s="211">
        <f t="shared" si="115"/>
        <v>40.3807615230461</v>
      </c>
      <c r="P914" s="80"/>
      <c r="Q914" s="80"/>
      <c r="R914" s="350"/>
    </row>
    <row r="915" spans="1:18" ht="12.75">
      <c r="A915" s="111">
        <v>4120</v>
      </c>
      <c r="B915" s="115" t="s">
        <v>547</v>
      </c>
      <c r="C915" s="161">
        <f>1000+2000+14000+300+400</f>
        <v>17700</v>
      </c>
      <c r="D915" s="65">
        <f t="shared" si="113"/>
        <v>17828</v>
      </c>
      <c r="E915" s="65">
        <f t="shared" si="114"/>
        <v>7226</v>
      </c>
      <c r="F915" s="452">
        <f t="shared" si="110"/>
        <v>40.531747812429884</v>
      </c>
      <c r="G915" s="65">
        <f>400+2000+8600+400-400+260+128-1250+1250</f>
        <v>11388</v>
      </c>
      <c r="H915" s="162">
        <v>4527</v>
      </c>
      <c r="I915" s="426">
        <f t="shared" si="111"/>
        <v>39.75237091675447</v>
      </c>
      <c r="J915" s="113"/>
      <c r="K915" s="80"/>
      <c r="L915" s="466"/>
      <c r="M915" s="79">
        <f>600+5400+300+140</f>
        <v>6440</v>
      </c>
      <c r="N915" s="80">
        <v>2699</v>
      </c>
      <c r="O915" s="211">
        <f t="shared" si="115"/>
        <v>41.909937888198755</v>
      </c>
      <c r="P915" s="80"/>
      <c r="Q915" s="80"/>
      <c r="R915" s="350"/>
    </row>
    <row r="916" spans="1:18" ht="36" hidden="1">
      <c r="A916" s="111">
        <v>4110</v>
      </c>
      <c r="B916" s="115" t="s">
        <v>438</v>
      </c>
      <c r="C916" s="161"/>
      <c r="D916" s="65">
        <f aca="true" t="shared" si="116" ref="D916:D1003">G916+J916+P916+M916</f>
        <v>0</v>
      </c>
      <c r="E916" s="65">
        <f>SUM(H916+K916+N916+Q916)</f>
        <v>0</v>
      </c>
      <c r="F916" s="452" t="e">
        <f t="shared" si="110"/>
        <v>#DIV/0!</v>
      </c>
      <c r="G916" s="65"/>
      <c r="H916" s="162"/>
      <c r="I916" s="426" t="e">
        <f t="shared" si="111"/>
        <v>#DIV/0!</v>
      </c>
      <c r="J916" s="113"/>
      <c r="K916" s="80"/>
      <c r="L916" s="466"/>
      <c r="M916" s="79"/>
      <c r="N916" s="80"/>
      <c r="O916" s="211"/>
      <c r="P916" s="80"/>
      <c r="Q916" s="80"/>
      <c r="R916" s="350"/>
    </row>
    <row r="917" spans="1:18" ht="24" hidden="1">
      <c r="A917" s="111">
        <v>4120</v>
      </c>
      <c r="B917" s="115" t="s">
        <v>439</v>
      </c>
      <c r="C917" s="161"/>
      <c r="D917" s="65">
        <f t="shared" si="116"/>
        <v>0</v>
      </c>
      <c r="E917" s="65">
        <f>SUM(H917+K917+N917+Q917)</f>
        <v>0</v>
      </c>
      <c r="F917" s="452" t="e">
        <f t="shared" si="110"/>
        <v>#DIV/0!</v>
      </c>
      <c r="G917" s="65"/>
      <c r="H917" s="162"/>
      <c r="I917" s="426" t="e">
        <f t="shared" si="111"/>
        <v>#DIV/0!</v>
      </c>
      <c r="J917" s="113"/>
      <c r="K917" s="80"/>
      <c r="L917" s="466"/>
      <c r="M917" s="79"/>
      <c r="N917" s="80"/>
      <c r="O917" s="211"/>
      <c r="P917" s="80"/>
      <c r="Q917" s="80"/>
      <c r="R917" s="350"/>
    </row>
    <row r="918" spans="1:18" ht="36" hidden="1">
      <c r="A918" s="111">
        <v>4170</v>
      </c>
      <c r="B918" s="115" t="s">
        <v>440</v>
      </c>
      <c r="C918" s="161"/>
      <c r="D918" s="65">
        <f t="shared" si="116"/>
        <v>0</v>
      </c>
      <c r="E918" s="65">
        <f>SUM(H918+K918+N918+Q918)</f>
        <v>0</v>
      </c>
      <c r="F918" s="452" t="e">
        <f t="shared" si="110"/>
        <v>#DIV/0!</v>
      </c>
      <c r="G918" s="65"/>
      <c r="H918" s="162"/>
      <c r="I918" s="426" t="e">
        <f t="shared" si="111"/>
        <v>#DIV/0!</v>
      </c>
      <c r="J918" s="113"/>
      <c r="K918" s="80"/>
      <c r="L918" s="466"/>
      <c r="M918" s="79"/>
      <c r="N918" s="80"/>
      <c r="O918" s="211"/>
      <c r="P918" s="80"/>
      <c r="Q918" s="80"/>
      <c r="R918" s="350"/>
    </row>
    <row r="919" spans="1:18" ht="24">
      <c r="A919" s="111">
        <v>4170</v>
      </c>
      <c r="B919" s="115" t="s">
        <v>511</v>
      </c>
      <c r="C919" s="161">
        <f>25000+2500+1000+15000</f>
        <v>43500</v>
      </c>
      <c r="D919" s="65">
        <f t="shared" si="116"/>
        <v>49950</v>
      </c>
      <c r="E919" s="65">
        <f t="shared" si="114"/>
        <v>17084</v>
      </c>
      <c r="F919" s="452">
        <f t="shared" si="110"/>
        <v>34.2022022022022</v>
      </c>
      <c r="G919" s="65">
        <f>15000+6450</f>
        <v>21450</v>
      </c>
      <c r="H919" s="162">
        <v>1174</v>
      </c>
      <c r="I919" s="426">
        <f t="shared" si="111"/>
        <v>5.473193473193473</v>
      </c>
      <c r="J919" s="113"/>
      <c r="K919" s="80"/>
      <c r="L919" s="466"/>
      <c r="M919" s="79">
        <f>25000+2500+1000</f>
        <v>28500</v>
      </c>
      <c r="N919" s="80">
        <v>15910</v>
      </c>
      <c r="O919" s="211">
        <f t="shared" si="115"/>
        <v>55.824561403508774</v>
      </c>
      <c r="P919" s="80"/>
      <c r="Q919" s="80"/>
      <c r="R919" s="350"/>
    </row>
    <row r="920" spans="1:18" ht="24.75" customHeight="1">
      <c r="A920" s="111">
        <v>4210</v>
      </c>
      <c r="B920" s="115" t="s">
        <v>481</v>
      </c>
      <c r="C920" s="161">
        <v>45000</v>
      </c>
      <c r="D920" s="65">
        <f t="shared" si="116"/>
        <v>38150</v>
      </c>
      <c r="E920" s="65">
        <f t="shared" si="114"/>
        <v>19552</v>
      </c>
      <c r="F920" s="452">
        <f t="shared" si="110"/>
        <v>51.250327653997374</v>
      </c>
      <c r="G920" s="65">
        <f>2900+3300</f>
        <v>6200</v>
      </c>
      <c r="H920" s="162">
        <v>5800</v>
      </c>
      <c r="I920" s="426">
        <f t="shared" si="111"/>
        <v>93.54838709677419</v>
      </c>
      <c r="J920" s="113"/>
      <c r="K920" s="80"/>
      <c r="L920" s="466"/>
      <c r="M920" s="79">
        <f>45000+600-15000+1350</f>
        <v>31950</v>
      </c>
      <c r="N920" s="80">
        <f>13751+1</f>
        <v>13752</v>
      </c>
      <c r="O920" s="426">
        <f t="shared" si="115"/>
        <v>43.04225352112676</v>
      </c>
      <c r="P920" s="80"/>
      <c r="Q920" s="80"/>
      <c r="R920" s="350"/>
    </row>
    <row r="921" spans="1:18" ht="36" hidden="1">
      <c r="A921" s="111">
        <v>4210</v>
      </c>
      <c r="B921" s="115" t="s">
        <v>617</v>
      </c>
      <c r="C921" s="161"/>
      <c r="D921" s="65">
        <f>G921+J921+P921+M921</f>
        <v>0</v>
      </c>
      <c r="E921" s="65">
        <f>SUM(H921+K921+N921+Q921)</f>
        <v>0</v>
      </c>
      <c r="F921" s="452" t="e">
        <f t="shared" si="110"/>
        <v>#DIV/0!</v>
      </c>
      <c r="G921" s="65"/>
      <c r="H921" s="162"/>
      <c r="I921" s="426"/>
      <c r="J921" s="113"/>
      <c r="K921" s="80"/>
      <c r="L921" s="466" t="e">
        <f>K921/J921*100</f>
        <v>#DIV/0!</v>
      </c>
      <c r="M921" s="79"/>
      <c r="N921" s="80"/>
      <c r="O921" s="426"/>
      <c r="P921" s="80"/>
      <c r="Q921" s="80"/>
      <c r="R921" s="350"/>
    </row>
    <row r="922" spans="1:18" ht="26.25" customHeight="1">
      <c r="A922" s="111">
        <v>4240</v>
      </c>
      <c r="B922" s="115" t="s">
        <v>539</v>
      </c>
      <c r="C922" s="161">
        <v>290000</v>
      </c>
      <c r="D922" s="65">
        <f t="shared" si="116"/>
        <v>280000</v>
      </c>
      <c r="E922" s="65">
        <f t="shared" si="114"/>
        <v>0</v>
      </c>
      <c r="F922" s="452">
        <f t="shared" si="110"/>
        <v>0</v>
      </c>
      <c r="G922" s="65">
        <f>25000-5000-5000</f>
        <v>15000</v>
      </c>
      <c r="H922" s="162"/>
      <c r="I922" s="426">
        <f>H922/G922*100</f>
        <v>0</v>
      </c>
      <c r="J922" s="113"/>
      <c r="K922" s="80"/>
      <c r="L922" s="379"/>
      <c r="M922" s="79">
        <v>265000</v>
      </c>
      <c r="N922" s="80"/>
      <c r="O922" s="426">
        <f t="shared" si="115"/>
        <v>0</v>
      </c>
      <c r="P922" s="80"/>
      <c r="Q922" s="80"/>
      <c r="R922" s="350"/>
    </row>
    <row r="923" spans="1:18" ht="24.75" customHeight="1">
      <c r="A923" s="111">
        <v>4270</v>
      </c>
      <c r="B923" s="115" t="s">
        <v>345</v>
      </c>
      <c r="C923" s="161">
        <v>23000</v>
      </c>
      <c r="D923" s="65">
        <f t="shared" si="116"/>
        <v>30000</v>
      </c>
      <c r="E923" s="65">
        <f t="shared" si="114"/>
        <v>1500</v>
      </c>
      <c r="F923" s="452">
        <f t="shared" si="110"/>
        <v>5</v>
      </c>
      <c r="G923" s="65">
        <f>23000+7000-23000+19000</f>
        <v>26000</v>
      </c>
      <c r="H923" s="162">
        <v>1500</v>
      </c>
      <c r="I923" s="426">
        <f>H923/G923*100</f>
        <v>5.769230769230769</v>
      </c>
      <c r="J923" s="113"/>
      <c r="K923" s="80"/>
      <c r="L923" s="379"/>
      <c r="M923" s="79">
        <v>4000</v>
      </c>
      <c r="N923" s="80"/>
      <c r="O923" s="426">
        <f t="shared" si="115"/>
        <v>0</v>
      </c>
      <c r="P923" s="80"/>
      <c r="Q923" s="80"/>
      <c r="R923" s="350"/>
    </row>
    <row r="924" spans="1:18" ht="24" hidden="1">
      <c r="A924" s="111">
        <v>4280</v>
      </c>
      <c r="B924" s="115" t="s">
        <v>520</v>
      </c>
      <c r="C924" s="161"/>
      <c r="D924" s="65">
        <f t="shared" si="116"/>
        <v>0</v>
      </c>
      <c r="E924" s="65">
        <f t="shared" si="114"/>
        <v>0</v>
      </c>
      <c r="F924" s="452" t="e">
        <f t="shared" si="110"/>
        <v>#DIV/0!</v>
      </c>
      <c r="G924" s="161"/>
      <c r="H924" s="65"/>
      <c r="I924" s="426" t="e">
        <f>H924/G924*100</f>
        <v>#DIV/0!</v>
      </c>
      <c r="J924" s="113"/>
      <c r="K924" s="80"/>
      <c r="L924" s="379"/>
      <c r="M924" s="161"/>
      <c r="N924" s="65"/>
      <c r="O924" s="426" t="e">
        <f t="shared" si="115"/>
        <v>#DIV/0!</v>
      </c>
      <c r="P924" s="80"/>
      <c r="Q924" s="80"/>
      <c r="R924" s="350"/>
    </row>
    <row r="925" spans="1:18" ht="20.25" customHeight="1">
      <c r="A925" s="111">
        <v>4300</v>
      </c>
      <c r="B925" s="115" t="s">
        <v>489</v>
      </c>
      <c r="C925" s="161">
        <v>1965600</v>
      </c>
      <c r="D925" s="65">
        <f t="shared" si="116"/>
        <v>1897468</v>
      </c>
      <c r="E925" s="65">
        <f t="shared" si="114"/>
        <v>1040913</v>
      </c>
      <c r="F925" s="452">
        <f t="shared" si="110"/>
        <v>54.85800024032026</v>
      </c>
      <c r="G925" s="205">
        <f>1642000-21000+22000+3363-15855+2740-174000+906-2816+17105-18251+6300</f>
        <v>1462492</v>
      </c>
      <c r="H925" s="65">
        <v>869382</v>
      </c>
      <c r="I925" s="426">
        <f>H925/G925*100</f>
        <v>59.445248247511785</v>
      </c>
      <c r="J925" s="113"/>
      <c r="K925" s="80"/>
      <c r="L925" s="379"/>
      <c r="M925" s="161">
        <f>323600-1500+500+7900+9266+3040-3640+110250-15690+1250-3000+3000</f>
        <v>434976</v>
      </c>
      <c r="N925" s="65">
        <v>171531</v>
      </c>
      <c r="O925" s="426">
        <f t="shared" si="115"/>
        <v>39.43458949459281</v>
      </c>
      <c r="P925" s="80"/>
      <c r="Q925" s="80"/>
      <c r="R925" s="350"/>
    </row>
    <row r="926" spans="1:18" s="12" customFormat="1" ht="12.75">
      <c r="A926" s="159">
        <v>4430</v>
      </c>
      <c r="B926" s="193" t="s">
        <v>491</v>
      </c>
      <c r="C926" s="161">
        <v>240000</v>
      </c>
      <c r="D926" s="65">
        <f t="shared" si="116"/>
        <v>132000</v>
      </c>
      <c r="E926" s="65">
        <f t="shared" si="114"/>
        <v>41187</v>
      </c>
      <c r="F926" s="476">
        <f t="shared" si="110"/>
        <v>31.202272727272728</v>
      </c>
      <c r="G926" s="161">
        <f>120000-58000</f>
        <v>62000</v>
      </c>
      <c r="H926" s="65">
        <v>13313</v>
      </c>
      <c r="I926" s="458">
        <f aca="true" t="shared" si="117" ref="I926:I992">H926/G926*100</f>
        <v>21.47258064516129</v>
      </c>
      <c r="J926" s="162"/>
      <c r="K926" s="65"/>
      <c r="L926" s="379"/>
      <c r="M926" s="161">
        <f>120000-50000</f>
        <v>70000</v>
      </c>
      <c r="N926" s="65">
        <v>27874</v>
      </c>
      <c r="O926" s="469">
        <f t="shared" si="115"/>
        <v>39.82</v>
      </c>
      <c r="P926" s="65"/>
      <c r="Q926" s="65"/>
      <c r="R926" s="350"/>
    </row>
    <row r="927" spans="1:18" ht="17.25" customHeight="1">
      <c r="A927" s="111">
        <v>4440</v>
      </c>
      <c r="B927" s="115" t="s">
        <v>33</v>
      </c>
      <c r="C927" s="161">
        <v>548400</v>
      </c>
      <c r="D927" s="65">
        <f t="shared" si="116"/>
        <v>582113</v>
      </c>
      <c r="E927" s="65">
        <f t="shared" si="114"/>
        <v>458843</v>
      </c>
      <c r="F927" s="475">
        <f t="shared" si="110"/>
        <v>78.8236991786818</v>
      </c>
      <c r="G927" s="161">
        <f>179800+1451</f>
        <v>181251</v>
      </c>
      <c r="H927" s="65">
        <v>135368</v>
      </c>
      <c r="I927" s="452">
        <f t="shared" si="117"/>
        <v>74.68538104617353</v>
      </c>
      <c r="J927" s="113"/>
      <c r="K927" s="80"/>
      <c r="L927" s="379"/>
      <c r="M927" s="79">
        <f>368600+32262</f>
        <v>400862</v>
      </c>
      <c r="N927" s="80">
        <v>323475</v>
      </c>
      <c r="O927" s="426">
        <f t="shared" si="115"/>
        <v>80.69485259266281</v>
      </c>
      <c r="P927" s="80"/>
      <c r="Q927" s="80"/>
      <c r="R927" s="350"/>
    </row>
    <row r="928" spans="1:18" ht="36" hidden="1">
      <c r="A928" s="111">
        <v>4700</v>
      </c>
      <c r="B928" s="115" t="s">
        <v>284</v>
      </c>
      <c r="C928" s="161"/>
      <c r="D928" s="65">
        <f>G928+J928+P928+M928</f>
        <v>0</v>
      </c>
      <c r="E928" s="65">
        <f>SUM(H928+K928+N928+Q928)</f>
        <v>0</v>
      </c>
      <c r="F928" s="475" t="e">
        <f>E928/D928*100</f>
        <v>#DIV/0!</v>
      </c>
      <c r="G928" s="161"/>
      <c r="H928" s="65"/>
      <c r="I928" s="452" t="e">
        <f t="shared" si="117"/>
        <v>#DIV/0!</v>
      </c>
      <c r="J928" s="113"/>
      <c r="K928" s="80"/>
      <c r="L928" s="379"/>
      <c r="M928" s="79"/>
      <c r="N928" s="80"/>
      <c r="O928" s="426"/>
      <c r="P928" s="80"/>
      <c r="Q928" s="80"/>
      <c r="R928" s="350"/>
    </row>
    <row r="929" spans="1:18" ht="36" hidden="1">
      <c r="A929" s="111">
        <v>4750</v>
      </c>
      <c r="B929" s="326" t="s">
        <v>289</v>
      </c>
      <c r="C929" s="161"/>
      <c r="D929" s="65">
        <f t="shared" si="116"/>
        <v>0</v>
      </c>
      <c r="E929" s="65">
        <f>SUM(H929+K929+N929+Q929)</f>
        <v>0</v>
      </c>
      <c r="F929" s="475" t="e">
        <f t="shared" si="110"/>
        <v>#DIV/0!</v>
      </c>
      <c r="G929" s="161"/>
      <c r="H929" s="65"/>
      <c r="I929" s="452" t="e">
        <f t="shared" si="117"/>
        <v>#DIV/0!</v>
      </c>
      <c r="J929" s="113"/>
      <c r="K929" s="80"/>
      <c r="L929" s="379"/>
      <c r="M929" s="79"/>
      <c r="N929" s="80"/>
      <c r="O929" s="426"/>
      <c r="P929" s="80"/>
      <c r="Q929" s="80"/>
      <c r="R929" s="350"/>
    </row>
    <row r="930" spans="1:18" ht="24">
      <c r="A930" s="111">
        <v>6050</v>
      </c>
      <c r="B930" s="115" t="s">
        <v>327</v>
      </c>
      <c r="C930" s="161">
        <f>52000+74400+2038900+1265000+1230000</f>
        <v>4660300</v>
      </c>
      <c r="D930" s="65">
        <f t="shared" si="116"/>
        <v>6835300</v>
      </c>
      <c r="E930" s="65">
        <f t="shared" si="114"/>
        <v>991105</v>
      </c>
      <c r="F930" s="475">
        <f t="shared" si="110"/>
        <v>14.499802495867042</v>
      </c>
      <c r="G930" s="161">
        <f>870000+52000+1250000+182600-52000-870000+870000</f>
        <v>2302600</v>
      </c>
      <c r="H930" s="65">
        <v>654588</v>
      </c>
      <c r="I930" s="452">
        <f t="shared" si="117"/>
        <v>28.428211586901764</v>
      </c>
      <c r="J930" s="113"/>
      <c r="K930" s="80"/>
      <c r="L930" s="379"/>
      <c r="M930" s="79">
        <f>360000+74400+2038900+1265000-1265000+50000+115000+1100000-310000+610000+127400-74400+666400-360000+360000-180000-50000+5000</f>
        <v>4532700</v>
      </c>
      <c r="N930" s="80">
        <v>336517</v>
      </c>
      <c r="O930" s="211">
        <f t="shared" si="115"/>
        <v>7.424206322942176</v>
      </c>
      <c r="P930" s="80"/>
      <c r="Q930" s="80"/>
      <c r="R930" s="350"/>
    </row>
    <row r="931" spans="1:18" ht="84" hidden="1">
      <c r="A931" s="111">
        <v>6050</v>
      </c>
      <c r="B931" s="115" t="s">
        <v>372</v>
      </c>
      <c r="C931" s="161"/>
      <c r="D931" s="65">
        <f t="shared" si="116"/>
        <v>0</v>
      </c>
      <c r="E931" s="65">
        <f t="shared" si="114"/>
        <v>0</v>
      </c>
      <c r="F931" s="475" t="e">
        <f t="shared" si="110"/>
        <v>#DIV/0!</v>
      </c>
      <c r="G931" s="161"/>
      <c r="H931" s="65"/>
      <c r="I931" s="265"/>
      <c r="J931" s="113"/>
      <c r="K931" s="80"/>
      <c r="L931" s="379"/>
      <c r="M931" s="79"/>
      <c r="N931" s="80"/>
      <c r="O931" s="211" t="e">
        <f t="shared" si="115"/>
        <v>#DIV/0!</v>
      </c>
      <c r="P931" s="80"/>
      <c r="Q931" s="80"/>
      <c r="R931" s="350"/>
    </row>
    <row r="932" spans="1:18" ht="48" hidden="1">
      <c r="A932" s="111">
        <v>6060</v>
      </c>
      <c r="B932" s="115" t="s">
        <v>373</v>
      </c>
      <c r="C932" s="161"/>
      <c r="D932" s="65">
        <f t="shared" si="116"/>
        <v>0</v>
      </c>
      <c r="E932" s="65">
        <f>SUM(H932+K932+N932+Q932)</f>
        <v>0</v>
      </c>
      <c r="F932" s="475" t="e">
        <f t="shared" si="110"/>
        <v>#DIV/0!</v>
      </c>
      <c r="G932" s="161"/>
      <c r="H932" s="65"/>
      <c r="I932" s="265"/>
      <c r="J932" s="113"/>
      <c r="K932" s="80"/>
      <c r="L932" s="379"/>
      <c r="M932" s="79"/>
      <c r="N932" s="80"/>
      <c r="O932" s="426" t="e">
        <f t="shared" si="115"/>
        <v>#DIV/0!</v>
      </c>
      <c r="P932" s="80"/>
      <c r="Q932" s="80"/>
      <c r="R932" s="350"/>
    </row>
    <row r="933" spans="1:18" ht="96" hidden="1">
      <c r="A933" s="111">
        <v>6220</v>
      </c>
      <c r="B933" s="115" t="s">
        <v>238</v>
      </c>
      <c r="C933" s="161"/>
      <c r="D933" s="65">
        <f t="shared" si="116"/>
        <v>0</v>
      </c>
      <c r="E933" s="65">
        <f t="shared" si="114"/>
        <v>0</v>
      </c>
      <c r="F933" s="475" t="e">
        <f t="shared" si="110"/>
        <v>#DIV/0!</v>
      </c>
      <c r="G933" s="161"/>
      <c r="H933" s="65"/>
      <c r="I933" s="452" t="e">
        <f t="shared" si="117"/>
        <v>#DIV/0!</v>
      </c>
      <c r="J933" s="113"/>
      <c r="K933" s="80"/>
      <c r="L933" s="379"/>
      <c r="M933" s="79"/>
      <c r="N933" s="80"/>
      <c r="O933" s="211"/>
      <c r="P933" s="80"/>
      <c r="Q933" s="80"/>
      <c r="R933" s="350"/>
    </row>
    <row r="934" spans="1:18" ht="48" hidden="1">
      <c r="A934" s="111">
        <v>2480</v>
      </c>
      <c r="B934" s="115" t="s">
        <v>391</v>
      </c>
      <c r="C934" s="161"/>
      <c r="D934" s="65">
        <f t="shared" si="116"/>
        <v>0</v>
      </c>
      <c r="E934" s="65">
        <f t="shared" si="114"/>
        <v>0</v>
      </c>
      <c r="F934" s="475" t="e">
        <f t="shared" si="110"/>
        <v>#DIV/0!</v>
      </c>
      <c r="G934" s="161"/>
      <c r="H934" s="65"/>
      <c r="I934" s="452"/>
      <c r="J934" s="113"/>
      <c r="K934" s="80"/>
      <c r="L934" s="466" t="e">
        <f>K934/J934*100</f>
        <v>#DIV/0!</v>
      </c>
      <c r="M934" s="79"/>
      <c r="N934" s="80"/>
      <c r="O934" s="211"/>
      <c r="P934" s="80"/>
      <c r="Q934" s="80"/>
      <c r="R934" s="350"/>
    </row>
    <row r="935" spans="1:18" ht="48.75" customHeight="1">
      <c r="A935" s="111">
        <v>2540</v>
      </c>
      <c r="B935" s="115" t="s">
        <v>221</v>
      </c>
      <c r="C935" s="161">
        <v>15000</v>
      </c>
      <c r="D935" s="65">
        <f t="shared" si="116"/>
        <v>15000</v>
      </c>
      <c r="E935" s="65">
        <f t="shared" si="114"/>
        <v>11839</v>
      </c>
      <c r="F935" s="475">
        <f t="shared" si="110"/>
        <v>78.92666666666666</v>
      </c>
      <c r="G935" s="161">
        <v>15000</v>
      </c>
      <c r="H935" s="65">
        <v>11839</v>
      </c>
      <c r="I935" s="452">
        <f t="shared" si="117"/>
        <v>78.92666666666666</v>
      </c>
      <c r="J935" s="113"/>
      <c r="K935" s="80"/>
      <c r="L935" s="379"/>
      <c r="M935" s="79"/>
      <c r="N935" s="80"/>
      <c r="O935" s="211"/>
      <c r="P935" s="80"/>
      <c r="Q935" s="80"/>
      <c r="R935" s="350"/>
    </row>
    <row r="936" spans="1:18" ht="51" customHeight="1">
      <c r="A936" s="145">
        <v>2570</v>
      </c>
      <c r="B936" s="146" t="s">
        <v>323</v>
      </c>
      <c r="C936" s="163">
        <v>15000</v>
      </c>
      <c r="D936" s="148">
        <f t="shared" si="116"/>
        <v>15000</v>
      </c>
      <c r="E936" s="148">
        <f>SUM(H936+K936+N936+Q936)</f>
        <v>9387</v>
      </c>
      <c r="F936" s="510">
        <f t="shared" si="110"/>
        <v>62.580000000000005</v>
      </c>
      <c r="G936" s="163">
        <v>15000</v>
      </c>
      <c r="H936" s="148">
        <v>9387</v>
      </c>
      <c r="I936" s="453">
        <f t="shared" si="117"/>
        <v>62.580000000000005</v>
      </c>
      <c r="J936" s="149"/>
      <c r="K936" s="142"/>
      <c r="L936" s="404"/>
      <c r="M936" s="147"/>
      <c r="N936" s="142"/>
      <c r="O936" s="259"/>
      <c r="P936" s="142"/>
      <c r="Q936" s="142"/>
      <c r="R936" s="354"/>
    </row>
    <row r="937" spans="1:18" ht="60">
      <c r="A937" s="111">
        <v>2820</v>
      </c>
      <c r="B937" s="115" t="s">
        <v>34</v>
      </c>
      <c r="C937" s="161">
        <v>24000</v>
      </c>
      <c r="D937" s="65">
        <f t="shared" si="116"/>
        <v>24000</v>
      </c>
      <c r="E937" s="65">
        <f t="shared" si="114"/>
        <v>10000</v>
      </c>
      <c r="F937" s="475">
        <f t="shared" si="110"/>
        <v>41.66666666666667</v>
      </c>
      <c r="G937" s="161">
        <v>24000</v>
      </c>
      <c r="H937" s="65">
        <v>10000</v>
      </c>
      <c r="I937" s="452">
        <f t="shared" si="117"/>
        <v>41.66666666666667</v>
      </c>
      <c r="J937" s="113"/>
      <c r="K937" s="80"/>
      <c r="L937" s="379"/>
      <c r="M937" s="79"/>
      <c r="N937" s="80"/>
      <c r="O937" s="211"/>
      <c r="P937" s="80"/>
      <c r="Q937" s="80"/>
      <c r="R937" s="350"/>
    </row>
    <row r="938" spans="1:18" s="130" customFormat="1" ht="12.75" hidden="1">
      <c r="A938" s="340"/>
      <c r="B938" s="341" t="s">
        <v>329</v>
      </c>
      <c r="C938" s="124">
        <f>SUM(C939:C945)</f>
        <v>0</v>
      </c>
      <c r="D938" s="126">
        <f t="shared" si="116"/>
        <v>0</v>
      </c>
      <c r="E938" s="126">
        <f t="shared" si="114"/>
        <v>0</v>
      </c>
      <c r="F938" s="475" t="e">
        <f t="shared" si="110"/>
        <v>#DIV/0!</v>
      </c>
      <c r="G938" s="124">
        <f>SUM(G939:G945)</f>
        <v>0</v>
      </c>
      <c r="H938" s="126">
        <f>SUM(H939:H945)</f>
        <v>0</v>
      </c>
      <c r="I938" s="452" t="e">
        <f t="shared" si="117"/>
        <v>#DIV/0!</v>
      </c>
      <c r="J938" s="127"/>
      <c r="K938" s="126"/>
      <c r="L938" s="392"/>
      <c r="M938" s="124"/>
      <c r="N938" s="126"/>
      <c r="O938" s="337"/>
      <c r="P938" s="126"/>
      <c r="Q938" s="126"/>
      <c r="R938" s="352"/>
    </row>
    <row r="939" spans="1:18" ht="24" hidden="1">
      <c r="A939" s="111">
        <v>4170</v>
      </c>
      <c r="B939" s="115" t="s">
        <v>298</v>
      </c>
      <c r="C939" s="161"/>
      <c r="D939" s="65">
        <f t="shared" si="116"/>
        <v>0</v>
      </c>
      <c r="E939" s="65">
        <f>SUM(H939+K939+N939+Q939)</f>
        <v>0</v>
      </c>
      <c r="F939" s="475" t="e">
        <f t="shared" si="110"/>
        <v>#DIV/0!</v>
      </c>
      <c r="G939" s="79">
        <f>5805-5805</f>
        <v>0</v>
      </c>
      <c r="H939" s="80"/>
      <c r="I939" s="452" t="e">
        <f t="shared" si="117"/>
        <v>#DIV/0!</v>
      </c>
      <c r="J939" s="113"/>
      <c r="K939" s="80"/>
      <c r="L939" s="379"/>
      <c r="M939" s="79"/>
      <c r="N939" s="80"/>
      <c r="O939" s="211"/>
      <c r="P939" s="80"/>
      <c r="Q939" s="80"/>
      <c r="R939" s="350"/>
    </row>
    <row r="940" spans="1:18" ht="24" hidden="1">
      <c r="A940" s="111">
        <v>4110</v>
      </c>
      <c r="B940" s="115" t="s">
        <v>477</v>
      </c>
      <c r="C940" s="161"/>
      <c r="D940" s="65">
        <f t="shared" si="116"/>
        <v>0</v>
      </c>
      <c r="E940" s="65">
        <f aca="true" t="shared" si="118" ref="E940:E980">SUM(H940+K940+N940+Q940)</f>
        <v>0</v>
      </c>
      <c r="F940" s="475" t="e">
        <f t="shared" si="110"/>
        <v>#DIV/0!</v>
      </c>
      <c r="G940" s="79">
        <f>912-912</f>
        <v>0</v>
      </c>
      <c r="H940" s="80"/>
      <c r="I940" s="452" t="e">
        <f t="shared" si="117"/>
        <v>#DIV/0!</v>
      </c>
      <c r="J940" s="113"/>
      <c r="K940" s="80"/>
      <c r="L940" s="379"/>
      <c r="M940" s="79"/>
      <c r="N940" s="80"/>
      <c r="O940" s="211"/>
      <c r="P940" s="80"/>
      <c r="Q940" s="80"/>
      <c r="R940" s="350"/>
    </row>
    <row r="941" spans="1:18" ht="12.75" hidden="1">
      <c r="A941" s="111">
        <v>4120</v>
      </c>
      <c r="B941" s="115" t="s">
        <v>547</v>
      </c>
      <c r="C941" s="161"/>
      <c r="D941" s="65">
        <f t="shared" si="116"/>
        <v>0</v>
      </c>
      <c r="E941" s="65">
        <f t="shared" si="118"/>
        <v>0</v>
      </c>
      <c r="F941" s="475" t="e">
        <f t="shared" si="110"/>
        <v>#DIV/0!</v>
      </c>
      <c r="G941" s="79">
        <f>142-142</f>
        <v>0</v>
      </c>
      <c r="H941" s="80"/>
      <c r="I941" s="452" t="e">
        <f t="shared" si="117"/>
        <v>#DIV/0!</v>
      </c>
      <c r="J941" s="113"/>
      <c r="K941" s="80"/>
      <c r="L941" s="379"/>
      <c r="M941" s="79"/>
      <c r="N941" s="80"/>
      <c r="O941" s="211"/>
      <c r="P941" s="80"/>
      <c r="Q941" s="80"/>
      <c r="R941" s="350"/>
    </row>
    <row r="942" spans="1:18" ht="24" hidden="1">
      <c r="A942" s="111">
        <v>4300</v>
      </c>
      <c r="B942" s="115" t="s">
        <v>489</v>
      </c>
      <c r="C942" s="161"/>
      <c r="D942" s="65">
        <f t="shared" si="116"/>
        <v>0</v>
      </c>
      <c r="E942" s="65">
        <f t="shared" si="118"/>
        <v>0</v>
      </c>
      <c r="F942" s="475" t="e">
        <f t="shared" si="110"/>
        <v>#DIV/0!</v>
      </c>
      <c r="G942" s="79"/>
      <c r="H942" s="80"/>
      <c r="I942" s="452" t="e">
        <f t="shared" si="117"/>
        <v>#DIV/0!</v>
      </c>
      <c r="J942" s="113"/>
      <c r="K942" s="80"/>
      <c r="L942" s="379"/>
      <c r="M942" s="79"/>
      <c r="N942" s="80"/>
      <c r="O942" s="211"/>
      <c r="P942" s="80"/>
      <c r="Q942" s="80"/>
      <c r="R942" s="350"/>
    </row>
    <row r="943" spans="1:18" ht="24" hidden="1">
      <c r="A943" s="111">
        <v>4309</v>
      </c>
      <c r="B943" s="115" t="s">
        <v>489</v>
      </c>
      <c r="C943" s="161"/>
      <c r="D943" s="65">
        <f t="shared" si="116"/>
        <v>0</v>
      </c>
      <c r="E943" s="65">
        <f t="shared" si="118"/>
        <v>0</v>
      </c>
      <c r="F943" s="475" t="e">
        <f t="shared" si="110"/>
        <v>#DIV/0!</v>
      </c>
      <c r="G943" s="79"/>
      <c r="H943" s="80"/>
      <c r="I943" s="452" t="e">
        <f t="shared" si="117"/>
        <v>#DIV/0!</v>
      </c>
      <c r="J943" s="113"/>
      <c r="K943" s="80"/>
      <c r="L943" s="379"/>
      <c r="M943" s="79"/>
      <c r="N943" s="80"/>
      <c r="O943" s="211"/>
      <c r="P943" s="80"/>
      <c r="Q943" s="80"/>
      <c r="R943" s="350"/>
    </row>
    <row r="944" spans="1:18" ht="12.75" hidden="1">
      <c r="A944" s="111">
        <v>4438</v>
      </c>
      <c r="B944" s="193" t="s">
        <v>491</v>
      </c>
      <c r="C944" s="161"/>
      <c r="D944" s="65">
        <f t="shared" si="116"/>
        <v>0</v>
      </c>
      <c r="E944" s="65">
        <f t="shared" si="118"/>
        <v>0</v>
      </c>
      <c r="F944" s="475" t="e">
        <f t="shared" si="110"/>
        <v>#DIV/0!</v>
      </c>
      <c r="G944" s="79"/>
      <c r="H944" s="80"/>
      <c r="I944" s="452" t="e">
        <f t="shared" si="117"/>
        <v>#DIV/0!</v>
      </c>
      <c r="J944" s="113"/>
      <c r="K944" s="80"/>
      <c r="L944" s="379"/>
      <c r="M944" s="79"/>
      <c r="N944" s="80"/>
      <c r="O944" s="211"/>
      <c r="P944" s="80"/>
      <c r="Q944" s="80"/>
      <c r="R944" s="350"/>
    </row>
    <row r="945" spans="1:18" ht="12.75" hidden="1">
      <c r="A945" s="111">
        <v>4439</v>
      </c>
      <c r="B945" s="193" t="s">
        <v>491</v>
      </c>
      <c r="C945" s="161"/>
      <c r="D945" s="65">
        <f t="shared" si="116"/>
        <v>0</v>
      </c>
      <c r="E945" s="65">
        <f t="shared" si="118"/>
        <v>0</v>
      </c>
      <c r="F945" s="475" t="e">
        <f t="shared" si="110"/>
        <v>#DIV/0!</v>
      </c>
      <c r="G945" s="79"/>
      <c r="H945" s="80"/>
      <c r="I945" s="452" t="e">
        <f t="shared" si="117"/>
        <v>#DIV/0!</v>
      </c>
      <c r="J945" s="113"/>
      <c r="K945" s="80"/>
      <c r="L945" s="379"/>
      <c r="M945" s="79"/>
      <c r="N945" s="80"/>
      <c r="O945" s="211"/>
      <c r="P945" s="80"/>
      <c r="Q945" s="80"/>
      <c r="R945" s="350"/>
    </row>
    <row r="946" spans="1:18" ht="48" hidden="1">
      <c r="A946" s="111">
        <v>4215</v>
      </c>
      <c r="B946" s="115" t="s">
        <v>317</v>
      </c>
      <c r="C946" s="161"/>
      <c r="D946" s="65">
        <f t="shared" si="116"/>
        <v>0</v>
      </c>
      <c r="E946" s="65">
        <f t="shared" si="118"/>
        <v>0</v>
      </c>
      <c r="F946" s="475" t="e">
        <f t="shared" si="110"/>
        <v>#DIV/0!</v>
      </c>
      <c r="G946" s="79"/>
      <c r="H946" s="80"/>
      <c r="I946" s="452" t="e">
        <f t="shared" si="117"/>
        <v>#DIV/0!</v>
      </c>
      <c r="J946" s="113"/>
      <c r="K946" s="80"/>
      <c r="L946" s="379"/>
      <c r="M946" s="79"/>
      <c r="N946" s="80"/>
      <c r="O946" s="211"/>
      <c r="P946" s="80"/>
      <c r="Q946" s="80"/>
      <c r="R946" s="350"/>
    </row>
    <row r="947" spans="1:18" s="130" customFormat="1" ht="24">
      <c r="A947" s="122"/>
      <c r="B947" s="123" t="s">
        <v>95</v>
      </c>
      <c r="C947" s="124"/>
      <c r="D947" s="126">
        <f t="shared" si="116"/>
        <v>176880</v>
      </c>
      <c r="E947" s="126">
        <f t="shared" si="118"/>
        <v>94765</v>
      </c>
      <c r="F947" s="475">
        <f t="shared" si="110"/>
        <v>53.57587064676616</v>
      </c>
      <c r="G947" s="124">
        <f>SUM(G948:G960)</f>
        <v>176880</v>
      </c>
      <c r="H947" s="126">
        <f>SUM(H948:H960)</f>
        <v>94765</v>
      </c>
      <c r="I947" s="452">
        <f t="shared" si="117"/>
        <v>53.57587064676616</v>
      </c>
      <c r="J947" s="127"/>
      <c r="K947" s="126"/>
      <c r="L947" s="392"/>
      <c r="M947" s="124"/>
      <c r="N947" s="126"/>
      <c r="O947" s="426"/>
      <c r="P947" s="126"/>
      <c r="Q947" s="126"/>
      <c r="R947" s="352"/>
    </row>
    <row r="948" spans="1:18" s="12" customFormat="1" ht="24">
      <c r="A948" s="159">
        <v>4017</v>
      </c>
      <c r="B948" s="115" t="s">
        <v>471</v>
      </c>
      <c r="C948" s="161"/>
      <c r="D948" s="65">
        <f>G948+J948+P948+M948</f>
        <v>1100</v>
      </c>
      <c r="E948" s="65">
        <f>SUM(H948+K948+N948+Q948)</f>
        <v>0</v>
      </c>
      <c r="F948" s="475">
        <f>E948/D948*100</f>
        <v>0</v>
      </c>
      <c r="G948" s="161">
        <v>1100</v>
      </c>
      <c r="H948" s="65"/>
      <c r="I948" s="452">
        <f t="shared" si="117"/>
        <v>0</v>
      </c>
      <c r="J948" s="162"/>
      <c r="K948" s="65"/>
      <c r="L948" s="379"/>
      <c r="M948" s="161"/>
      <c r="N948" s="65"/>
      <c r="O948" s="426"/>
      <c r="P948" s="65"/>
      <c r="Q948" s="65"/>
      <c r="R948" s="350"/>
    </row>
    <row r="949" spans="1:18" s="12" customFormat="1" ht="24">
      <c r="A949" s="159">
        <v>4117</v>
      </c>
      <c r="B949" s="115" t="s">
        <v>477</v>
      </c>
      <c r="C949" s="161"/>
      <c r="D949" s="65">
        <f>G949+J949+P949+M949</f>
        <v>167</v>
      </c>
      <c r="E949" s="65">
        <f>SUM(H949+K949+N949+Q949)</f>
        <v>0</v>
      </c>
      <c r="F949" s="475">
        <f>E949/D949*100</f>
        <v>0</v>
      </c>
      <c r="G949" s="161">
        <v>167</v>
      </c>
      <c r="H949" s="65"/>
      <c r="I949" s="452">
        <f t="shared" si="117"/>
        <v>0</v>
      </c>
      <c r="J949" s="162"/>
      <c r="K949" s="65"/>
      <c r="L949" s="379"/>
      <c r="M949" s="161"/>
      <c r="N949" s="65"/>
      <c r="O949" s="426"/>
      <c r="P949" s="65"/>
      <c r="Q949" s="65"/>
      <c r="R949" s="350"/>
    </row>
    <row r="950" spans="1:18" s="12" customFormat="1" ht="12.75">
      <c r="A950" s="159">
        <v>4127</v>
      </c>
      <c r="B950" s="115" t="s">
        <v>547</v>
      </c>
      <c r="C950" s="161"/>
      <c r="D950" s="65">
        <f>G950+J950+P950+M950</f>
        <v>27</v>
      </c>
      <c r="E950" s="65">
        <f>SUM(H950+K950+N950+Q950)</f>
        <v>0</v>
      </c>
      <c r="F950" s="475">
        <f>E950/D950*100</f>
        <v>0</v>
      </c>
      <c r="G950" s="161">
        <v>27</v>
      </c>
      <c r="H950" s="65"/>
      <c r="I950" s="452">
        <f t="shared" si="117"/>
        <v>0</v>
      </c>
      <c r="J950" s="162"/>
      <c r="K950" s="65"/>
      <c r="L950" s="379"/>
      <c r="M950" s="161"/>
      <c r="N950" s="65"/>
      <c r="O950" s="426"/>
      <c r="P950" s="65"/>
      <c r="Q950" s="65"/>
      <c r="R950" s="350"/>
    </row>
    <row r="951" spans="1:18" ht="24">
      <c r="A951" s="111">
        <v>4217</v>
      </c>
      <c r="B951" s="115" t="s">
        <v>481</v>
      </c>
      <c r="C951" s="161"/>
      <c r="D951" s="65">
        <f t="shared" si="116"/>
        <v>29721</v>
      </c>
      <c r="E951" s="65">
        <f t="shared" si="118"/>
        <v>14639</v>
      </c>
      <c r="F951" s="475">
        <f t="shared" si="110"/>
        <v>49.25473570875812</v>
      </c>
      <c r="G951" s="79">
        <f>29246+2207-1732</f>
        <v>29721</v>
      </c>
      <c r="H951" s="80">
        <v>14639</v>
      </c>
      <c r="I951" s="452">
        <f t="shared" si="117"/>
        <v>49.25473570875812</v>
      </c>
      <c r="J951" s="113"/>
      <c r="K951" s="80"/>
      <c r="L951" s="379"/>
      <c r="M951" s="79"/>
      <c r="N951" s="80"/>
      <c r="O951" s="426"/>
      <c r="P951" s="80"/>
      <c r="Q951" s="80"/>
      <c r="R951" s="350"/>
    </row>
    <row r="952" spans="1:18" ht="27.75" customHeight="1">
      <c r="A952" s="111">
        <v>4247</v>
      </c>
      <c r="B952" s="115" t="s">
        <v>539</v>
      </c>
      <c r="C952" s="161"/>
      <c r="D952" s="65">
        <f t="shared" si="116"/>
        <v>7000</v>
      </c>
      <c r="E952" s="65">
        <f t="shared" si="118"/>
        <v>7000</v>
      </c>
      <c r="F952" s="475">
        <f t="shared" si="110"/>
        <v>100</v>
      </c>
      <c r="G952" s="79">
        <v>7000</v>
      </c>
      <c r="H952" s="80">
        <v>7000</v>
      </c>
      <c r="I952" s="452">
        <f t="shared" si="117"/>
        <v>100</v>
      </c>
      <c r="J952" s="113"/>
      <c r="K952" s="80"/>
      <c r="L952" s="379"/>
      <c r="M952" s="79"/>
      <c r="N952" s="80"/>
      <c r="O952" s="426"/>
      <c r="P952" s="80"/>
      <c r="Q952" s="80"/>
      <c r="R952" s="350"/>
    </row>
    <row r="953" spans="1:18" ht="24" hidden="1">
      <c r="A953" s="111">
        <v>4300</v>
      </c>
      <c r="B953" s="115" t="s">
        <v>489</v>
      </c>
      <c r="C953" s="161"/>
      <c r="D953" s="65">
        <f>G953+J953+P953+M953</f>
        <v>0</v>
      </c>
      <c r="E953" s="65">
        <f>SUM(H953+K953+N953+Q953)</f>
        <v>0</v>
      </c>
      <c r="F953" s="475" t="e">
        <f t="shared" si="110"/>
        <v>#DIV/0!</v>
      </c>
      <c r="G953" s="79"/>
      <c r="H953" s="80"/>
      <c r="I953" s="452" t="e">
        <f t="shared" si="117"/>
        <v>#DIV/0!</v>
      </c>
      <c r="J953" s="113"/>
      <c r="K953" s="80"/>
      <c r="L953" s="379"/>
      <c r="M953" s="79"/>
      <c r="N953" s="80"/>
      <c r="O953" s="426"/>
      <c r="P953" s="80"/>
      <c r="Q953" s="80"/>
      <c r="R953" s="350"/>
    </row>
    <row r="954" spans="1:18" ht="18" customHeight="1">
      <c r="A954" s="111">
        <v>4307</v>
      </c>
      <c r="B954" s="115" t="s">
        <v>489</v>
      </c>
      <c r="C954" s="161"/>
      <c r="D954" s="65">
        <f t="shared" si="116"/>
        <v>47614</v>
      </c>
      <c r="E954" s="65">
        <f t="shared" si="118"/>
        <v>34149</v>
      </c>
      <c r="F954" s="475">
        <f t="shared" si="110"/>
        <v>71.72050237325156</v>
      </c>
      <c r="G954" s="79">
        <f>39524+10000-1910</f>
        <v>47614</v>
      </c>
      <c r="H954" s="80">
        <v>34149</v>
      </c>
      <c r="I954" s="452">
        <f t="shared" si="117"/>
        <v>71.72050237325156</v>
      </c>
      <c r="J954" s="113"/>
      <c r="K954" s="80"/>
      <c r="L954" s="379"/>
      <c r="M954" s="79"/>
      <c r="N954" s="80"/>
      <c r="O954" s="426"/>
      <c r="P954" s="80"/>
      <c r="Q954" s="80"/>
      <c r="R954" s="350"/>
    </row>
    <row r="955" spans="1:18" ht="24" hidden="1">
      <c r="A955" s="111">
        <v>4357</v>
      </c>
      <c r="B955" s="115" t="s">
        <v>7</v>
      </c>
      <c r="C955" s="161"/>
      <c r="D955" s="65">
        <f>G955+J955+P955+M955</f>
        <v>0</v>
      </c>
      <c r="E955" s="65">
        <f>SUM(H955+K955+N955+Q955)</f>
        <v>0</v>
      </c>
      <c r="F955" s="475" t="e">
        <f t="shared" si="110"/>
        <v>#DIV/0!</v>
      </c>
      <c r="G955" s="79"/>
      <c r="H955" s="80"/>
      <c r="I955" s="452" t="e">
        <f t="shared" si="117"/>
        <v>#DIV/0!</v>
      </c>
      <c r="J955" s="113"/>
      <c r="K955" s="80"/>
      <c r="L955" s="379"/>
      <c r="M955" s="79"/>
      <c r="N955" s="80"/>
      <c r="O955" s="426"/>
      <c r="P955" s="80"/>
      <c r="Q955" s="80"/>
      <c r="R955" s="350"/>
    </row>
    <row r="956" spans="1:18" ht="18" customHeight="1">
      <c r="A956" s="111">
        <v>4417</v>
      </c>
      <c r="B956" s="115" t="s">
        <v>463</v>
      </c>
      <c r="C956" s="161"/>
      <c r="D956" s="65">
        <f>G956+J956+P956+M956</f>
        <v>6178</v>
      </c>
      <c r="E956" s="65">
        <f>SUM(H956+K956+N956+Q956)</f>
        <v>1196</v>
      </c>
      <c r="F956" s="475">
        <f>E956/D956*100</f>
        <v>19.35901586273875</v>
      </c>
      <c r="G956" s="79">
        <f>6500-471+149</f>
        <v>6178</v>
      </c>
      <c r="H956" s="80">
        <v>1196</v>
      </c>
      <c r="I956" s="452">
        <f t="shared" si="117"/>
        <v>19.35901586273875</v>
      </c>
      <c r="J956" s="113"/>
      <c r="K956" s="80"/>
      <c r="L956" s="379"/>
      <c r="M956" s="79"/>
      <c r="N956" s="80"/>
      <c r="O956" s="426"/>
      <c r="P956" s="80"/>
      <c r="Q956" s="80"/>
      <c r="R956" s="350"/>
    </row>
    <row r="957" spans="1:18" ht="24">
      <c r="A957" s="111">
        <v>4427</v>
      </c>
      <c r="B957" s="115" t="s">
        <v>532</v>
      </c>
      <c r="C957" s="161"/>
      <c r="D957" s="65">
        <f t="shared" si="116"/>
        <v>75310</v>
      </c>
      <c r="E957" s="65">
        <f t="shared" si="118"/>
        <v>36510</v>
      </c>
      <c r="F957" s="475">
        <f t="shared" si="110"/>
        <v>48.47961758066658</v>
      </c>
      <c r="G957" s="79">
        <f>83940-11753+3123</f>
        <v>75310</v>
      </c>
      <c r="H957" s="80">
        <v>36510</v>
      </c>
      <c r="I957" s="452">
        <f t="shared" si="117"/>
        <v>48.47961758066658</v>
      </c>
      <c r="J957" s="113"/>
      <c r="K957" s="80"/>
      <c r="L957" s="379"/>
      <c r="M957" s="79"/>
      <c r="N957" s="80"/>
      <c r="O957" s="211"/>
      <c r="P957" s="80"/>
      <c r="Q957" s="80"/>
      <c r="R957" s="350"/>
    </row>
    <row r="958" spans="1:18" ht="12.75">
      <c r="A958" s="111">
        <v>4437</v>
      </c>
      <c r="B958" s="193" t="s">
        <v>491</v>
      </c>
      <c r="C958" s="161"/>
      <c r="D958" s="65">
        <f t="shared" si="116"/>
        <v>6079</v>
      </c>
      <c r="E958" s="65">
        <f t="shared" si="118"/>
        <v>949</v>
      </c>
      <c r="F958" s="475">
        <f t="shared" si="110"/>
        <v>15.611120250041125</v>
      </c>
      <c r="G958" s="79">
        <f>7370+17-1308</f>
        <v>6079</v>
      </c>
      <c r="H958" s="80">
        <v>949</v>
      </c>
      <c r="I958" s="452">
        <f t="shared" si="117"/>
        <v>15.611120250041125</v>
      </c>
      <c r="J958" s="113"/>
      <c r="K958" s="80"/>
      <c r="L958" s="379"/>
      <c r="M958" s="79"/>
      <c r="N958" s="80"/>
      <c r="O958" s="211"/>
      <c r="P958" s="80"/>
      <c r="Q958" s="80"/>
      <c r="R958" s="350"/>
    </row>
    <row r="959" spans="1:18" ht="50.25" customHeight="1">
      <c r="A959" s="111">
        <v>4747</v>
      </c>
      <c r="B959" s="326" t="s">
        <v>288</v>
      </c>
      <c r="C959" s="161"/>
      <c r="D959" s="65">
        <f t="shared" si="116"/>
        <v>2500</v>
      </c>
      <c r="E959" s="65">
        <f t="shared" si="118"/>
        <v>0</v>
      </c>
      <c r="F959" s="475">
        <f t="shared" si="110"/>
        <v>0</v>
      </c>
      <c r="G959" s="79">
        <v>2500</v>
      </c>
      <c r="H959" s="80"/>
      <c r="I959" s="452">
        <f t="shared" si="117"/>
        <v>0</v>
      </c>
      <c r="J959" s="113"/>
      <c r="K959" s="80"/>
      <c r="L959" s="379"/>
      <c r="M959" s="79"/>
      <c r="N959" s="80"/>
      <c r="O959" s="211"/>
      <c r="P959" s="80"/>
      <c r="Q959" s="80"/>
      <c r="R959" s="350"/>
    </row>
    <row r="960" spans="1:18" ht="36">
      <c r="A960" s="111">
        <v>4757</v>
      </c>
      <c r="B960" s="326" t="s">
        <v>289</v>
      </c>
      <c r="C960" s="161"/>
      <c r="D960" s="65">
        <f t="shared" si="116"/>
        <v>1184</v>
      </c>
      <c r="E960" s="65">
        <f t="shared" si="118"/>
        <v>322</v>
      </c>
      <c r="F960" s="475">
        <f aca="true" t="shared" si="119" ref="F960:F969">E960/D960*100</f>
        <v>27.195945945945947</v>
      </c>
      <c r="G960" s="79">
        <f>800+384</f>
        <v>1184</v>
      </c>
      <c r="H960" s="80">
        <v>322</v>
      </c>
      <c r="I960" s="452">
        <f t="shared" si="117"/>
        <v>27.195945945945947</v>
      </c>
      <c r="J960" s="113"/>
      <c r="K960" s="80"/>
      <c r="L960" s="379"/>
      <c r="M960" s="79"/>
      <c r="N960" s="80"/>
      <c r="O960" s="211"/>
      <c r="P960" s="80"/>
      <c r="Q960" s="80"/>
      <c r="R960" s="350"/>
    </row>
    <row r="961" spans="1:18" s="130" customFormat="1" ht="48" hidden="1">
      <c r="A961" s="122"/>
      <c r="B961" s="123" t="s">
        <v>389</v>
      </c>
      <c r="C961" s="124"/>
      <c r="D961" s="126">
        <f t="shared" si="116"/>
        <v>0</v>
      </c>
      <c r="E961" s="126">
        <f t="shared" si="118"/>
        <v>0</v>
      </c>
      <c r="F961" s="475" t="e">
        <f t="shared" si="119"/>
        <v>#DIV/0!</v>
      </c>
      <c r="G961" s="124"/>
      <c r="H961" s="126"/>
      <c r="I961" s="452"/>
      <c r="J961" s="127"/>
      <c r="K961" s="126"/>
      <c r="L961" s="392"/>
      <c r="M961" s="124">
        <f>SUM(M962:M968)</f>
        <v>0</v>
      </c>
      <c r="N961" s="126">
        <f>SUM(N962:N968)</f>
        <v>0</v>
      </c>
      <c r="O961" s="443" t="e">
        <f aca="true" t="shared" si="120" ref="O961:O985">N961/M961*100</f>
        <v>#DIV/0!</v>
      </c>
      <c r="P961" s="126"/>
      <c r="Q961" s="126"/>
      <c r="R961" s="352"/>
    </row>
    <row r="962" spans="1:18" s="12" customFormat="1" ht="24" hidden="1">
      <c r="A962" s="111">
        <v>4117</v>
      </c>
      <c r="B962" s="262" t="s">
        <v>477</v>
      </c>
      <c r="C962" s="161"/>
      <c r="D962" s="65">
        <f t="shared" si="116"/>
        <v>0</v>
      </c>
      <c r="E962" s="65">
        <f t="shared" si="118"/>
        <v>0</v>
      </c>
      <c r="F962" s="475" t="e">
        <f t="shared" si="119"/>
        <v>#DIV/0!</v>
      </c>
      <c r="G962" s="161"/>
      <c r="H962" s="65"/>
      <c r="I962" s="452"/>
      <c r="J962" s="162"/>
      <c r="K962" s="65"/>
      <c r="L962" s="379"/>
      <c r="M962" s="161"/>
      <c r="N962" s="65"/>
      <c r="O962" s="426" t="e">
        <f t="shared" si="120"/>
        <v>#DIV/0!</v>
      </c>
      <c r="P962" s="65"/>
      <c r="Q962" s="65"/>
      <c r="R962" s="350"/>
    </row>
    <row r="963" spans="1:18" s="12" customFormat="1" ht="12.75" hidden="1">
      <c r="A963" s="111">
        <v>4127</v>
      </c>
      <c r="B963" s="262" t="s">
        <v>547</v>
      </c>
      <c r="C963" s="161"/>
      <c r="D963" s="65">
        <f t="shared" si="116"/>
        <v>0</v>
      </c>
      <c r="E963" s="65">
        <f t="shared" si="118"/>
        <v>0</v>
      </c>
      <c r="F963" s="475" t="e">
        <f t="shared" si="119"/>
        <v>#DIV/0!</v>
      </c>
      <c r="G963" s="161"/>
      <c r="H963" s="65"/>
      <c r="I963" s="452"/>
      <c r="J963" s="162"/>
      <c r="K963" s="65"/>
      <c r="L963" s="379"/>
      <c r="M963" s="161"/>
      <c r="N963" s="65"/>
      <c r="O963" s="426" t="e">
        <f t="shared" si="120"/>
        <v>#DIV/0!</v>
      </c>
      <c r="P963" s="65"/>
      <c r="Q963" s="65"/>
      <c r="R963" s="350"/>
    </row>
    <row r="964" spans="1:18" s="12" customFormat="1" ht="24" hidden="1">
      <c r="A964" s="111">
        <v>4177</v>
      </c>
      <c r="B964" s="115" t="s">
        <v>511</v>
      </c>
      <c r="C964" s="161"/>
      <c r="D964" s="65">
        <f t="shared" si="116"/>
        <v>0</v>
      </c>
      <c r="E964" s="65">
        <f t="shared" si="118"/>
        <v>0</v>
      </c>
      <c r="F964" s="475" t="e">
        <f t="shared" si="119"/>
        <v>#DIV/0!</v>
      </c>
      <c r="G964" s="161"/>
      <c r="H964" s="65"/>
      <c r="I964" s="452"/>
      <c r="J964" s="162"/>
      <c r="K964" s="65"/>
      <c r="L964" s="379"/>
      <c r="M964" s="161"/>
      <c r="N964" s="65"/>
      <c r="O964" s="426" t="e">
        <f t="shared" si="120"/>
        <v>#DIV/0!</v>
      </c>
      <c r="P964" s="65"/>
      <c r="Q964" s="65"/>
      <c r="R964" s="350"/>
    </row>
    <row r="965" spans="1:18" ht="24" hidden="1">
      <c r="A965" s="111">
        <v>4217</v>
      </c>
      <c r="B965" s="115" t="s">
        <v>481</v>
      </c>
      <c r="C965" s="161"/>
      <c r="D965" s="65">
        <f t="shared" si="116"/>
        <v>0</v>
      </c>
      <c r="E965" s="65">
        <f t="shared" si="118"/>
        <v>0</v>
      </c>
      <c r="F965" s="475" t="e">
        <f t="shared" si="119"/>
        <v>#DIV/0!</v>
      </c>
      <c r="G965" s="79"/>
      <c r="H965" s="80"/>
      <c r="I965" s="452"/>
      <c r="J965" s="113"/>
      <c r="K965" s="80"/>
      <c r="L965" s="379"/>
      <c r="M965" s="79"/>
      <c r="N965" s="80"/>
      <c r="O965" s="426" t="e">
        <f t="shared" si="120"/>
        <v>#DIV/0!</v>
      </c>
      <c r="P965" s="80"/>
      <c r="Q965" s="80"/>
      <c r="R965" s="350"/>
    </row>
    <row r="966" spans="1:18" ht="24" hidden="1">
      <c r="A966" s="111">
        <v>4307</v>
      </c>
      <c r="B966" s="115" t="s">
        <v>489</v>
      </c>
      <c r="C966" s="161"/>
      <c r="D966" s="65">
        <f t="shared" si="116"/>
        <v>0</v>
      </c>
      <c r="E966" s="65">
        <f t="shared" si="118"/>
        <v>0</v>
      </c>
      <c r="F966" s="475" t="e">
        <f t="shared" si="119"/>
        <v>#DIV/0!</v>
      </c>
      <c r="G966" s="79"/>
      <c r="H966" s="80"/>
      <c r="I966" s="452"/>
      <c r="J966" s="113"/>
      <c r="K966" s="80"/>
      <c r="L966" s="379"/>
      <c r="M966" s="79"/>
      <c r="N966" s="80"/>
      <c r="O966" s="426" t="e">
        <f t="shared" si="120"/>
        <v>#DIV/0!</v>
      </c>
      <c r="P966" s="80"/>
      <c r="Q966" s="80"/>
      <c r="R966" s="350"/>
    </row>
    <row r="967" spans="1:18" ht="48" hidden="1">
      <c r="A967" s="159">
        <v>4367</v>
      </c>
      <c r="B967" s="326" t="s">
        <v>295</v>
      </c>
      <c r="C967" s="161"/>
      <c r="D967" s="65">
        <f t="shared" si="116"/>
        <v>0</v>
      </c>
      <c r="E967" s="65">
        <f t="shared" si="118"/>
        <v>0</v>
      </c>
      <c r="F967" s="475" t="e">
        <f t="shared" si="119"/>
        <v>#DIV/0!</v>
      </c>
      <c r="G967" s="79"/>
      <c r="H967" s="80"/>
      <c r="I967" s="452"/>
      <c r="J967" s="113"/>
      <c r="K967" s="80"/>
      <c r="L967" s="379"/>
      <c r="M967" s="79"/>
      <c r="N967" s="80"/>
      <c r="O967" s="426" t="e">
        <f t="shared" si="120"/>
        <v>#DIV/0!</v>
      </c>
      <c r="P967" s="80"/>
      <c r="Q967" s="80"/>
      <c r="R967" s="350"/>
    </row>
    <row r="968" spans="1:18" ht="12.75" hidden="1">
      <c r="A968" s="111">
        <v>4437</v>
      </c>
      <c r="B968" s="193" t="s">
        <v>491</v>
      </c>
      <c r="C968" s="161"/>
      <c r="D968" s="65">
        <f t="shared" si="116"/>
        <v>0</v>
      </c>
      <c r="E968" s="65">
        <f t="shared" si="118"/>
        <v>0</v>
      </c>
      <c r="F968" s="475" t="e">
        <f t="shared" si="119"/>
        <v>#DIV/0!</v>
      </c>
      <c r="G968" s="79"/>
      <c r="H968" s="80"/>
      <c r="I968" s="452"/>
      <c r="J968" s="113"/>
      <c r="K968" s="80"/>
      <c r="L968" s="379"/>
      <c r="M968" s="79"/>
      <c r="N968" s="80"/>
      <c r="O968" s="426" t="e">
        <f t="shared" si="120"/>
        <v>#DIV/0!</v>
      </c>
      <c r="P968" s="80"/>
      <c r="Q968" s="80"/>
      <c r="R968" s="350"/>
    </row>
    <row r="969" spans="1:18" s="130" customFormat="1" ht="84">
      <c r="A969" s="122"/>
      <c r="B969" s="123" t="s">
        <v>445</v>
      </c>
      <c r="C969" s="124">
        <f>SUM(C970:C982)</f>
        <v>92020</v>
      </c>
      <c r="D969" s="126">
        <f t="shared" si="116"/>
        <v>131400</v>
      </c>
      <c r="E969" s="126">
        <f t="shared" si="118"/>
        <v>120808</v>
      </c>
      <c r="F969" s="475">
        <f t="shared" si="119"/>
        <v>91.93911719939118</v>
      </c>
      <c r="G969" s="124"/>
      <c r="H969" s="126"/>
      <c r="I969" s="265"/>
      <c r="J969" s="127"/>
      <c r="K969" s="126"/>
      <c r="L969" s="392"/>
      <c r="M969" s="124">
        <f>SUM(M970:M982)</f>
        <v>131400</v>
      </c>
      <c r="N969" s="126">
        <f>SUM(N970:N982)</f>
        <v>120808</v>
      </c>
      <c r="O969" s="443">
        <f t="shared" si="120"/>
        <v>91.93911719939118</v>
      </c>
      <c r="P969" s="126"/>
      <c r="Q969" s="126"/>
      <c r="R969" s="352"/>
    </row>
    <row r="970" spans="1:18" ht="24">
      <c r="A970" s="111">
        <v>4115</v>
      </c>
      <c r="B970" s="262" t="s">
        <v>477</v>
      </c>
      <c r="C970" s="161">
        <v>10</v>
      </c>
      <c r="D970" s="65">
        <f t="shared" si="116"/>
        <v>0</v>
      </c>
      <c r="E970" s="65">
        <f t="shared" si="118"/>
        <v>0</v>
      </c>
      <c r="F970" s="475"/>
      <c r="G970" s="79"/>
      <c r="H970" s="80"/>
      <c r="I970" s="265"/>
      <c r="J970" s="113"/>
      <c r="K970" s="80"/>
      <c r="L970" s="379"/>
      <c r="M970" s="79"/>
      <c r="N970" s="80"/>
      <c r="O970" s="426"/>
      <c r="P970" s="80"/>
      <c r="Q970" s="80"/>
      <c r="R970" s="350"/>
    </row>
    <row r="971" spans="1:18" ht="24">
      <c r="A971" s="111">
        <v>4117</v>
      </c>
      <c r="B971" s="262" t="s">
        <v>477</v>
      </c>
      <c r="C971" s="161"/>
      <c r="D971" s="65">
        <f>G971+J971+P971+M971</f>
        <v>470</v>
      </c>
      <c r="E971" s="65">
        <f>SUM(H971+K971+N971+Q971)</f>
        <v>468</v>
      </c>
      <c r="F971" s="475">
        <f>E971/D971*100</f>
        <v>99.57446808510639</v>
      </c>
      <c r="G971" s="79"/>
      <c r="H971" s="80"/>
      <c r="I971" s="265"/>
      <c r="J971" s="113"/>
      <c r="K971" s="80"/>
      <c r="L971" s="379"/>
      <c r="M971" s="79">
        <f>10+460</f>
        <v>470</v>
      </c>
      <c r="N971" s="80">
        <v>468</v>
      </c>
      <c r="O971" s="426">
        <f t="shared" si="120"/>
        <v>99.57446808510639</v>
      </c>
      <c r="P971" s="80"/>
      <c r="Q971" s="80"/>
      <c r="R971" s="350"/>
    </row>
    <row r="972" spans="1:18" ht="12.75">
      <c r="A972" s="145">
        <v>4125</v>
      </c>
      <c r="B972" s="263" t="s">
        <v>547</v>
      </c>
      <c r="C972" s="163">
        <v>10</v>
      </c>
      <c r="D972" s="148">
        <f t="shared" si="116"/>
        <v>0</v>
      </c>
      <c r="E972" s="148">
        <f t="shared" si="118"/>
        <v>0</v>
      </c>
      <c r="F972" s="510"/>
      <c r="G972" s="147"/>
      <c r="H972" s="142"/>
      <c r="I972" s="312"/>
      <c r="J972" s="149"/>
      <c r="K972" s="142"/>
      <c r="L972" s="404"/>
      <c r="M972" s="147"/>
      <c r="N972" s="142"/>
      <c r="O972" s="446"/>
      <c r="P972" s="142"/>
      <c r="Q972" s="142"/>
      <c r="R972" s="354"/>
    </row>
    <row r="973" spans="1:18" ht="12.75">
      <c r="A973" s="111">
        <v>4127</v>
      </c>
      <c r="B973" s="262" t="s">
        <v>547</v>
      </c>
      <c r="C973" s="161"/>
      <c r="D973" s="65">
        <f>G973+J973+P973+M973</f>
        <v>80</v>
      </c>
      <c r="E973" s="65">
        <f>SUM(H973+K973+N973+Q973)</f>
        <v>75</v>
      </c>
      <c r="F973" s="475">
        <f aca="true" t="shared" si="121" ref="F973:F1006">E973/D973*100</f>
        <v>93.75</v>
      </c>
      <c r="G973" s="79"/>
      <c r="H973" s="80"/>
      <c r="I973" s="265"/>
      <c r="J973" s="113"/>
      <c r="K973" s="80"/>
      <c r="L973" s="379"/>
      <c r="M973" s="79">
        <f>10+70</f>
        <v>80</v>
      </c>
      <c r="N973" s="80">
        <v>75</v>
      </c>
      <c r="O973" s="426">
        <f t="shared" si="120"/>
        <v>93.75</v>
      </c>
      <c r="P973" s="80"/>
      <c r="Q973" s="80"/>
      <c r="R973" s="350"/>
    </row>
    <row r="974" spans="1:18" ht="24">
      <c r="A974" s="111">
        <v>4175</v>
      </c>
      <c r="B974" s="115" t="s">
        <v>511</v>
      </c>
      <c r="C974" s="161">
        <v>100</v>
      </c>
      <c r="D974" s="65">
        <f t="shared" si="116"/>
        <v>0</v>
      </c>
      <c r="E974" s="65">
        <f t="shared" si="118"/>
        <v>0</v>
      </c>
      <c r="F974" s="475"/>
      <c r="G974" s="79"/>
      <c r="H974" s="80"/>
      <c r="I974" s="265"/>
      <c r="J974" s="113"/>
      <c r="K974" s="80"/>
      <c r="L974" s="379"/>
      <c r="M974" s="79"/>
      <c r="N974" s="80"/>
      <c r="O974" s="426"/>
      <c r="P974" s="80"/>
      <c r="Q974" s="80"/>
      <c r="R974" s="350"/>
    </row>
    <row r="975" spans="1:18" ht="24">
      <c r="A975" s="111">
        <v>4177</v>
      </c>
      <c r="B975" s="115" t="s">
        <v>511</v>
      </c>
      <c r="C975" s="161"/>
      <c r="D975" s="65">
        <f>G975+J975+P975+M975</f>
        <v>3080</v>
      </c>
      <c r="E975" s="65">
        <f>SUM(H975+K975+N975+Q975)</f>
        <v>3080</v>
      </c>
      <c r="F975" s="475">
        <f t="shared" si="121"/>
        <v>100</v>
      </c>
      <c r="G975" s="79"/>
      <c r="H975" s="80"/>
      <c r="I975" s="265"/>
      <c r="J975" s="113"/>
      <c r="K975" s="80"/>
      <c r="L975" s="379"/>
      <c r="M975" s="79">
        <f>230+2850</f>
        <v>3080</v>
      </c>
      <c r="N975" s="80">
        <v>3080</v>
      </c>
      <c r="O975" s="426">
        <f t="shared" si="120"/>
        <v>100</v>
      </c>
      <c r="P975" s="80"/>
      <c r="Q975" s="80"/>
      <c r="R975" s="350"/>
    </row>
    <row r="976" spans="1:18" ht="24">
      <c r="A976" s="111">
        <v>4217</v>
      </c>
      <c r="B976" s="115" t="s">
        <v>481</v>
      </c>
      <c r="C976" s="161"/>
      <c r="D976" s="65">
        <f>G976+J976+P976+M976</f>
        <v>8800</v>
      </c>
      <c r="E976" s="65">
        <f>SUM(H976+K976+N976+Q976)</f>
        <v>4003</v>
      </c>
      <c r="F976" s="475">
        <f>E976/D976*100</f>
        <v>45.48863636363637</v>
      </c>
      <c r="G976" s="79"/>
      <c r="H976" s="80"/>
      <c r="I976" s="265"/>
      <c r="J976" s="113"/>
      <c r="K976" s="80"/>
      <c r="L976" s="379"/>
      <c r="M976" s="79">
        <v>8800</v>
      </c>
      <c r="N976" s="80">
        <v>4003</v>
      </c>
      <c r="O976" s="426">
        <f t="shared" si="120"/>
        <v>45.48863636363637</v>
      </c>
      <c r="P976" s="80"/>
      <c r="Q976" s="80"/>
      <c r="R976" s="350"/>
    </row>
    <row r="977" spans="1:18" ht="36" hidden="1">
      <c r="A977" s="111">
        <v>4245</v>
      </c>
      <c r="B977" s="115" t="s">
        <v>539</v>
      </c>
      <c r="C977" s="161"/>
      <c r="D977" s="65">
        <f t="shared" si="116"/>
        <v>0</v>
      </c>
      <c r="E977" s="65">
        <f t="shared" si="118"/>
        <v>0</v>
      </c>
      <c r="F977" s="475" t="e">
        <f t="shared" si="121"/>
        <v>#DIV/0!</v>
      </c>
      <c r="G977" s="79"/>
      <c r="H977" s="80"/>
      <c r="I977" s="265"/>
      <c r="J977" s="113"/>
      <c r="K977" s="80"/>
      <c r="L977" s="379"/>
      <c r="M977" s="79"/>
      <c r="N977" s="80"/>
      <c r="O977" s="426" t="e">
        <f t="shared" si="120"/>
        <v>#DIV/0!</v>
      </c>
      <c r="P977" s="80"/>
      <c r="Q977" s="80"/>
      <c r="R977" s="350"/>
    </row>
    <row r="978" spans="1:18" ht="36" hidden="1">
      <c r="A978" s="111">
        <v>4247</v>
      </c>
      <c r="B978" s="115" t="s">
        <v>539</v>
      </c>
      <c r="C978" s="161"/>
      <c r="D978" s="65">
        <f>G978+J978+P978+M978</f>
        <v>0</v>
      </c>
      <c r="E978" s="65">
        <f>SUM(H978+K978+N978+Q978)</f>
        <v>0</v>
      </c>
      <c r="F978" s="475" t="e">
        <f t="shared" si="121"/>
        <v>#DIV/0!</v>
      </c>
      <c r="G978" s="79"/>
      <c r="H978" s="80"/>
      <c r="I978" s="265"/>
      <c r="J978" s="113"/>
      <c r="K978" s="80"/>
      <c r="L978" s="379"/>
      <c r="M978" s="79"/>
      <c r="N978" s="80"/>
      <c r="O978" s="426" t="e">
        <f t="shared" si="120"/>
        <v>#DIV/0!</v>
      </c>
      <c r="P978" s="80"/>
      <c r="Q978" s="80"/>
      <c r="R978" s="350"/>
    </row>
    <row r="979" spans="1:18" ht="19.5" customHeight="1">
      <c r="A979" s="111">
        <v>4305</v>
      </c>
      <c r="B979" s="115" t="s">
        <v>489</v>
      </c>
      <c r="C979" s="161">
        <v>86700</v>
      </c>
      <c r="D979" s="65">
        <f t="shared" si="116"/>
        <v>0</v>
      </c>
      <c r="E979" s="65">
        <f t="shared" si="118"/>
        <v>0</v>
      </c>
      <c r="F979" s="475"/>
      <c r="G979" s="79"/>
      <c r="H979" s="80"/>
      <c r="I979" s="265"/>
      <c r="J979" s="113"/>
      <c r="K979" s="80"/>
      <c r="L979" s="379"/>
      <c r="M979" s="79"/>
      <c r="N979" s="80"/>
      <c r="O979" s="426"/>
      <c r="P979" s="80"/>
      <c r="Q979" s="80"/>
      <c r="R979" s="350"/>
    </row>
    <row r="980" spans="1:18" ht="18.75" customHeight="1">
      <c r="A980" s="111">
        <v>4307</v>
      </c>
      <c r="B980" s="276" t="s">
        <v>489</v>
      </c>
      <c r="C980" s="161"/>
      <c r="D980" s="65">
        <f t="shared" si="116"/>
        <v>114770</v>
      </c>
      <c r="E980" s="65">
        <f t="shared" si="118"/>
        <v>110998</v>
      </c>
      <c r="F980" s="475">
        <f t="shared" si="121"/>
        <v>96.71342685370742</v>
      </c>
      <c r="G980" s="79"/>
      <c r="H980" s="80"/>
      <c r="I980" s="265"/>
      <c r="J980" s="113"/>
      <c r="K980" s="80"/>
      <c r="L980" s="379"/>
      <c r="M980" s="79">
        <f>39380+78770-3380</f>
        <v>114770</v>
      </c>
      <c r="N980" s="80">
        <v>110998</v>
      </c>
      <c r="O980" s="426">
        <f t="shared" si="120"/>
        <v>96.71342685370742</v>
      </c>
      <c r="P980" s="80"/>
      <c r="Q980" s="80"/>
      <c r="R980" s="350"/>
    </row>
    <row r="981" spans="1:18" ht="24">
      <c r="A981" s="111">
        <v>4425</v>
      </c>
      <c r="B981" s="276" t="s">
        <v>532</v>
      </c>
      <c r="C981" s="161">
        <v>5200</v>
      </c>
      <c r="D981" s="65">
        <f>G981+J981+P981+M981</f>
        <v>0</v>
      </c>
      <c r="E981" s="65"/>
      <c r="F981" s="475"/>
      <c r="G981" s="79"/>
      <c r="H981" s="80"/>
      <c r="I981" s="265"/>
      <c r="J981" s="113"/>
      <c r="K981" s="80"/>
      <c r="L981" s="379"/>
      <c r="M981" s="79"/>
      <c r="N981" s="80"/>
      <c r="O981" s="426"/>
      <c r="P981" s="80"/>
      <c r="Q981" s="80"/>
      <c r="R981" s="350"/>
    </row>
    <row r="982" spans="1:18" ht="24.75" thickBot="1">
      <c r="A982" s="111">
        <v>4427</v>
      </c>
      <c r="B982" s="262" t="s">
        <v>532</v>
      </c>
      <c r="C982" s="161"/>
      <c r="D982" s="65">
        <f t="shared" si="116"/>
        <v>4200</v>
      </c>
      <c r="E982" s="65">
        <f aca="true" t="shared" si="122" ref="E982:E996">SUM(H982+K982+N982+Q982)</f>
        <v>2184</v>
      </c>
      <c r="F982" s="452">
        <f t="shared" si="121"/>
        <v>52</v>
      </c>
      <c r="G982" s="79"/>
      <c r="H982" s="80"/>
      <c r="I982" s="265"/>
      <c r="J982" s="113"/>
      <c r="K982" s="80"/>
      <c r="L982" s="379"/>
      <c r="M982" s="79">
        <v>4200</v>
      </c>
      <c r="N982" s="80">
        <v>2184</v>
      </c>
      <c r="O982" s="426">
        <f t="shared" si="120"/>
        <v>52</v>
      </c>
      <c r="P982" s="80"/>
      <c r="Q982" s="80"/>
      <c r="R982" s="350"/>
    </row>
    <row r="983" spans="1:18" s="130" customFormat="1" ht="36.75" hidden="1" thickBot="1">
      <c r="A983" s="122"/>
      <c r="B983" s="123" t="s">
        <v>352</v>
      </c>
      <c r="C983" s="124"/>
      <c r="D983" s="126">
        <f>G983+J983+P983+M983</f>
        <v>0</v>
      </c>
      <c r="E983" s="126">
        <f t="shared" si="122"/>
        <v>0</v>
      </c>
      <c r="F983" s="461" t="e">
        <f t="shared" si="121"/>
        <v>#DIV/0!</v>
      </c>
      <c r="G983" s="124"/>
      <c r="H983" s="126"/>
      <c r="I983" s="374"/>
      <c r="J983" s="127"/>
      <c r="K983" s="126"/>
      <c r="L983" s="392"/>
      <c r="M983" s="124">
        <f>SUM(M984:M985)</f>
        <v>0</v>
      </c>
      <c r="N983" s="126">
        <f>SUM(N984:N985)</f>
        <v>0</v>
      </c>
      <c r="O983" s="443" t="e">
        <f t="shared" si="120"/>
        <v>#DIV/0!</v>
      </c>
      <c r="P983" s="126"/>
      <c r="Q983" s="126"/>
      <c r="R983" s="352"/>
    </row>
    <row r="984" spans="1:18" ht="13.5" hidden="1" thickBot="1">
      <c r="A984" s="111"/>
      <c r="B984" s="115"/>
      <c r="C984" s="161"/>
      <c r="D984" s="65">
        <f>G984+J984+P984+M984</f>
        <v>0</v>
      </c>
      <c r="E984" s="65">
        <f t="shared" si="122"/>
        <v>0</v>
      </c>
      <c r="F984" s="452" t="e">
        <f t="shared" si="121"/>
        <v>#DIV/0!</v>
      </c>
      <c r="G984" s="79"/>
      <c r="H984" s="80"/>
      <c r="I984" s="265"/>
      <c r="J984" s="113"/>
      <c r="K984" s="80"/>
      <c r="L984" s="379"/>
      <c r="M984" s="79"/>
      <c r="N984" s="80"/>
      <c r="O984" s="426" t="e">
        <f t="shared" si="120"/>
        <v>#DIV/0!</v>
      </c>
      <c r="P984" s="80"/>
      <c r="Q984" s="80"/>
      <c r="R984" s="350"/>
    </row>
    <row r="985" spans="1:18" ht="24.75" hidden="1" thickBot="1">
      <c r="A985" s="111">
        <v>4417</v>
      </c>
      <c r="B985" s="115" t="s">
        <v>463</v>
      </c>
      <c r="C985" s="161"/>
      <c r="D985" s="65">
        <f>G985+J985+P985+M985</f>
        <v>0</v>
      </c>
      <c r="E985" s="65">
        <f t="shared" si="122"/>
        <v>0</v>
      </c>
      <c r="F985" s="452" t="e">
        <f t="shared" si="121"/>
        <v>#DIV/0!</v>
      </c>
      <c r="G985" s="79"/>
      <c r="H985" s="80"/>
      <c r="I985" s="265"/>
      <c r="J985" s="113"/>
      <c r="K985" s="80"/>
      <c r="L985" s="379"/>
      <c r="M985" s="79"/>
      <c r="N985" s="80"/>
      <c r="O985" s="426" t="e">
        <f t="shared" si="120"/>
        <v>#DIV/0!</v>
      </c>
      <c r="P985" s="80"/>
      <c r="Q985" s="80"/>
      <c r="R985" s="350"/>
    </row>
    <row r="986" spans="1:18" s="130" customFormat="1" ht="24.75" hidden="1" thickBot="1">
      <c r="A986" s="122"/>
      <c r="B986" s="123" t="s">
        <v>351</v>
      </c>
      <c r="C986" s="124"/>
      <c r="D986" s="126">
        <f t="shared" si="116"/>
        <v>0</v>
      </c>
      <c r="E986" s="126">
        <f t="shared" si="122"/>
        <v>0</v>
      </c>
      <c r="F986" s="475" t="e">
        <f t="shared" si="121"/>
        <v>#DIV/0!</v>
      </c>
      <c r="G986" s="124">
        <f>SUM(G987:G989)</f>
        <v>0</v>
      </c>
      <c r="H986" s="126">
        <f>SUM(H987:H989)</f>
        <v>0</v>
      </c>
      <c r="I986" s="265" t="e">
        <f t="shared" si="117"/>
        <v>#DIV/0!</v>
      </c>
      <c r="J986" s="127"/>
      <c r="K986" s="126"/>
      <c r="L986" s="392"/>
      <c r="M986" s="124"/>
      <c r="N986" s="126"/>
      <c r="O986" s="443"/>
      <c r="P986" s="126"/>
      <c r="Q986" s="126"/>
      <c r="R986" s="352"/>
    </row>
    <row r="987" spans="1:18" ht="24.75" hidden="1" thickBot="1">
      <c r="A987" s="111">
        <v>4217</v>
      </c>
      <c r="B987" s="115" t="s">
        <v>481</v>
      </c>
      <c r="C987" s="161"/>
      <c r="D987" s="65">
        <f t="shared" si="116"/>
        <v>0</v>
      </c>
      <c r="E987" s="65">
        <f t="shared" si="122"/>
        <v>0</v>
      </c>
      <c r="F987" s="475" t="e">
        <f t="shared" si="121"/>
        <v>#DIV/0!</v>
      </c>
      <c r="G987" s="79"/>
      <c r="H987" s="80"/>
      <c r="I987" s="452" t="e">
        <f t="shared" si="117"/>
        <v>#DIV/0!</v>
      </c>
      <c r="J987" s="113"/>
      <c r="K987" s="80"/>
      <c r="L987" s="379"/>
      <c r="M987" s="79"/>
      <c r="N987" s="80"/>
      <c r="O987" s="426"/>
      <c r="P987" s="80"/>
      <c r="Q987" s="80"/>
      <c r="R987" s="350"/>
    </row>
    <row r="988" spans="1:18" ht="24.75" hidden="1" thickBot="1">
      <c r="A988" s="111">
        <v>4307</v>
      </c>
      <c r="B988" s="115" t="s">
        <v>489</v>
      </c>
      <c r="C988" s="161"/>
      <c r="D988" s="65">
        <f t="shared" si="116"/>
        <v>0</v>
      </c>
      <c r="E988" s="65">
        <f t="shared" si="122"/>
        <v>0</v>
      </c>
      <c r="F988" s="475" t="e">
        <f t="shared" si="121"/>
        <v>#DIV/0!</v>
      </c>
      <c r="G988" s="79"/>
      <c r="H988" s="80"/>
      <c r="I988" s="265" t="e">
        <f t="shared" si="117"/>
        <v>#DIV/0!</v>
      </c>
      <c r="J988" s="113"/>
      <c r="K988" s="80"/>
      <c r="L988" s="379"/>
      <c r="M988" s="79"/>
      <c r="N988" s="80"/>
      <c r="O988" s="426"/>
      <c r="P988" s="80"/>
      <c r="Q988" s="80"/>
      <c r="R988" s="350"/>
    </row>
    <row r="989" spans="1:18" ht="60.75" hidden="1" thickBot="1">
      <c r="A989" s="111">
        <v>4747</v>
      </c>
      <c r="B989" s="326" t="s">
        <v>288</v>
      </c>
      <c r="C989" s="161"/>
      <c r="D989" s="65">
        <f t="shared" si="116"/>
        <v>0</v>
      </c>
      <c r="E989" s="65">
        <f t="shared" si="122"/>
        <v>0</v>
      </c>
      <c r="F989" s="475" t="e">
        <f t="shared" si="121"/>
        <v>#DIV/0!</v>
      </c>
      <c r="G989" s="79"/>
      <c r="H989" s="80"/>
      <c r="I989" s="265" t="e">
        <f t="shared" si="117"/>
        <v>#DIV/0!</v>
      </c>
      <c r="J989" s="113"/>
      <c r="K989" s="80"/>
      <c r="L989" s="379"/>
      <c r="M989" s="79"/>
      <c r="N989" s="80"/>
      <c r="O989" s="426"/>
      <c r="P989" s="80"/>
      <c r="Q989" s="80"/>
      <c r="R989" s="350"/>
    </row>
    <row r="990" spans="1:18" s="130" customFormat="1" ht="13.5" customHeight="1" hidden="1">
      <c r="A990" s="122"/>
      <c r="B990" s="123" t="s">
        <v>148</v>
      </c>
      <c r="C990" s="124"/>
      <c r="D990" s="126">
        <f t="shared" si="116"/>
        <v>0</v>
      </c>
      <c r="E990" s="126">
        <f t="shared" si="122"/>
        <v>0</v>
      </c>
      <c r="F990" s="511" t="e">
        <f t="shared" si="121"/>
        <v>#DIV/0!</v>
      </c>
      <c r="G990" s="124">
        <f>SUM(G991:G996)</f>
        <v>0</v>
      </c>
      <c r="H990" s="126">
        <f>SUM(H991:H996)</f>
        <v>0</v>
      </c>
      <c r="I990" s="374" t="e">
        <f t="shared" si="117"/>
        <v>#DIV/0!</v>
      </c>
      <c r="J990" s="127"/>
      <c r="K990" s="126"/>
      <c r="L990" s="392"/>
      <c r="M990" s="124"/>
      <c r="N990" s="126"/>
      <c r="O990" s="443"/>
      <c r="P990" s="126"/>
      <c r="Q990" s="126"/>
      <c r="R990" s="352"/>
    </row>
    <row r="991" spans="1:18" ht="24.75" hidden="1" thickBot="1">
      <c r="A991" s="111">
        <v>4177</v>
      </c>
      <c r="B991" s="115" t="s">
        <v>511</v>
      </c>
      <c r="C991" s="161"/>
      <c r="D991" s="65">
        <f t="shared" si="116"/>
        <v>0</v>
      </c>
      <c r="E991" s="65">
        <f t="shared" si="122"/>
        <v>0</v>
      </c>
      <c r="F991" s="475" t="e">
        <f t="shared" si="121"/>
        <v>#DIV/0!</v>
      </c>
      <c r="G991" s="79"/>
      <c r="H991" s="80"/>
      <c r="I991" s="265" t="e">
        <f t="shared" si="117"/>
        <v>#DIV/0!</v>
      </c>
      <c r="J991" s="113"/>
      <c r="K991" s="80"/>
      <c r="L991" s="379"/>
      <c r="M991" s="79"/>
      <c r="N991" s="80"/>
      <c r="O991" s="426"/>
      <c r="P991" s="80"/>
      <c r="Q991" s="80"/>
      <c r="R991" s="350"/>
    </row>
    <row r="992" spans="1:18" ht="24.75" hidden="1" thickBot="1">
      <c r="A992" s="111">
        <v>4217</v>
      </c>
      <c r="B992" s="115" t="s">
        <v>481</v>
      </c>
      <c r="C992" s="161"/>
      <c r="D992" s="65">
        <f t="shared" si="116"/>
        <v>0</v>
      </c>
      <c r="E992" s="65">
        <f t="shared" si="122"/>
        <v>0</v>
      </c>
      <c r="F992" s="475" t="e">
        <f t="shared" si="121"/>
        <v>#DIV/0!</v>
      </c>
      <c r="G992" s="79"/>
      <c r="H992" s="80"/>
      <c r="I992" s="265" t="e">
        <f t="shared" si="117"/>
        <v>#DIV/0!</v>
      </c>
      <c r="J992" s="113"/>
      <c r="K992" s="80"/>
      <c r="L992" s="379"/>
      <c r="M992" s="79"/>
      <c r="N992" s="80"/>
      <c r="O992" s="426"/>
      <c r="P992" s="80"/>
      <c r="Q992" s="80"/>
      <c r="R992" s="350"/>
    </row>
    <row r="993" spans="1:18" ht="24.75" hidden="1" thickBot="1">
      <c r="A993" s="111">
        <v>4307</v>
      </c>
      <c r="B993" s="276" t="s">
        <v>489</v>
      </c>
      <c r="C993" s="161"/>
      <c r="D993" s="65">
        <f t="shared" si="116"/>
        <v>0</v>
      </c>
      <c r="E993" s="65">
        <f t="shared" si="122"/>
        <v>0</v>
      </c>
      <c r="F993" s="475" t="e">
        <f t="shared" si="121"/>
        <v>#DIV/0!</v>
      </c>
      <c r="G993" s="79"/>
      <c r="H993" s="80"/>
      <c r="I993" s="265" t="e">
        <f aca="true" t="shared" si="123" ref="I993:I1004">H993/G993*100</f>
        <v>#DIV/0!</v>
      </c>
      <c r="J993" s="113"/>
      <c r="K993" s="80"/>
      <c r="L993" s="379"/>
      <c r="M993" s="79"/>
      <c r="N993" s="80"/>
      <c r="O993" s="426"/>
      <c r="P993" s="80"/>
      <c r="Q993" s="80"/>
      <c r="R993" s="350"/>
    </row>
    <row r="994" spans="1:18" ht="13.5" hidden="1" thickBot="1">
      <c r="A994" s="111">
        <v>4437</v>
      </c>
      <c r="B994" s="193" t="s">
        <v>491</v>
      </c>
      <c r="C994" s="161"/>
      <c r="D994" s="65">
        <f t="shared" si="116"/>
        <v>0</v>
      </c>
      <c r="E994" s="65">
        <f t="shared" si="122"/>
        <v>0</v>
      </c>
      <c r="F994" s="475" t="e">
        <f t="shared" si="121"/>
        <v>#DIV/0!</v>
      </c>
      <c r="G994" s="79"/>
      <c r="H994" s="80"/>
      <c r="I994" s="265" t="e">
        <f t="shared" si="123"/>
        <v>#DIV/0!</v>
      </c>
      <c r="J994" s="113"/>
      <c r="K994" s="80"/>
      <c r="L994" s="379"/>
      <c r="M994" s="79"/>
      <c r="N994" s="80"/>
      <c r="O994" s="426"/>
      <c r="P994" s="80"/>
      <c r="Q994" s="80"/>
      <c r="R994" s="350"/>
    </row>
    <row r="995" spans="1:18" ht="60.75" hidden="1" thickBot="1">
      <c r="A995" s="111">
        <v>4747</v>
      </c>
      <c r="B995" s="326" t="s">
        <v>288</v>
      </c>
      <c r="C995" s="161"/>
      <c r="D995" s="65">
        <f t="shared" si="116"/>
        <v>0</v>
      </c>
      <c r="E995" s="65">
        <f t="shared" si="122"/>
        <v>0</v>
      </c>
      <c r="F995" s="475" t="e">
        <f t="shared" si="121"/>
        <v>#DIV/0!</v>
      </c>
      <c r="G995" s="79"/>
      <c r="H995" s="80"/>
      <c r="I995" s="265" t="e">
        <f t="shared" si="123"/>
        <v>#DIV/0!</v>
      </c>
      <c r="J995" s="113"/>
      <c r="K995" s="80"/>
      <c r="L995" s="379"/>
      <c r="M995" s="79"/>
      <c r="N995" s="80"/>
      <c r="O995" s="426"/>
      <c r="P995" s="80"/>
      <c r="Q995" s="80"/>
      <c r="R995" s="350"/>
    </row>
    <row r="996" spans="1:18" ht="36.75" hidden="1" thickBot="1">
      <c r="A996" s="111">
        <v>4757</v>
      </c>
      <c r="B996" s="326" t="s">
        <v>289</v>
      </c>
      <c r="C996" s="161"/>
      <c r="D996" s="65">
        <f t="shared" si="116"/>
        <v>0</v>
      </c>
      <c r="E996" s="65">
        <f t="shared" si="122"/>
        <v>0</v>
      </c>
      <c r="F996" s="475" t="e">
        <f t="shared" si="121"/>
        <v>#DIV/0!</v>
      </c>
      <c r="G996" s="79"/>
      <c r="H996" s="80"/>
      <c r="I996" s="265" t="e">
        <f t="shared" si="123"/>
        <v>#DIV/0!</v>
      </c>
      <c r="J996" s="113"/>
      <c r="K996" s="80"/>
      <c r="L996" s="379"/>
      <c r="M996" s="79"/>
      <c r="N996" s="80"/>
      <c r="O996" s="426"/>
      <c r="P996" s="80"/>
      <c r="Q996" s="80"/>
      <c r="R996" s="350"/>
    </row>
    <row r="997" spans="1:18" ht="27" customHeight="1" thickBot="1" thickTop="1">
      <c r="A997" s="101">
        <v>803</v>
      </c>
      <c r="B997" s="102" t="s">
        <v>39</v>
      </c>
      <c r="C997" s="120">
        <f>SUM(C998)+C1009</f>
        <v>15000</v>
      </c>
      <c r="D997" s="51">
        <f t="shared" si="116"/>
        <v>523000</v>
      </c>
      <c r="E997" s="51">
        <f>E998+E1009</f>
        <v>12000</v>
      </c>
      <c r="F997" s="507">
        <f t="shared" si="121"/>
        <v>2.294455066921606</v>
      </c>
      <c r="G997" s="103">
        <f>G998+G1009</f>
        <v>523000</v>
      </c>
      <c r="H997" s="98">
        <f>H998+H1009</f>
        <v>12000</v>
      </c>
      <c r="I997" s="405">
        <f t="shared" si="123"/>
        <v>2.294455066921606</v>
      </c>
      <c r="J997" s="104"/>
      <c r="K997" s="98"/>
      <c r="L997" s="407"/>
      <c r="M997" s="103"/>
      <c r="N997" s="98"/>
      <c r="O997" s="378"/>
      <c r="P997" s="98"/>
      <c r="Q997" s="98"/>
      <c r="R997" s="361"/>
    </row>
    <row r="998" spans="1:18" ht="23.25" customHeight="1" thickTop="1">
      <c r="A998" s="240">
        <v>80309</v>
      </c>
      <c r="B998" s="241" t="s">
        <v>244</v>
      </c>
      <c r="C998" s="202">
        <f>SUM(C1000:C1001)</f>
        <v>10000</v>
      </c>
      <c r="D998" s="58">
        <f t="shared" si="116"/>
        <v>18000</v>
      </c>
      <c r="E998" s="58">
        <f>H998+K998+Q998+N998</f>
        <v>12000</v>
      </c>
      <c r="F998" s="508">
        <f t="shared" si="121"/>
        <v>66.66666666666666</v>
      </c>
      <c r="G998" s="242">
        <f>SUM(G999:G1001)</f>
        <v>18000</v>
      </c>
      <c r="H998" s="173">
        <f>SUM(H999:H1001)</f>
        <v>12000</v>
      </c>
      <c r="I998" s="370">
        <f t="shared" si="123"/>
        <v>66.66666666666666</v>
      </c>
      <c r="J998" s="254"/>
      <c r="K998" s="173"/>
      <c r="L998" s="408"/>
      <c r="M998" s="242"/>
      <c r="N998" s="173"/>
      <c r="O998" s="401"/>
      <c r="P998" s="173"/>
      <c r="Q998" s="173"/>
      <c r="R998" s="368"/>
    </row>
    <row r="999" spans="1:18" s="12" customFormat="1" ht="36">
      <c r="A999" s="159">
        <v>2520</v>
      </c>
      <c r="B999" s="193" t="s">
        <v>361</v>
      </c>
      <c r="C999" s="161"/>
      <c r="D999" s="94">
        <f t="shared" si="116"/>
        <v>18000</v>
      </c>
      <c r="E999" s="94">
        <f>SUM(H999+K999+N999+Q999)</f>
        <v>12000</v>
      </c>
      <c r="F999" s="509">
        <f>E999/D999*100</f>
        <v>66.66666666666666</v>
      </c>
      <c r="G999" s="161">
        <f>10000+8000</f>
        <v>18000</v>
      </c>
      <c r="H999" s="65">
        <v>12000</v>
      </c>
      <c r="I999" s="346">
        <f t="shared" si="123"/>
        <v>66.66666666666666</v>
      </c>
      <c r="J999" s="162"/>
      <c r="K999" s="65"/>
      <c r="L999" s="379"/>
      <c r="M999" s="161"/>
      <c r="N999" s="65"/>
      <c r="O999" s="356"/>
      <c r="P999" s="65"/>
      <c r="Q999" s="65"/>
      <c r="R999" s="350"/>
    </row>
    <row r="1000" spans="1:18" ht="12.75">
      <c r="A1000" s="111">
        <v>3250</v>
      </c>
      <c r="B1000" s="115" t="s">
        <v>299</v>
      </c>
      <c r="C1000" s="161">
        <v>10000</v>
      </c>
      <c r="D1000" s="65">
        <f t="shared" si="116"/>
        <v>0</v>
      </c>
      <c r="E1000" s="65">
        <f aca="true" t="shared" si="124" ref="E1000:E1008">SUM(H1000+K1000+N1000+Q1000)</f>
        <v>0</v>
      </c>
      <c r="F1000" s="475"/>
      <c r="G1000" s="79"/>
      <c r="H1000" s="80"/>
      <c r="I1000" s="265"/>
      <c r="J1000" s="113"/>
      <c r="K1000" s="80"/>
      <c r="L1000" s="379"/>
      <c r="M1000" s="79"/>
      <c r="N1000" s="80"/>
      <c r="O1000" s="356"/>
      <c r="P1000" s="80"/>
      <c r="Q1000" s="80"/>
      <c r="R1000" s="350"/>
    </row>
    <row r="1001" spans="1:18" s="130" customFormat="1" ht="48" hidden="1">
      <c r="A1001" s="122"/>
      <c r="B1001" s="123" t="s">
        <v>300</v>
      </c>
      <c r="C1001" s="124">
        <f>SUM(C1002:C1008)</f>
        <v>0</v>
      </c>
      <c r="D1001" s="126">
        <f t="shared" si="116"/>
        <v>0</v>
      </c>
      <c r="E1001" s="126">
        <f t="shared" si="124"/>
        <v>0</v>
      </c>
      <c r="F1001" s="475" t="e">
        <f t="shared" si="121"/>
        <v>#DIV/0!</v>
      </c>
      <c r="G1001" s="124">
        <f>SUM(G1002:G1008)</f>
        <v>0</v>
      </c>
      <c r="H1001" s="126">
        <f>SUM(H1002:H1008)</f>
        <v>0</v>
      </c>
      <c r="I1001" s="265" t="e">
        <f t="shared" si="123"/>
        <v>#DIV/0!</v>
      </c>
      <c r="J1001" s="127"/>
      <c r="K1001" s="126"/>
      <c r="L1001" s="392"/>
      <c r="M1001" s="124"/>
      <c r="N1001" s="126"/>
      <c r="O1001" s="388"/>
      <c r="P1001" s="126"/>
      <c r="Q1001" s="126"/>
      <c r="R1001" s="352"/>
    </row>
    <row r="1002" spans="1:18" ht="24" hidden="1">
      <c r="A1002" s="111">
        <v>3218</v>
      </c>
      <c r="B1002" s="115" t="s">
        <v>40</v>
      </c>
      <c r="C1002" s="161"/>
      <c r="D1002" s="65">
        <f t="shared" si="116"/>
        <v>0</v>
      </c>
      <c r="E1002" s="65">
        <f t="shared" si="124"/>
        <v>0</v>
      </c>
      <c r="F1002" s="475" t="e">
        <f t="shared" si="121"/>
        <v>#DIV/0!</v>
      </c>
      <c r="G1002" s="79"/>
      <c r="H1002" s="80"/>
      <c r="I1002" s="452" t="e">
        <f t="shared" si="123"/>
        <v>#DIV/0!</v>
      </c>
      <c r="J1002" s="113"/>
      <c r="K1002" s="80"/>
      <c r="L1002" s="379"/>
      <c r="M1002" s="79"/>
      <c r="N1002" s="80"/>
      <c r="O1002" s="356"/>
      <c r="P1002" s="80"/>
      <c r="Q1002" s="80"/>
      <c r="R1002" s="350"/>
    </row>
    <row r="1003" spans="1:18" ht="24" hidden="1">
      <c r="A1003" s="111">
        <v>3219</v>
      </c>
      <c r="B1003" s="115" t="s">
        <v>40</v>
      </c>
      <c r="C1003" s="161"/>
      <c r="D1003" s="65">
        <f t="shared" si="116"/>
        <v>0</v>
      </c>
      <c r="E1003" s="65">
        <f t="shared" si="124"/>
        <v>0</v>
      </c>
      <c r="F1003" s="475" t="e">
        <f t="shared" si="121"/>
        <v>#DIV/0!</v>
      </c>
      <c r="G1003" s="79"/>
      <c r="H1003" s="80"/>
      <c r="I1003" s="452" t="e">
        <f t="shared" si="123"/>
        <v>#DIV/0!</v>
      </c>
      <c r="J1003" s="113"/>
      <c r="K1003" s="80"/>
      <c r="L1003" s="379"/>
      <c r="M1003" s="79"/>
      <c r="N1003" s="80"/>
      <c r="O1003" s="356"/>
      <c r="P1003" s="80"/>
      <c r="Q1003" s="80"/>
      <c r="R1003" s="350"/>
    </row>
    <row r="1004" spans="1:18" ht="24" hidden="1">
      <c r="A1004" s="111">
        <v>3210</v>
      </c>
      <c r="B1004" s="115" t="s">
        <v>40</v>
      </c>
      <c r="C1004" s="161"/>
      <c r="D1004" s="65">
        <f>G1004+J1004+P1004+M1004</f>
        <v>0</v>
      </c>
      <c r="E1004" s="65">
        <f>SUM(H1004+K1004+N1004+Q1004)</f>
        <v>0</v>
      </c>
      <c r="F1004" s="475" t="e">
        <f t="shared" si="121"/>
        <v>#DIV/0!</v>
      </c>
      <c r="G1004" s="79"/>
      <c r="H1004" s="80"/>
      <c r="I1004" s="452" t="e">
        <f t="shared" si="123"/>
        <v>#DIV/0!</v>
      </c>
      <c r="J1004" s="113"/>
      <c r="K1004" s="80"/>
      <c r="L1004" s="379"/>
      <c r="M1004" s="79"/>
      <c r="N1004" s="80"/>
      <c r="O1004" s="356"/>
      <c r="P1004" s="80"/>
      <c r="Q1004" s="80"/>
      <c r="R1004" s="350"/>
    </row>
    <row r="1005" spans="1:18" ht="24" hidden="1">
      <c r="A1005" s="111">
        <v>4218</v>
      </c>
      <c r="B1005" s="262" t="s">
        <v>481</v>
      </c>
      <c r="C1005" s="161"/>
      <c r="D1005" s="65">
        <f aca="true" t="shared" si="125" ref="D1005:D1014">G1005+J1005+P1005+M1005</f>
        <v>0</v>
      </c>
      <c r="E1005" s="65">
        <f t="shared" si="124"/>
        <v>0</v>
      </c>
      <c r="F1005" s="475" t="e">
        <f t="shared" si="121"/>
        <v>#DIV/0!</v>
      </c>
      <c r="G1005" s="79"/>
      <c r="H1005" s="80"/>
      <c r="I1005" s="452" t="e">
        <f>H1005/G1005*100</f>
        <v>#DIV/0!</v>
      </c>
      <c r="J1005" s="113"/>
      <c r="K1005" s="80"/>
      <c r="L1005" s="379"/>
      <c r="M1005" s="79"/>
      <c r="N1005" s="80"/>
      <c r="O1005" s="356"/>
      <c r="P1005" s="80"/>
      <c r="Q1005" s="80"/>
      <c r="R1005" s="350"/>
    </row>
    <row r="1006" spans="1:18" ht="24" hidden="1">
      <c r="A1006" s="111">
        <v>4219</v>
      </c>
      <c r="B1006" s="262" t="s">
        <v>481</v>
      </c>
      <c r="C1006" s="161"/>
      <c r="D1006" s="65">
        <f t="shared" si="125"/>
        <v>0</v>
      </c>
      <c r="E1006" s="65">
        <f t="shared" si="124"/>
        <v>0</v>
      </c>
      <c r="F1006" s="475" t="e">
        <f t="shared" si="121"/>
        <v>#DIV/0!</v>
      </c>
      <c r="G1006" s="79"/>
      <c r="H1006" s="80"/>
      <c r="I1006" s="452" t="e">
        <f>H1006/G1006*100</f>
        <v>#DIV/0!</v>
      </c>
      <c r="J1006" s="113"/>
      <c r="K1006" s="80"/>
      <c r="L1006" s="379"/>
      <c r="M1006" s="79"/>
      <c r="N1006" s="80"/>
      <c r="O1006" s="356"/>
      <c r="P1006" s="80"/>
      <c r="Q1006" s="80"/>
      <c r="R1006" s="350"/>
    </row>
    <row r="1007" spans="1:18" ht="24" hidden="1">
      <c r="A1007" s="111">
        <v>4308</v>
      </c>
      <c r="B1007" s="115" t="s">
        <v>489</v>
      </c>
      <c r="C1007" s="161"/>
      <c r="D1007" s="65">
        <f t="shared" si="125"/>
        <v>0</v>
      </c>
      <c r="E1007" s="65">
        <f t="shared" si="124"/>
        <v>0</v>
      </c>
      <c r="F1007" s="475"/>
      <c r="G1007" s="79"/>
      <c r="H1007" s="80"/>
      <c r="I1007" s="265"/>
      <c r="J1007" s="113"/>
      <c r="K1007" s="80"/>
      <c r="L1007" s="379"/>
      <c r="M1007" s="79"/>
      <c r="N1007" s="80"/>
      <c r="O1007" s="356"/>
      <c r="P1007" s="80"/>
      <c r="Q1007" s="80"/>
      <c r="R1007" s="350"/>
    </row>
    <row r="1008" spans="1:18" ht="24" hidden="1">
      <c r="A1008" s="111">
        <v>4309</v>
      </c>
      <c r="B1008" s="115" t="s">
        <v>489</v>
      </c>
      <c r="C1008" s="163"/>
      <c r="D1008" s="65">
        <f t="shared" si="125"/>
        <v>0</v>
      </c>
      <c r="E1008" s="65">
        <f t="shared" si="124"/>
        <v>0</v>
      </c>
      <c r="F1008" s="475"/>
      <c r="G1008" s="147"/>
      <c r="H1008" s="142"/>
      <c r="I1008" s="265"/>
      <c r="J1008" s="149"/>
      <c r="K1008" s="142"/>
      <c r="L1008" s="404"/>
      <c r="M1008" s="147"/>
      <c r="N1008" s="142"/>
      <c r="O1008" s="375"/>
      <c r="P1008" s="142"/>
      <c r="Q1008" s="142"/>
      <c r="R1008" s="354"/>
    </row>
    <row r="1009" spans="1:18" ht="17.25" customHeight="1">
      <c r="A1009" s="137">
        <v>80395</v>
      </c>
      <c r="B1009" s="174" t="s">
        <v>504</v>
      </c>
      <c r="C1009" s="85">
        <f>C1010+C1013</f>
        <v>5000</v>
      </c>
      <c r="D1009" s="86">
        <f t="shared" si="125"/>
        <v>505000</v>
      </c>
      <c r="E1009" s="86">
        <f>SUM(E1010:E1013)</f>
        <v>0</v>
      </c>
      <c r="F1009" s="432">
        <f aca="true" t="shared" si="126" ref="F1009:F1019">E1009/D1009*100</f>
        <v>0</v>
      </c>
      <c r="G1009" s="85">
        <f>SUM(G1010:G1013)</f>
        <v>505000</v>
      </c>
      <c r="H1009" s="86">
        <f>SUM(H1010:H1013)</f>
        <v>0</v>
      </c>
      <c r="I1009" s="432">
        <f aca="true" t="shared" si="127" ref="I1009:I1019">H1009/G1009*100</f>
        <v>0</v>
      </c>
      <c r="J1009" s="135"/>
      <c r="K1009" s="136"/>
      <c r="L1009" s="395"/>
      <c r="M1009" s="133"/>
      <c r="N1009" s="136"/>
      <c r="O1009" s="369"/>
      <c r="P1009" s="136"/>
      <c r="Q1009" s="136"/>
      <c r="R1009" s="360"/>
    </row>
    <row r="1010" spans="1:18" ht="40.5" customHeight="1">
      <c r="A1010" s="99">
        <v>3040</v>
      </c>
      <c r="B1010" s="182" t="s">
        <v>41</v>
      </c>
      <c r="C1010" s="93">
        <v>5000</v>
      </c>
      <c r="D1010" s="94">
        <f t="shared" si="125"/>
        <v>5000</v>
      </c>
      <c r="E1010" s="94">
        <f>SUM(H1010+K1010+N1010+Q1010)</f>
        <v>0</v>
      </c>
      <c r="F1010" s="509">
        <f t="shared" si="126"/>
        <v>0</v>
      </c>
      <c r="G1010" s="81">
        <v>5000</v>
      </c>
      <c r="H1010" s="95"/>
      <c r="I1010" s="454">
        <f t="shared" si="127"/>
        <v>0</v>
      </c>
      <c r="J1010" s="187"/>
      <c r="K1010" s="95"/>
      <c r="L1010" s="403"/>
      <c r="M1010" s="81"/>
      <c r="N1010" s="95"/>
      <c r="O1010" s="289"/>
      <c r="P1010" s="95"/>
      <c r="Q1010" s="95"/>
      <c r="R1010" s="353"/>
    </row>
    <row r="1011" spans="1:18" ht="40.5" customHeight="1" hidden="1">
      <c r="A1011" s="111">
        <v>2520</v>
      </c>
      <c r="B1011" s="193" t="s">
        <v>361</v>
      </c>
      <c r="C1011" s="161"/>
      <c r="D1011" s="65">
        <f>G1011+J1011+P1011+M1011</f>
        <v>0</v>
      </c>
      <c r="E1011" s="65">
        <f>SUM(H1011+K1011+N1011+Q1011)</f>
        <v>0</v>
      </c>
      <c r="F1011" s="475" t="e">
        <f>E1011/D1011*100</f>
        <v>#DIV/0!</v>
      </c>
      <c r="G1011" s="79"/>
      <c r="H1011" s="80"/>
      <c r="I1011" s="452" t="e">
        <f t="shared" si="127"/>
        <v>#DIV/0!</v>
      </c>
      <c r="J1011" s="113"/>
      <c r="K1011" s="80"/>
      <c r="L1011" s="379"/>
      <c r="M1011" s="79"/>
      <c r="N1011" s="80"/>
      <c r="O1011" s="211"/>
      <c r="P1011" s="80"/>
      <c r="Q1011" s="80"/>
      <c r="R1011" s="350"/>
    </row>
    <row r="1012" spans="1:18" ht="48.75" thickBot="1">
      <c r="A1012" s="111">
        <v>6010</v>
      </c>
      <c r="B1012" s="115" t="s">
        <v>128</v>
      </c>
      <c r="C1012" s="161"/>
      <c r="D1012" s="65">
        <f>G1012+J1012+P1012+M1012</f>
        <v>500000</v>
      </c>
      <c r="E1012" s="65">
        <f>SUM(H1012+K1012+N1012+Q1012)</f>
        <v>0</v>
      </c>
      <c r="F1012" s="475">
        <f>E1012/D1012*100</f>
        <v>0</v>
      </c>
      <c r="G1012" s="79">
        <v>500000</v>
      </c>
      <c r="H1012" s="80"/>
      <c r="I1012" s="452">
        <f t="shared" si="127"/>
        <v>0</v>
      </c>
      <c r="J1012" s="113"/>
      <c r="K1012" s="80"/>
      <c r="L1012" s="379"/>
      <c r="M1012" s="79"/>
      <c r="N1012" s="80"/>
      <c r="O1012" s="211"/>
      <c r="P1012" s="80"/>
      <c r="Q1012" s="80"/>
      <c r="R1012" s="350"/>
    </row>
    <row r="1013" spans="1:18" ht="96.75" hidden="1" thickBot="1">
      <c r="A1013" s="111">
        <v>6220</v>
      </c>
      <c r="B1013" s="193" t="s">
        <v>413</v>
      </c>
      <c r="C1013" s="161"/>
      <c r="D1013" s="65">
        <f t="shared" si="125"/>
        <v>0</v>
      </c>
      <c r="E1013" s="65">
        <f>SUM(H1013+K1013+N1013+Q1013)</f>
        <v>0</v>
      </c>
      <c r="F1013" s="475" t="e">
        <f t="shared" si="126"/>
        <v>#DIV/0!</v>
      </c>
      <c r="G1013" s="79">
        <f>271500-271500</f>
        <v>0</v>
      </c>
      <c r="H1013" s="80"/>
      <c r="I1013" s="452" t="e">
        <f t="shared" si="127"/>
        <v>#DIV/0!</v>
      </c>
      <c r="J1013" s="113"/>
      <c r="K1013" s="80"/>
      <c r="L1013" s="379"/>
      <c r="M1013" s="79"/>
      <c r="N1013" s="80"/>
      <c r="O1013" s="211"/>
      <c r="P1013" s="80"/>
      <c r="Q1013" s="80"/>
      <c r="R1013" s="350"/>
    </row>
    <row r="1014" spans="1:18" s="105" customFormat="1" ht="17.25" customHeight="1" thickBot="1" thickTop="1">
      <c r="A1014" s="101">
        <v>851</v>
      </c>
      <c r="B1014" s="102" t="s">
        <v>42</v>
      </c>
      <c r="C1014" s="103">
        <f>C1018+C1022+C1030+C1049+C1051+C1067+C1015</f>
        <v>3279600</v>
      </c>
      <c r="D1014" s="51">
        <f t="shared" si="125"/>
        <v>4205631</v>
      </c>
      <c r="E1014" s="98">
        <f>H1014+K1014+Q1014+N1014</f>
        <v>2017063</v>
      </c>
      <c r="F1014" s="507">
        <f t="shared" si="126"/>
        <v>47.961007515875735</v>
      </c>
      <c r="G1014" s="103">
        <f>G1018+G1022+G1030+G1049+G1051+G1067+G1015</f>
        <v>4190631</v>
      </c>
      <c r="H1014" s="98">
        <f>H1018+H1022+H1030+H1049+H1051+H1067+H1015</f>
        <v>2013132</v>
      </c>
      <c r="I1014" s="405">
        <f t="shared" si="127"/>
        <v>48.03887529109578</v>
      </c>
      <c r="J1014" s="104"/>
      <c r="K1014" s="98"/>
      <c r="L1014" s="407"/>
      <c r="M1014" s="209"/>
      <c r="N1014" s="98"/>
      <c r="O1014" s="445"/>
      <c r="P1014" s="98">
        <f>P1018+P1022+P1030+P1049+P1051+P1067</f>
        <v>15000</v>
      </c>
      <c r="Q1014" s="98">
        <f>Q1018+Q1022+Q1030+Q1049+Q1051+Q1067</f>
        <v>3931</v>
      </c>
      <c r="R1014" s="343">
        <f>Q1014/P1014*100</f>
        <v>26.206666666666667</v>
      </c>
    </row>
    <row r="1015" spans="1:18" s="105" customFormat="1" ht="17.25" customHeight="1" hidden="1">
      <c r="A1015" s="240">
        <v>85111</v>
      </c>
      <c r="B1015" s="241" t="s">
        <v>43</v>
      </c>
      <c r="C1015" s="242">
        <f>SUM(C1016)</f>
        <v>0</v>
      </c>
      <c r="D1015" s="125">
        <f>G1015+J1015+M1015+P1015</f>
        <v>0</v>
      </c>
      <c r="E1015" s="496">
        <f>Q1015+N1015+K1015+H1015</f>
        <v>0</v>
      </c>
      <c r="F1015" s="481" t="e">
        <f t="shared" si="126"/>
        <v>#DIV/0!</v>
      </c>
      <c r="G1015" s="242">
        <f>SUM(G1016:G1017)</f>
        <v>0</v>
      </c>
      <c r="H1015" s="173">
        <f>SUM(H1016:H1017)</f>
        <v>0</v>
      </c>
      <c r="I1015" s="370" t="e">
        <f t="shared" si="127"/>
        <v>#DIV/0!</v>
      </c>
      <c r="J1015" s="254"/>
      <c r="K1015" s="173"/>
      <c r="L1015" s="408"/>
      <c r="M1015" s="242"/>
      <c r="N1015" s="173"/>
      <c r="O1015" s="401"/>
      <c r="P1015" s="173"/>
      <c r="Q1015" s="173"/>
      <c r="R1015" s="370"/>
    </row>
    <row r="1016" spans="1:18" s="12" customFormat="1" ht="60.75" hidden="1" thickTop="1">
      <c r="A1016" s="159">
        <v>2800</v>
      </c>
      <c r="B1016" s="193" t="s">
        <v>337</v>
      </c>
      <c r="C1016" s="161"/>
      <c r="D1016" s="94">
        <f>G1016+J1016+M1016+P1016</f>
        <v>0</v>
      </c>
      <c r="E1016" s="94">
        <f>Q1016+N1016+K1016+H1016</f>
        <v>0</v>
      </c>
      <c r="F1016" s="452" t="e">
        <f t="shared" si="126"/>
        <v>#DIV/0!</v>
      </c>
      <c r="G1016" s="161"/>
      <c r="H1016" s="65"/>
      <c r="I1016" s="452" t="e">
        <f t="shared" si="127"/>
        <v>#DIV/0!</v>
      </c>
      <c r="J1016" s="162"/>
      <c r="K1016" s="65"/>
      <c r="L1016" s="379"/>
      <c r="M1016" s="161"/>
      <c r="N1016" s="65"/>
      <c r="O1016" s="356"/>
      <c r="P1016" s="65"/>
      <c r="Q1016" s="65"/>
      <c r="R1016" s="265"/>
    </row>
    <row r="1017" spans="1:18" s="12" customFormat="1" ht="24.75" hidden="1" thickTop="1">
      <c r="A1017" s="159">
        <v>4300</v>
      </c>
      <c r="B1017" s="193" t="s">
        <v>489</v>
      </c>
      <c r="C1017" s="161"/>
      <c r="D1017" s="65">
        <f>G1017+J1017+M1017+P1017</f>
        <v>0</v>
      </c>
      <c r="E1017" s="65">
        <f>Q1017+N1017+K1017+H1017</f>
        <v>0</v>
      </c>
      <c r="F1017" s="452" t="e">
        <f t="shared" si="126"/>
        <v>#DIV/0!</v>
      </c>
      <c r="G1017" s="161"/>
      <c r="H1017" s="65"/>
      <c r="I1017" s="265" t="e">
        <f t="shared" si="127"/>
        <v>#DIV/0!</v>
      </c>
      <c r="J1017" s="162"/>
      <c r="K1017" s="65"/>
      <c r="L1017" s="379"/>
      <c r="M1017" s="161"/>
      <c r="N1017" s="65"/>
      <c r="O1017" s="356"/>
      <c r="P1017" s="65"/>
      <c r="Q1017" s="65"/>
      <c r="R1017" s="265"/>
    </row>
    <row r="1018" spans="1:18" ht="25.5" customHeight="1" thickTop="1">
      <c r="A1018" s="106">
        <v>85149</v>
      </c>
      <c r="B1018" s="172" t="s">
        <v>44</v>
      </c>
      <c r="C1018" s="73">
        <f>SUM(C1019:C1021)</f>
        <v>650000</v>
      </c>
      <c r="D1018" s="86">
        <f>G1018+J1018+P1018+M1018</f>
        <v>665000</v>
      </c>
      <c r="E1018" s="78">
        <f>SUM(E1019:E1021)</f>
        <v>119676</v>
      </c>
      <c r="F1018" s="506">
        <f t="shared" si="126"/>
        <v>17.99639097744361</v>
      </c>
      <c r="G1018" s="73">
        <f>SUM(G1019:G1021)</f>
        <v>665000</v>
      </c>
      <c r="H1018" s="78">
        <f>SUM(H1019:H1021)</f>
        <v>119676</v>
      </c>
      <c r="I1018" s="402">
        <f t="shared" si="127"/>
        <v>17.99639097744361</v>
      </c>
      <c r="J1018" s="143"/>
      <c r="K1018" s="78"/>
      <c r="L1018" s="256"/>
      <c r="M1018" s="73"/>
      <c r="N1018" s="78"/>
      <c r="O1018" s="389"/>
      <c r="P1018" s="78"/>
      <c r="Q1018" s="78"/>
      <c r="R1018" s="348"/>
    </row>
    <row r="1019" spans="1:18" ht="24">
      <c r="A1019" s="99">
        <v>4210</v>
      </c>
      <c r="B1019" s="272" t="s">
        <v>481</v>
      </c>
      <c r="C1019" s="81"/>
      <c r="D1019" s="94">
        <f>G1019+J1019+P1019+M1019</f>
        <v>5000</v>
      </c>
      <c r="E1019" s="95">
        <f>SUM(H1019+K1019+N1019+Q1019)</f>
        <v>1668</v>
      </c>
      <c r="F1019" s="509">
        <f t="shared" si="126"/>
        <v>33.36</v>
      </c>
      <c r="G1019" s="81">
        <f>800+4200</f>
        <v>5000</v>
      </c>
      <c r="H1019" s="95">
        <f>1667+1</f>
        <v>1668</v>
      </c>
      <c r="I1019" s="346">
        <f t="shared" si="127"/>
        <v>33.36</v>
      </c>
      <c r="J1019" s="187"/>
      <c r="K1019" s="95"/>
      <c r="L1019" s="403"/>
      <c r="M1019" s="81"/>
      <c r="N1019" s="95"/>
      <c r="O1019" s="376"/>
      <c r="P1019" s="95"/>
      <c r="Q1019" s="95"/>
      <c r="R1019" s="353"/>
    </row>
    <row r="1020" spans="1:18" ht="52.5" customHeight="1" hidden="1">
      <c r="A1020" s="111">
        <v>2570</v>
      </c>
      <c r="B1020" s="272" t="s">
        <v>46</v>
      </c>
      <c r="C1020" s="79"/>
      <c r="D1020" s="65">
        <f>G1020+J1020+P1020+M1020</f>
        <v>0</v>
      </c>
      <c r="E1020" s="80">
        <f>SUM(H1020+K1020+N1020+Q1020)</f>
        <v>0</v>
      </c>
      <c r="F1020" s="479"/>
      <c r="G1020" s="79"/>
      <c r="H1020" s="80"/>
      <c r="I1020" s="211"/>
      <c r="J1020" s="113"/>
      <c r="K1020" s="80"/>
      <c r="L1020" s="379"/>
      <c r="M1020" s="79"/>
      <c r="N1020" s="80"/>
      <c r="O1020" s="356"/>
      <c r="P1020" s="80"/>
      <c r="Q1020" s="80"/>
      <c r="R1020" s="350"/>
    </row>
    <row r="1021" spans="1:18" ht="16.5" customHeight="1">
      <c r="A1021" s="145">
        <v>4300</v>
      </c>
      <c r="B1021" s="263" t="s">
        <v>489</v>
      </c>
      <c r="C1021" s="147">
        <v>650000</v>
      </c>
      <c r="D1021" s="148">
        <f aca="true" t="shared" si="128" ref="D1021:D1054">G1021+J1021+P1021+M1021</f>
        <v>660000</v>
      </c>
      <c r="E1021" s="142">
        <f aca="true" t="shared" si="129" ref="E1021:E1029">SUM(H1021+K1021+N1021+Q1021)</f>
        <v>118008</v>
      </c>
      <c r="F1021" s="510">
        <f aca="true" t="shared" si="130" ref="F1021:F1085">E1021/D1021*100</f>
        <v>17.88</v>
      </c>
      <c r="G1021" s="147">
        <f>650000+15000-800-4200</f>
        <v>660000</v>
      </c>
      <c r="H1021" s="150">
        <v>118008</v>
      </c>
      <c r="I1021" s="312">
        <f>H1021/G1021*100</f>
        <v>17.88</v>
      </c>
      <c r="J1021" s="249"/>
      <c r="K1021" s="142"/>
      <c r="L1021" s="404"/>
      <c r="M1021" s="248"/>
      <c r="N1021" s="150"/>
      <c r="O1021" s="398"/>
      <c r="P1021" s="150"/>
      <c r="Q1021" s="150"/>
      <c r="R1021" s="366"/>
    </row>
    <row r="1022" spans="1:18" s="105" customFormat="1" ht="13.5" customHeight="1">
      <c r="A1022" s="106">
        <v>85153</v>
      </c>
      <c r="B1022" s="172" t="s">
        <v>47</v>
      </c>
      <c r="C1022" s="108">
        <f>SUM(C1023:C1029)</f>
        <v>150000</v>
      </c>
      <c r="D1022" s="86">
        <f t="shared" si="128"/>
        <v>150000</v>
      </c>
      <c r="E1022" s="75">
        <f t="shared" si="129"/>
        <v>82843</v>
      </c>
      <c r="F1022" s="506">
        <f t="shared" si="130"/>
        <v>55.22866666666667</v>
      </c>
      <c r="G1022" s="108">
        <f>SUM(G1023:G1029)</f>
        <v>150000</v>
      </c>
      <c r="H1022" s="75">
        <f>SUM(H1023:H1029)</f>
        <v>82843</v>
      </c>
      <c r="I1022" s="402">
        <f aca="true" t="shared" si="131" ref="I1022:I1075">H1022/G1022*100</f>
        <v>55.22866666666667</v>
      </c>
      <c r="J1022" s="110"/>
      <c r="K1022" s="75"/>
      <c r="L1022" s="406"/>
      <c r="M1022" s="108"/>
      <c r="N1022" s="75"/>
      <c r="O1022" s="369"/>
      <c r="P1022" s="75"/>
      <c r="Q1022" s="75"/>
      <c r="R1022" s="360"/>
    </row>
    <row r="1023" spans="1:18" ht="72" customHeight="1" hidden="1">
      <c r="A1023" s="237">
        <v>2620</v>
      </c>
      <c r="B1023" s="186" t="s">
        <v>51</v>
      </c>
      <c r="C1023" s="81"/>
      <c r="D1023" s="94">
        <f t="shared" si="128"/>
        <v>0</v>
      </c>
      <c r="E1023" s="95">
        <f t="shared" si="129"/>
        <v>0</v>
      </c>
      <c r="F1023" s="509" t="e">
        <f t="shared" si="130"/>
        <v>#DIV/0!</v>
      </c>
      <c r="G1023" s="81">
        <f>3000-3000</f>
        <v>0</v>
      </c>
      <c r="H1023" s="95">
        <f>3000-3000</f>
        <v>0</v>
      </c>
      <c r="I1023" s="346" t="e">
        <f t="shared" si="131"/>
        <v>#DIV/0!</v>
      </c>
      <c r="J1023" s="187"/>
      <c r="K1023" s="95"/>
      <c r="L1023" s="403"/>
      <c r="M1023" s="81"/>
      <c r="N1023" s="95"/>
      <c r="O1023" s="376"/>
      <c r="P1023" s="95"/>
      <c r="Q1023" s="95"/>
      <c r="R1023" s="353"/>
    </row>
    <row r="1024" spans="1:18" ht="72" hidden="1">
      <c r="A1024" s="111">
        <v>2570</v>
      </c>
      <c r="B1024" s="272" t="s">
        <v>52</v>
      </c>
      <c r="C1024" s="79"/>
      <c r="D1024" s="65">
        <f t="shared" si="128"/>
        <v>0</v>
      </c>
      <c r="E1024" s="80">
        <f t="shared" si="129"/>
        <v>0</v>
      </c>
      <c r="F1024" s="475" t="e">
        <f t="shared" si="130"/>
        <v>#DIV/0!</v>
      </c>
      <c r="G1024" s="79"/>
      <c r="H1024" s="80"/>
      <c r="I1024" s="265" t="e">
        <f t="shared" si="131"/>
        <v>#DIV/0!</v>
      </c>
      <c r="J1024" s="113"/>
      <c r="K1024" s="80"/>
      <c r="L1024" s="379"/>
      <c r="M1024" s="79"/>
      <c r="N1024" s="80"/>
      <c r="O1024" s="356"/>
      <c r="P1024" s="80"/>
      <c r="Q1024" s="80"/>
      <c r="R1024" s="350"/>
    </row>
    <row r="1025" spans="1:18" ht="61.5" customHeight="1">
      <c r="A1025" s="171">
        <v>2820</v>
      </c>
      <c r="B1025" s="115" t="s">
        <v>54</v>
      </c>
      <c r="C1025" s="79">
        <v>100000</v>
      </c>
      <c r="D1025" s="65">
        <f t="shared" si="128"/>
        <v>100000</v>
      </c>
      <c r="E1025" s="80">
        <f t="shared" si="129"/>
        <v>49015</v>
      </c>
      <c r="F1025" s="475">
        <f t="shared" si="130"/>
        <v>49.015</v>
      </c>
      <c r="G1025" s="79">
        <v>100000</v>
      </c>
      <c r="H1025" s="80">
        <v>49015</v>
      </c>
      <c r="I1025" s="452">
        <f t="shared" si="131"/>
        <v>49.015</v>
      </c>
      <c r="J1025" s="113"/>
      <c r="K1025" s="80"/>
      <c r="L1025" s="379"/>
      <c r="M1025" s="79"/>
      <c r="N1025" s="80"/>
      <c r="O1025" s="356"/>
      <c r="P1025" s="80"/>
      <c r="Q1025" s="80"/>
      <c r="R1025" s="350"/>
    </row>
    <row r="1026" spans="1:18" ht="36" hidden="1">
      <c r="A1026" s="111">
        <v>6060</v>
      </c>
      <c r="B1026" s="115" t="s">
        <v>8</v>
      </c>
      <c r="C1026" s="79"/>
      <c r="D1026" s="65">
        <f t="shared" si="128"/>
        <v>0</v>
      </c>
      <c r="E1026" s="80">
        <f t="shared" si="129"/>
        <v>0</v>
      </c>
      <c r="F1026" s="475" t="e">
        <f t="shared" si="130"/>
        <v>#DIV/0!</v>
      </c>
      <c r="G1026" s="79"/>
      <c r="H1026" s="80"/>
      <c r="I1026" s="452" t="e">
        <f t="shared" si="131"/>
        <v>#DIV/0!</v>
      </c>
      <c r="J1026" s="113"/>
      <c r="K1026" s="80"/>
      <c r="L1026" s="379"/>
      <c r="M1026" s="79"/>
      <c r="N1026" s="80"/>
      <c r="O1026" s="356"/>
      <c r="P1026" s="80"/>
      <c r="Q1026" s="80"/>
      <c r="R1026" s="350"/>
    </row>
    <row r="1027" spans="1:18" ht="24">
      <c r="A1027" s="111">
        <v>3000</v>
      </c>
      <c r="B1027" s="115" t="s">
        <v>644</v>
      </c>
      <c r="C1027" s="79">
        <v>15000</v>
      </c>
      <c r="D1027" s="65">
        <f t="shared" si="128"/>
        <v>15000</v>
      </c>
      <c r="E1027" s="80">
        <f t="shared" si="129"/>
        <v>15000</v>
      </c>
      <c r="F1027" s="475">
        <f t="shared" si="130"/>
        <v>100</v>
      </c>
      <c r="G1027" s="79">
        <v>15000</v>
      </c>
      <c r="H1027" s="80">
        <v>15000</v>
      </c>
      <c r="I1027" s="452">
        <f t="shared" si="131"/>
        <v>100</v>
      </c>
      <c r="J1027" s="113"/>
      <c r="K1027" s="80"/>
      <c r="L1027" s="379"/>
      <c r="M1027" s="79"/>
      <c r="N1027" s="80"/>
      <c r="O1027" s="356"/>
      <c r="P1027" s="80"/>
      <c r="Q1027" s="80"/>
      <c r="R1027" s="350"/>
    </row>
    <row r="1028" spans="1:18" ht="24">
      <c r="A1028" s="111">
        <v>4210</v>
      </c>
      <c r="B1028" s="115" t="s">
        <v>481</v>
      </c>
      <c r="C1028" s="79">
        <v>5000</v>
      </c>
      <c r="D1028" s="65">
        <f t="shared" si="128"/>
        <v>5000</v>
      </c>
      <c r="E1028" s="80">
        <f t="shared" si="129"/>
        <v>3828</v>
      </c>
      <c r="F1028" s="475">
        <f t="shared" si="130"/>
        <v>76.55999999999999</v>
      </c>
      <c r="G1028" s="79">
        <v>5000</v>
      </c>
      <c r="H1028" s="80">
        <v>3828</v>
      </c>
      <c r="I1028" s="452">
        <f t="shared" si="131"/>
        <v>76.55999999999999</v>
      </c>
      <c r="J1028" s="113"/>
      <c r="K1028" s="80"/>
      <c r="L1028" s="379"/>
      <c r="M1028" s="79"/>
      <c r="N1028" s="80"/>
      <c r="O1028" s="356"/>
      <c r="P1028" s="80"/>
      <c r="Q1028" s="80"/>
      <c r="R1028" s="350"/>
    </row>
    <row r="1029" spans="1:18" ht="12.75" customHeight="1">
      <c r="A1029" s="111">
        <v>4300</v>
      </c>
      <c r="B1029" s="115" t="s">
        <v>489</v>
      </c>
      <c r="C1029" s="79">
        <v>30000</v>
      </c>
      <c r="D1029" s="65">
        <f t="shared" si="128"/>
        <v>30000</v>
      </c>
      <c r="E1029" s="80">
        <f t="shared" si="129"/>
        <v>15000</v>
      </c>
      <c r="F1029" s="475">
        <f t="shared" si="130"/>
        <v>50</v>
      </c>
      <c r="G1029" s="79">
        <v>30000</v>
      </c>
      <c r="H1029" s="80">
        <v>15000</v>
      </c>
      <c r="I1029" s="452">
        <f t="shared" si="131"/>
        <v>50</v>
      </c>
      <c r="J1029" s="113"/>
      <c r="K1029" s="80"/>
      <c r="L1029" s="379"/>
      <c r="M1029" s="79"/>
      <c r="N1029" s="80"/>
      <c r="O1029" s="356"/>
      <c r="P1029" s="80"/>
      <c r="Q1029" s="80"/>
      <c r="R1029" s="350"/>
    </row>
    <row r="1030" spans="1:18" ht="24" customHeight="1">
      <c r="A1030" s="106">
        <v>85154</v>
      </c>
      <c r="B1030" s="172" t="s">
        <v>55</v>
      </c>
      <c r="C1030" s="108">
        <f>SUM(C1031:C1048)</f>
        <v>1783700</v>
      </c>
      <c r="D1030" s="86">
        <f t="shared" si="128"/>
        <v>2709731</v>
      </c>
      <c r="E1030" s="75">
        <f>H1030+K1030+Q1030+N1030</f>
        <v>1537087</v>
      </c>
      <c r="F1030" s="506">
        <f t="shared" si="130"/>
        <v>56.72470809833153</v>
      </c>
      <c r="G1030" s="108">
        <f>SUM(G1031:G1048)</f>
        <v>2709731</v>
      </c>
      <c r="H1030" s="75">
        <f>SUM(H1031:H1048)</f>
        <v>1537087</v>
      </c>
      <c r="I1030" s="402">
        <f t="shared" si="131"/>
        <v>56.72470809833153</v>
      </c>
      <c r="J1030" s="110"/>
      <c r="K1030" s="75"/>
      <c r="L1030" s="406"/>
      <c r="M1030" s="108"/>
      <c r="N1030" s="75"/>
      <c r="O1030" s="369"/>
      <c r="P1030" s="75"/>
      <c r="Q1030" s="75"/>
      <c r="R1030" s="360"/>
    </row>
    <row r="1031" spans="1:18" ht="48" hidden="1">
      <c r="A1031" s="99">
        <v>2480</v>
      </c>
      <c r="B1031" s="186" t="s">
        <v>56</v>
      </c>
      <c r="C1031" s="81"/>
      <c r="D1031" s="94">
        <f t="shared" si="128"/>
        <v>0</v>
      </c>
      <c r="E1031" s="95">
        <f aca="true" t="shared" si="132" ref="E1031:E1048">SUM(H1031+K1031+N1031+Q1031)</f>
        <v>0</v>
      </c>
      <c r="F1031" s="509" t="e">
        <f t="shared" si="130"/>
        <v>#DIV/0!</v>
      </c>
      <c r="G1031" s="81"/>
      <c r="H1031" s="95"/>
      <c r="I1031" s="346" t="e">
        <f t="shared" si="131"/>
        <v>#DIV/0!</v>
      </c>
      <c r="J1031" s="187"/>
      <c r="K1031" s="95"/>
      <c r="L1031" s="403"/>
      <c r="M1031" s="81"/>
      <c r="N1031" s="95"/>
      <c r="O1031" s="376"/>
      <c r="P1031" s="95"/>
      <c r="Q1031" s="95"/>
      <c r="R1031" s="353"/>
    </row>
    <row r="1032" spans="1:18" ht="64.5" customHeight="1">
      <c r="A1032" s="111">
        <v>2820</v>
      </c>
      <c r="B1032" s="115" t="s">
        <v>54</v>
      </c>
      <c r="C1032" s="79">
        <v>500000</v>
      </c>
      <c r="D1032" s="65">
        <f t="shared" si="128"/>
        <v>800000</v>
      </c>
      <c r="E1032" s="80">
        <f t="shared" si="132"/>
        <v>528973</v>
      </c>
      <c r="F1032" s="475">
        <f t="shared" si="130"/>
        <v>66.121625</v>
      </c>
      <c r="G1032" s="79">
        <f>500000+300000</f>
        <v>800000</v>
      </c>
      <c r="H1032" s="80">
        <v>528973</v>
      </c>
      <c r="I1032" s="452">
        <f t="shared" si="131"/>
        <v>66.121625</v>
      </c>
      <c r="J1032" s="113"/>
      <c r="K1032" s="80"/>
      <c r="L1032" s="379"/>
      <c r="M1032" s="79"/>
      <c r="N1032" s="80"/>
      <c r="O1032" s="356"/>
      <c r="P1032" s="80"/>
      <c r="Q1032" s="80"/>
      <c r="R1032" s="350"/>
    </row>
    <row r="1033" spans="1:18" ht="25.5" customHeight="1">
      <c r="A1033" s="111">
        <v>3000</v>
      </c>
      <c r="B1033" s="115" t="s">
        <v>644</v>
      </c>
      <c r="C1033" s="79"/>
      <c r="D1033" s="65">
        <f t="shared" si="128"/>
        <v>53600</v>
      </c>
      <c r="E1033" s="80">
        <f t="shared" si="132"/>
        <v>53600</v>
      </c>
      <c r="F1033" s="475">
        <f t="shared" si="130"/>
        <v>100</v>
      </c>
      <c r="G1033" s="79">
        <v>53600</v>
      </c>
      <c r="H1033" s="80">
        <v>53600</v>
      </c>
      <c r="I1033" s="452">
        <f t="shared" si="131"/>
        <v>100</v>
      </c>
      <c r="J1033" s="113"/>
      <c r="K1033" s="80"/>
      <c r="L1033" s="379"/>
      <c r="M1033" s="79"/>
      <c r="N1033" s="80"/>
      <c r="O1033" s="356"/>
      <c r="P1033" s="80"/>
      <c r="Q1033" s="80"/>
      <c r="R1033" s="350"/>
    </row>
    <row r="1034" spans="1:18" ht="25.5" customHeight="1">
      <c r="A1034" s="111">
        <v>4170</v>
      </c>
      <c r="B1034" s="115" t="s">
        <v>511</v>
      </c>
      <c r="C1034" s="79">
        <v>60000</v>
      </c>
      <c r="D1034" s="65">
        <f>G1034+J1034+P1034+M1034</f>
        <v>60000</v>
      </c>
      <c r="E1034" s="80">
        <f>SUM(H1034+K1034+N1034+Q1034)</f>
        <v>21482</v>
      </c>
      <c r="F1034" s="475">
        <f>E1034/D1034*100</f>
        <v>35.803333333333335</v>
      </c>
      <c r="G1034" s="79">
        <v>60000</v>
      </c>
      <c r="H1034" s="80">
        <v>21482</v>
      </c>
      <c r="I1034" s="265">
        <f t="shared" si="131"/>
        <v>35.803333333333335</v>
      </c>
      <c r="J1034" s="113"/>
      <c r="K1034" s="80"/>
      <c r="L1034" s="379"/>
      <c r="M1034" s="79"/>
      <c r="N1034" s="80"/>
      <c r="O1034" s="356"/>
      <c r="P1034" s="80"/>
      <c r="Q1034" s="80"/>
      <c r="R1034" s="350"/>
    </row>
    <row r="1035" spans="1:18" ht="24" customHeight="1">
      <c r="A1035" s="111">
        <v>4210</v>
      </c>
      <c r="B1035" s="115" t="s">
        <v>481</v>
      </c>
      <c r="C1035" s="79">
        <v>40000</v>
      </c>
      <c r="D1035" s="65">
        <f t="shared" si="128"/>
        <v>169072</v>
      </c>
      <c r="E1035" s="80">
        <f t="shared" si="132"/>
        <v>169133</v>
      </c>
      <c r="F1035" s="475">
        <f t="shared" si="130"/>
        <v>100.03607930349202</v>
      </c>
      <c r="G1035" s="79">
        <f>40000+20000+67072+42000</f>
        <v>169072</v>
      </c>
      <c r="H1035" s="80">
        <v>169133</v>
      </c>
      <c r="I1035" s="597">
        <f t="shared" si="131"/>
        <v>100.03607930349202</v>
      </c>
      <c r="J1035" s="113"/>
      <c r="K1035" s="80"/>
      <c r="L1035" s="379"/>
      <c r="M1035" s="79"/>
      <c r="N1035" s="80"/>
      <c r="O1035" s="356"/>
      <c r="P1035" s="80"/>
      <c r="Q1035" s="80"/>
      <c r="R1035" s="350"/>
    </row>
    <row r="1036" spans="1:18" ht="24" customHeight="1">
      <c r="A1036" s="111">
        <v>4220</v>
      </c>
      <c r="B1036" s="115" t="s">
        <v>650</v>
      </c>
      <c r="C1036" s="79"/>
      <c r="D1036" s="65">
        <f>G1036+J1036+P1036+M1036</f>
        <v>22000</v>
      </c>
      <c r="E1036" s="80">
        <f>SUM(H1036+K1036+N1036+Q1036)</f>
        <v>15800</v>
      </c>
      <c r="F1036" s="475">
        <f>E1036/D1036*100</f>
        <v>71.81818181818181</v>
      </c>
      <c r="G1036" s="79">
        <f>16000+6000</f>
        <v>22000</v>
      </c>
      <c r="H1036" s="80">
        <v>15800</v>
      </c>
      <c r="I1036" s="265">
        <f t="shared" si="131"/>
        <v>71.81818181818181</v>
      </c>
      <c r="J1036" s="113"/>
      <c r="K1036" s="80"/>
      <c r="L1036" s="379"/>
      <c r="M1036" s="79"/>
      <c r="N1036" s="80"/>
      <c r="O1036" s="356"/>
      <c r="P1036" s="80"/>
      <c r="Q1036" s="80"/>
      <c r="R1036" s="350"/>
    </row>
    <row r="1037" spans="1:18" ht="28.5" customHeight="1">
      <c r="A1037" s="111">
        <v>4240</v>
      </c>
      <c r="B1037" s="115" t="s">
        <v>539</v>
      </c>
      <c r="C1037" s="79">
        <v>2000</v>
      </c>
      <c r="D1037" s="65">
        <f t="shared" si="128"/>
        <v>12000</v>
      </c>
      <c r="E1037" s="80">
        <f t="shared" si="132"/>
        <v>7609</v>
      </c>
      <c r="F1037" s="475">
        <f t="shared" si="130"/>
        <v>63.40833333333333</v>
      </c>
      <c r="G1037" s="79">
        <f>2000+10000</f>
        <v>12000</v>
      </c>
      <c r="H1037" s="80">
        <v>7609</v>
      </c>
      <c r="I1037" s="265">
        <f t="shared" si="131"/>
        <v>63.40833333333333</v>
      </c>
      <c r="J1037" s="113"/>
      <c r="K1037" s="80"/>
      <c r="L1037" s="379"/>
      <c r="M1037" s="79"/>
      <c r="N1037" s="80"/>
      <c r="O1037" s="356"/>
      <c r="P1037" s="80"/>
      <c r="Q1037" s="80"/>
      <c r="R1037" s="350"/>
    </row>
    <row r="1038" spans="1:18" ht="18" customHeight="1">
      <c r="A1038" s="111">
        <v>4270</v>
      </c>
      <c r="B1038" s="115" t="s">
        <v>487</v>
      </c>
      <c r="C1038" s="79">
        <v>130000</v>
      </c>
      <c r="D1038" s="65">
        <f t="shared" si="128"/>
        <v>483428</v>
      </c>
      <c r="E1038" s="80">
        <f>SUM(H1038+K1038+N1038+Q1038)</f>
        <v>256984</v>
      </c>
      <c r="F1038" s="475">
        <f>E1038/D1038*100</f>
        <v>53.15869167694052</v>
      </c>
      <c r="G1038" s="79">
        <f>130000+550000-42072-154500</f>
        <v>483428</v>
      </c>
      <c r="H1038" s="80">
        <v>256984</v>
      </c>
      <c r="I1038" s="452">
        <f t="shared" si="131"/>
        <v>53.15869167694052</v>
      </c>
      <c r="J1038" s="113"/>
      <c r="K1038" s="80"/>
      <c r="L1038" s="379"/>
      <c r="M1038" s="79"/>
      <c r="N1038" s="80"/>
      <c r="O1038" s="356"/>
      <c r="P1038" s="80"/>
      <c r="Q1038" s="80"/>
      <c r="R1038" s="350"/>
    </row>
    <row r="1039" spans="1:18" ht="13.5" customHeight="1">
      <c r="A1039" s="111">
        <v>4300</v>
      </c>
      <c r="B1039" s="115" t="s">
        <v>489</v>
      </c>
      <c r="C1039" s="79">
        <v>933700</v>
      </c>
      <c r="D1039" s="65">
        <f t="shared" si="128"/>
        <v>878131</v>
      </c>
      <c r="E1039" s="80">
        <f t="shared" si="132"/>
        <v>280598</v>
      </c>
      <c r="F1039" s="475">
        <f t="shared" si="130"/>
        <v>31.954002307172846</v>
      </c>
      <c r="G1039" s="79">
        <f>933700-53600-17000+40031-25000</f>
        <v>878131</v>
      </c>
      <c r="H1039" s="80">
        <v>280598</v>
      </c>
      <c r="I1039" s="265">
        <f t="shared" si="131"/>
        <v>31.954002307172846</v>
      </c>
      <c r="J1039" s="113"/>
      <c r="K1039" s="80"/>
      <c r="L1039" s="379"/>
      <c r="M1039" s="79"/>
      <c r="N1039" s="80"/>
      <c r="O1039" s="356"/>
      <c r="P1039" s="80"/>
      <c r="Q1039" s="80"/>
      <c r="R1039" s="350"/>
    </row>
    <row r="1040" spans="1:18" ht="36">
      <c r="A1040" s="111">
        <v>4390</v>
      </c>
      <c r="B1040" s="193" t="s">
        <v>271</v>
      </c>
      <c r="C1040" s="79">
        <v>10000</v>
      </c>
      <c r="D1040" s="65">
        <f>G1040+J1040+P1040+M1040</f>
        <v>10000</v>
      </c>
      <c r="E1040" s="80">
        <f>SUM(H1040+K1040+N1040+Q1040)</f>
        <v>0</v>
      </c>
      <c r="F1040" s="475">
        <f>E1040/D1040*100</f>
        <v>0</v>
      </c>
      <c r="G1040" s="79">
        <v>10000</v>
      </c>
      <c r="H1040" s="80"/>
      <c r="I1040" s="265">
        <f t="shared" si="131"/>
        <v>0</v>
      </c>
      <c r="J1040" s="113"/>
      <c r="K1040" s="80"/>
      <c r="L1040" s="379"/>
      <c r="M1040" s="79"/>
      <c r="N1040" s="80"/>
      <c r="O1040" s="356"/>
      <c r="P1040" s="80"/>
      <c r="Q1040" s="80"/>
      <c r="R1040" s="350"/>
    </row>
    <row r="1041" spans="1:18" ht="13.5" customHeight="1">
      <c r="A1041" s="111">
        <v>4410</v>
      </c>
      <c r="B1041" s="115" t="s">
        <v>463</v>
      </c>
      <c r="C1041" s="79">
        <v>2000</v>
      </c>
      <c r="D1041" s="65">
        <f t="shared" si="128"/>
        <v>2000</v>
      </c>
      <c r="E1041" s="80">
        <f t="shared" si="132"/>
        <v>408</v>
      </c>
      <c r="F1041" s="475">
        <f t="shared" si="130"/>
        <v>20.4</v>
      </c>
      <c r="G1041" s="79">
        <v>2000</v>
      </c>
      <c r="H1041" s="80">
        <v>408</v>
      </c>
      <c r="I1041" s="452">
        <f t="shared" si="131"/>
        <v>20.4</v>
      </c>
      <c r="J1041" s="113"/>
      <c r="K1041" s="80"/>
      <c r="L1041" s="379"/>
      <c r="M1041" s="79"/>
      <c r="N1041" s="80"/>
      <c r="O1041" s="356"/>
      <c r="P1041" s="80"/>
      <c r="Q1041" s="80"/>
      <c r="R1041" s="350"/>
    </row>
    <row r="1042" spans="1:18" ht="13.5" customHeight="1" hidden="1">
      <c r="A1042" s="111">
        <v>4430</v>
      </c>
      <c r="B1042" s="115" t="s">
        <v>491</v>
      </c>
      <c r="C1042" s="79"/>
      <c r="D1042" s="65">
        <f t="shared" si="128"/>
        <v>0</v>
      </c>
      <c r="E1042" s="80">
        <f t="shared" si="132"/>
        <v>0</v>
      </c>
      <c r="F1042" s="475" t="e">
        <f t="shared" si="130"/>
        <v>#DIV/0!</v>
      </c>
      <c r="G1042" s="79"/>
      <c r="H1042" s="80"/>
      <c r="I1042" s="452" t="e">
        <f t="shared" si="131"/>
        <v>#DIV/0!</v>
      </c>
      <c r="J1042" s="113"/>
      <c r="K1042" s="80"/>
      <c r="L1042" s="379"/>
      <c r="M1042" s="79"/>
      <c r="N1042" s="80"/>
      <c r="O1042" s="356"/>
      <c r="P1042" s="80"/>
      <c r="Q1042" s="80"/>
      <c r="R1042" s="350"/>
    </row>
    <row r="1043" spans="1:18" ht="36">
      <c r="A1043" s="111">
        <v>4610</v>
      </c>
      <c r="B1043" s="115" t="s">
        <v>61</v>
      </c>
      <c r="C1043" s="79">
        <v>3000</v>
      </c>
      <c r="D1043" s="65">
        <f>G1043+J1043+P1043+M1043</f>
        <v>3000</v>
      </c>
      <c r="E1043" s="80">
        <f>SUM(H1043+K1043+N1043+Q1043)</f>
        <v>920</v>
      </c>
      <c r="F1043" s="475">
        <f>E1043/D1043*100</f>
        <v>30.666666666666664</v>
      </c>
      <c r="G1043" s="79">
        <v>3000</v>
      </c>
      <c r="H1043" s="80">
        <v>920</v>
      </c>
      <c r="I1043" s="452">
        <f t="shared" si="131"/>
        <v>30.666666666666664</v>
      </c>
      <c r="J1043" s="113"/>
      <c r="K1043" s="80"/>
      <c r="L1043" s="379"/>
      <c r="M1043" s="79"/>
      <c r="N1043" s="80"/>
      <c r="O1043" s="356"/>
      <c r="P1043" s="80"/>
      <c r="Q1043" s="80"/>
      <c r="R1043" s="350"/>
    </row>
    <row r="1044" spans="1:18" ht="36">
      <c r="A1044" s="184">
        <v>4700</v>
      </c>
      <c r="B1044" s="185" t="s">
        <v>284</v>
      </c>
      <c r="C1044" s="147">
        <v>3000</v>
      </c>
      <c r="D1044" s="148">
        <f>G1044+J1044+P1044+M1044</f>
        <v>3000</v>
      </c>
      <c r="E1044" s="142">
        <f>SUM(H1044+K1044+N1044+Q1044)</f>
        <v>0</v>
      </c>
      <c r="F1044" s="510">
        <f>E1044/D1044*100</f>
        <v>0</v>
      </c>
      <c r="G1044" s="147">
        <v>3000</v>
      </c>
      <c r="H1044" s="142"/>
      <c r="I1044" s="453">
        <f t="shared" si="131"/>
        <v>0</v>
      </c>
      <c r="J1044" s="149"/>
      <c r="K1044" s="142"/>
      <c r="L1044" s="404"/>
      <c r="M1044" s="147"/>
      <c r="N1044" s="142"/>
      <c r="O1044" s="375"/>
      <c r="P1044" s="142"/>
      <c r="Q1044" s="142"/>
      <c r="R1044" s="354"/>
    </row>
    <row r="1045" spans="1:18" ht="60" hidden="1">
      <c r="A1045" s="159">
        <v>4740</v>
      </c>
      <c r="B1045" s="326" t="s">
        <v>288</v>
      </c>
      <c r="C1045" s="79"/>
      <c r="D1045" s="65">
        <f>G1045+J1045+P1045+M1045</f>
        <v>0</v>
      </c>
      <c r="E1045" s="80">
        <f>SUM(H1045+K1045+N1045+Q1045)</f>
        <v>0</v>
      </c>
      <c r="F1045" s="475" t="e">
        <f>E1045/D1045*100</f>
        <v>#DIV/0!</v>
      </c>
      <c r="G1045" s="79"/>
      <c r="H1045" s="80"/>
      <c r="I1045" s="452" t="e">
        <f t="shared" si="131"/>
        <v>#DIV/0!</v>
      </c>
      <c r="J1045" s="113"/>
      <c r="K1045" s="80"/>
      <c r="L1045" s="379"/>
      <c r="M1045" s="79"/>
      <c r="N1045" s="80"/>
      <c r="O1045" s="356"/>
      <c r="P1045" s="80"/>
      <c r="Q1045" s="80"/>
      <c r="R1045" s="350"/>
    </row>
    <row r="1046" spans="1:18" ht="36">
      <c r="A1046" s="159">
        <v>4750</v>
      </c>
      <c r="B1046" s="326" t="s">
        <v>289</v>
      </c>
      <c r="C1046" s="79"/>
      <c r="D1046" s="65">
        <f>G1046+J1046+P1046+M1046</f>
        <v>1000</v>
      </c>
      <c r="E1046" s="80">
        <f>SUM(H1046+K1046+N1046+Q1046)</f>
        <v>580</v>
      </c>
      <c r="F1046" s="475">
        <f>E1046/D1046*100</f>
        <v>57.99999999999999</v>
      </c>
      <c r="G1046" s="79">
        <v>1000</v>
      </c>
      <c r="H1046" s="80">
        <v>580</v>
      </c>
      <c r="I1046" s="452">
        <f t="shared" si="131"/>
        <v>57.99999999999999</v>
      </c>
      <c r="J1046" s="113"/>
      <c r="K1046" s="80"/>
      <c r="L1046" s="379"/>
      <c r="M1046" s="79"/>
      <c r="N1046" s="80"/>
      <c r="O1046" s="356"/>
      <c r="P1046" s="80"/>
      <c r="Q1046" s="80"/>
      <c r="R1046" s="350"/>
    </row>
    <row r="1047" spans="1:18" ht="36">
      <c r="A1047" s="159">
        <v>6060</v>
      </c>
      <c r="B1047" s="276" t="s">
        <v>528</v>
      </c>
      <c r="C1047" s="79"/>
      <c r="D1047" s="65">
        <f>G1047+J1047+P1047+M1047</f>
        <v>7000</v>
      </c>
      <c r="E1047" s="80">
        <f>SUM(H1047+K1047+N1047+Q1047)</f>
        <v>7000</v>
      </c>
      <c r="F1047" s="475">
        <f>E1047/D1047*100</f>
        <v>100</v>
      </c>
      <c r="G1047" s="79">
        <v>7000</v>
      </c>
      <c r="H1047" s="80">
        <v>7000</v>
      </c>
      <c r="I1047" s="452">
        <f t="shared" si="131"/>
        <v>100</v>
      </c>
      <c r="J1047" s="113"/>
      <c r="K1047" s="80"/>
      <c r="L1047" s="379"/>
      <c r="M1047" s="79"/>
      <c r="N1047" s="80"/>
      <c r="O1047" s="356"/>
      <c r="P1047" s="80"/>
      <c r="Q1047" s="80"/>
      <c r="R1047" s="350"/>
    </row>
    <row r="1048" spans="1:18" ht="24">
      <c r="A1048" s="145">
        <v>6050</v>
      </c>
      <c r="B1048" s="146" t="s">
        <v>512</v>
      </c>
      <c r="C1048" s="147">
        <v>100000</v>
      </c>
      <c r="D1048" s="148">
        <f t="shared" si="128"/>
        <v>205500</v>
      </c>
      <c r="E1048" s="142">
        <f t="shared" si="132"/>
        <v>194000</v>
      </c>
      <c r="F1048" s="510">
        <f t="shared" si="130"/>
        <v>94.40389294403893</v>
      </c>
      <c r="G1048" s="147">
        <f>100000+154500-49000</f>
        <v>205500</v>
      </c>
      <c r="H1048" s="142">
        <v>194000</v>
      </c>
      <c r="I1048" s="453">
        <f t="shared" si="131"/>
        <v>94.40389294403893</v>
      </c>
      <c r="J1048" s="149"/>
      <c r="K1048" s="142"/>
      <c r="L1048" s="404"/>
      <c r="M1048" s="147"/>
      <c r="N1048" s="142"/>
      <c r="O1048" s="375"/>
      <c r="P1048" s="142"/>
      <c r="Q1048" s="142"/>
      <c r="R1048" s="354"/>
    </row>
    <row r="1049" spans="1:18" s="105" customFormat="1" ht="75.75" customHeight="1">
      <c r="A1049" s="106">
        <v>85156</v>
      </c>
      <c r="B1049" s="172" t="s">
        <v>57</v>
      </c>
      <c r="C1049" s="108">
        <f>SUM(C1050)</f>
        <v>15000</v>
      </c>
      <c r="D1049" s="86">
        <f t="shared" si="128"/>
        <v>15000</v>
      </c>
      <c r="E1049" s="75">
        <f>SUM(E1050)</f>
        <v>3931</v>
      </c>
      <c r="F1049" s="506">
        <f>E1049/D1049*100</f>
        <v>26.206666666666667</v>
      </c>
      <c r="G1049" s="108"/>
      <c r="H1049" s="75"/>
      <c r="I1049" s="360"/>
      <c r="J1049" s="110"/>
      <c r="K1049" s="75"/>
      <c r="L1049" s="406"/>
      <c r="M1049" s="108"/>
      <c r="N1049" s="75"/>
      <c r="O1049" s="395"/>
      <c r="P1049" s="75">
        <f>SUM(P1050)</f>
        <v>15000</v>
      </c>
      <c r="Q1049" s="75">
        <f>SUM(Q1050)</f>
        <v>3931</v>
      </c>
      <c r="R1049" s="432">
        <f>Q1049/P1049*100</f>
        <v>26.206666666666667</v>
      </c>
    </row>
    <row r="1050" spans="1:18" s="105" customFormat="1" ht="23.25" customHeight="1">
      <c r="A1050" s="111">
        <v>4130</v>
      </c>
      <c r="B1050" s="115" t="s">
        <v>10</v>
      </c>
      <c r="C1050" s="79">
        <v>15000</v>
      </c>
      <c r="D1050" s="65">
        <f t="shared" si="128"/>
        <v>15000</v>
      </c>
      <c r="E1050" s="80">
        <f>SUM(H1050+K1050+N1050+Q1050)</f>
        <v>3931</v>
      </c>
      <c r="F1050" s="475">
        <f>E1050/D1050*100</f>
        <v>26.206666666666667</v>
      </c>
      <c r="G1050" s="79"/>
      <c r="H1050" s="80"/>
      <c r="I1050" s="350"/>
      <c r="J1050" s="113"/>
      <c r="K1050" s="80"/>
      <c r="L1050" s="379"/>
      <c r="M1050" s="79"/>
      <c r="N1050" s="80"/>
      <c r="O1050" s="379"/>
      <c r="P1050" s="80">
        <v>15000</v>
      </c>
      <c r="Q1050" s="80">
        <f>2079+1852</f>
        <v>3931</v>
      </c>
      <c r="R1050" s="426">
        <f>Q1050/P1050*100</f>
        <v>26.206666666666667</v>
      </c>
    </row>
    <row r="1051" spans="1:18" ht="13.5" customHeight="1" hidden="1">
      <c r="A1051" s="106">
        <v>85158</v>
      </c>
      <c r="B1051" s="261" t="s">
        <v>58</v>
      </c>
      <c r="C1051" s="108">
        <f>SUM(C1053:C1066)</f>
        <v>0</v>
      </c>
      <c r="D1051" s="86">
        <f t="shared" si="128"/>
        <v>0</v>
      </c>
      <c r="E1051" s="75">
        <f>SUM(E1052:E1066)</f>
        <v>0</v>
      </c>
      <c r="F1051" s="506" t="e">
        <f t="shared" si="130"/>
        <v>#DIV/0!</v>
      </c>
      <c r="G1051" s="266">
        <f>SUM(G1052:G1066)</f>
        <v>0</v>
      </c>
      <c r="H1051" s="75">
        <f>SUM(H1052:H1066)</f>
        <v>0</v>
      </c>
      <c r="I1051" s="402" t="e">
        <f t="shared" si="131"/>
        <v>#DIV/0!</v>
      </c>
      <c r="J1051" s="110"/>
      <c r="K1051" s="75"/>
      <c r="L1051" s="406"/>
      <c r="M1051" s="108"/>
      <c r="N1051" s="75"/>
      <c r="O1051" s="369"/>
      <c r="P1051" s="75"/>
      <c r="Q1051" s="75"/>
      <c r="R1051" s="455"/>
    </row>
    <row r="1052" spans="1:18" ht="36.75" customHeight="1" hidden="1">
      <c r="A1052" s="99">
        <v>3020</v>
      </c>
      <c r="B1052" s="186" t="s">
        <v>515</v>
      </c>
      <c r="C1052" s="93">
        <v>0</v>
      </c>
      <c r="D1052" s="94">
        <f>G1052+J1052+P1052+M1052</f>
        <v>0</v>
      </c>
      <c r="E1052" s="95">
        <f>SUM(H1052+K1052+N1052+Q1052)</f>
        <v>0</v>
      </c>
      <c r="F1052" s="509" t="e">
        <f t="shared" si="130"/>
        <v>#DIV/0!</v>
      </c>
      <c r="G1052" s="81"/>
      <c r="H1052" s="95"/>
      <c r="I1052" s="346" t="e">
        <f>H1052/G1052*100</f>
        <v>#DIV/0!</v>
      </c>
      <c r="J1052" s="273"/>
      <c r="K1052" s="268"/>
      <c r="L1052" s="410"/>
      <c r="M1052" s="274"/>
      <c r="N1052" s="268"/>
      <c r="O1052" s="376"/>
      <c r="P1052" s="268"/>
      <c r="Q1052" s="268"/>
      <c r="R1052" s="456"/>
    </row>
    <row r="1053" spans="1:18" ht="24.75" customHeight="1" hidden="1">
      <c r="A1053" s="111">
        <v>4010</v>
      </c>
      <c r="B1053" s="262" t="s">
        <v>647</v>
      </c>
      <c r="C1053" s="79"/>
      <c r="D1053" s="65">
        <f t="shared" si="128"/>
        <v>0</v>
      </c>
      <c r="E1053" s="80">
        <f>SUM(H1053+K1053+N1053+Q1053)</f>
        <v>0</v>
      </c>
      <c r="F1053" s="475" t="e">
        <f t="shared" si="130"/>
        <v>#DIV/0!</v>
      </c>
      <c r="G1053" s="79"/>
      <c r="H1053" s="80"/>
      <c r="I1053" s="265" t="e">
        <f t="shared" si="131"/>
        <v>#DIV/0!</v>
      </c>
      <c r="J1053" s="113"/>
      <c r="K1053" s="80"/>
      <c r="L1053" s="379"/>
      <c r="M1053" s="79"/>
      <c r="N1053" s="80"/>
      <c r="O1053" s="356"/>
      <c r="P1053" s="80"/>
      <c r="Q1053" s="80"/>
      <c r="R1053" s="457"/>
    </row>
    <row r="1054" spans="1:18" ht="21.75" customHeight="1" hidden="1">
      <c r="A1054" s="111">
        <v>4040</v>
      </c>
      <c r="B1054" s="262" t="s">
        <v>516</v>
      </c>
      <c r="C1054" s="79"/>
      <c r="D1054" s="65">
        <f t="shared" si="128"/>
        <v>0</v>
      </c>
      <c r="E1054" s="80">
        <f>SUM(H1054+K1054+N1054+Q1054)</f>
        <v>0</v>
      </c>
      <c r="F1054" s="475" t="e">
        <f t="shared" si="130"/>
        <v>#DIV/0!</v>
      </c>
      <c r="G1054" s="79"/>
      <c r="H1054" s="80"/>
      <c r="I1054" s="265" t="e">
        <f t="shared" si="131"/>
        <v>#DIV/0!</v>
      </c>
      <c r="J1054" s="113"/>
      <c r="K1054" s="80"/>
      <c r="L1054" s="379"/>
      <c r="M1054" s="79"/>
      <c r="N1054" s="80"/>
      <c r="O1054" s="356"/>
      <c r="P1054" s="80"/>
      <c r="Q1054" s="80"/>
      <c r="R1054" s="457"/>
    </row>
    <row r="1055" spans="1:18" ht="24.75" customHeight="1" hidden="1">
      <c r="A1055" s="111">
        <v>4110</v>
      </c>
      <c r="B1055" s="262" t="s">
        <v>477</v>
      </c>
      <c r="C1055" s="79"/>
      <c r="D1055" s="65">
        <f>G1055+J1055+P1055+M1055</f>
        <v>0</v>
      </c>
      <c r="E1055" s="80">
        <f>SUM(H1055+K1055+N1055+Q1055)</f>
        <v>0</v>
      </c>
      <c r="F1055" s="475" t="e">
        <f t="shared" si="130"/>
        <v>#DIV/0!</v>
      </c>
      <c r="G1055" s="79"/>
      <c r="H1055" s="80"/>
      <c r="I1055" s="265" t="e">
        <f t="shared" si="131"/>
        <v>#DIV/0!</v>
      </c>
      <c r="J1055" s="113"/>
      <c r="K1055" s="80"/>
      <c r="L1055" s="379"/>
      <c r="M1055" s="80"/>
      <c r="N1055" s="80"/>
      <c r="O1055" s="356"/>
      <c r="P1055" s="80"/>
      <c r="Q1055" s="80"/>
      <c r="R1055" s="457"/>
    </row>
    <row r="1056" spans="1:18" ht="11.25" customHeight="1" hidden="1">
      <c r="A1056" s="111">
        <v>4120</v>
      </c>
      <c r="B1056" s="262" t="s">
        <v>547</v>
      </c>
      <c r="C1056" s="79"/>
      <c r="D1056" s="65">
        <f>G1056+J1056+P1056+M1056</f>
        <v>0</v>
      </c>
      <c r="E1056" s="80">
        <f>SUM(H1056+K1056+N1056+Q1056)</f>
        <v>0</v>
      </c>
      <c r="F1056" s="475" t="e">
        <f t="shared" si="130"/>
        <v>#DIV/0!</v>
      </c>
      <c r="G1056" s="79"/>
      <c r="H1056" s="80"/>
      <c r="I1056" s="265" t="e">
        <f t="shared" si="131"/>
        <v>#DIV/0!</v>
      </c>
      <c r="J1056" s="113"/>
      <c r="K1056" s="80"/>
      <c r="L1056" s="379"/>
      <c r="M1056" s="80"/>
      <c r="N1056" s="80"/>
      <c r="O1056" s="356"/>
      <c r="P1056" s="80"/>
      <c r="Q1056" s="80"/>
      <c r="R1056" s="457"/>
    </row>
    <row r="1057" spans="1:18" ht="22.5" customHeight="1" hidden="1">
      <c r="A1057" s="111">
        <v>4210</v>
      </c>
      <c r="B1057" s="262" t="s">
        <v>481</v>
      </c>
      <c r="C1057" s="79"/>
      <c r="D1057" s="65">
        <f aca="true" t="shared" si="133" ref="D1057:D1074">G1057+J1057+P1057+M1057</f>
        <v>0</v>
      </c>
      <c r="E1057" s="80">
        <f aca="true" t="shared" si="134" ref="E1057:E1066">SUM(H1057+K1057+N1057+Q1057)</f>
        <v>0</v>
      </c>
      <c r="F1057" s="475" t="e">
        <f t="shared" si="130"/>
        <v>#DIV/0!</v>
      </c>
      <c r="G1057" s="79"/>
      <c r="H1057" s="80"/>
      <c r="I1057" s="265" t="e">
        <f t="shared" si="131"/>
        <v>#DIV/0!</v>
      </c>
      <c r="J1057" s="113"/>
      <c r="K1057" s="80"/>
      <c r="L1057" s="379"/>
      <c r="M1057" s="80"/>
      <c r="N1057" s="80"/>
      <c r="O1057" s="356"/>
      <c r="P1057" s="80"/>
      <c r="Q1057" s="80"/>
      <c r="R1057" s="457"/>
    </row>
    <row r="1058" spans="1:18" ht="11.25" customHeight="1" hidden="1">
      <c r="A1058" s="111">
        <v>4260</v>
      </c>
      <c r="B1058" s="262" t="s">
        <v>485</v>
      </c>
      <c r="C1058" s="79"/>
      <c r="D1058" s="65">
        <f t="shared" si="133"/>
        <v>0</v>
      </c>
      <c r="E1058" s="80">
        <f t="shared" si="134"/>
        <v>0</v>
      </c>
      <c r="F1058" s="475" t="e">
        <f t="shared" si="130"/>
        <v>#DIV/0!</v>
      </c>
      <c r="G1058" s="79"/>
      <c r="H1058" s="80"/>
      <c r="I1058" s="265" t="e">
        <f t="shared" si="131"/>
        <v>#DIV/0!</v>
      </c>
      <c r="J1058" s="113"/>
      <c r="K1058" s="80"/>
      <c r="L1058" s="379"/>
      <c r="M1058" s="80"/>
      <c r="N1058" s="80"/>
      <c r="O1058" s="356"/>
      <c r="P1058" s="80"/>
      <c r="Q1058" s="80"/>
      <c r="R1058" s="457"/>
    </row>
    <row r="1059" spans="1:18" ht="11.25" customHeight="1" hidden="1">
      <c r="A1059" s="111">
        <v>4270</v>
      </c>
      <c r="B1059" s="262" t="s">
        <v>487</v>
      </c>
      <c r="C1059" s="79"/>
      <c r="D1059" s="65">
        <f t="shared" si="133"/>
        <v>0</v>
      </c>
      <c r="E1059" s="80">
        <f t="shared" si="134"/>
        <v>0</v>
      </c>
      <c r="F1059" s="475" t="e">
        <f t="shared" si="130"/>
        <v>#DIV/0!</v>
      </c>
      <c r="G1059" s="79"/>
      <c r="H1059" s="80"/>
      <c r="I1059" s="265" t="e">
        <f t="shared" si="131"/>
        <v>#DIV/0!</v>
      </c>
      <c r="J1059" s="113"/>
      <c r="K1059" s="80"/>
      <c r="L1059" s="379"/>
      <c r="M1059" s="80"/>
      <c r="N1059" s="80"/>
      <c r="O1059" s="356"/>
      <c r="P1059" s="80"/>
      <c r="Q1059" s="80"/>
      <c r="R1059" s="457"/>
    </row>
    <row r="1060" spans="1:18" ht="24" customHeight="1" hidden="1">
      <c r="A1060" s="111">
        <v>4280</v>
      </c>
      <c r="B1060" s="262" t="s">
        <v>59</v>
      </c>
      <c r="C1060" s="79"/>
      <c r="D1060" s="65">
        <f t="shared" si="133"/>
        <v>0</v>
      </c>
      <c r="E1060" s="80">
        <f t="shared" si="134"/>
        <v>0</v>
      </c>
      <c r="F1060" s="475" t="e">
        <f t="shared" si="130"/>
        <v>#DIV/0!</v>
      </c>
      <c r="G1060" s="79"/>
      <c r="H1060" s="80"/>
      <c r="I1060" s="265" t="e">
        <f t="shared" si="131"/>
        <v>#DIV/0!</v>
      </c>
      <c r="J1060" s="113"/>
      <c r="K1060" s="80"/>
      <c r="L1060" s="379"/>
      <c r="M1060" s="80"/>
      <c r="N1060" s="80"/>
      <c r="O1060" s="356"/>
      <c r="P1060" s="80"/>
      <c r="Q1060" s="80"/>
      <c r="R1060" s="457"/>
    </row>
    <row r="1061" spans="1:18" ht="11.25" customHeight="1" hidden="1">
      <c r="A1061" s="111">
        <v>4300</v>
      </c>
      <c r="B1061" s="262" t="s">
        <v>489</v>
      </c>
      <c r="C1061" s="79"/>
      <c r="D1061" s="65">
        <f t="shared" si="133"/>
        <v>0</v>
      </c>
      <c r="E1061" s="80">
        <f t="shared" si="134"/>
        <v>0</v>
      </c>
      <c r="F1061" s="475" t="e">
        <f t="shared" si="130"/>
        <v>#DIV/0!</v>
      </c>
      <c r="G1061" s="79"/>
      <c r="H1061" s="80"/>
      <c r="I1061" s="265" t="e">
        <f t="shared" si="131"/>
        <v>#DIV/0!</v>
      </c>
      <c r="J1061" s="113"/>
      <c r="K1061" s="80"/>
      <c r="L1061" s="379"/>
      <c r="M1061" s="80"/>
      <c r="N1061" s="80"/>
      <c r="O1061" s="356"/>
      <c r="P1061" s="80"/>
      <c r="Q1061" s="80"/>
      <c r="R1061" s="457"/>
    </row>
    <row r="1062" spans="1:18" ht="12.75" customHeight="1" hidden="1">
      <c r="A1062" s="111">
        <v>4410</v>
      </c>
      <c r="B1062" s="262" t="s">
        <v>463</v>
      </c>
      <c r="C1062" s="79"/>
      <c r="D1062" s="65">
        <f t="shared" si="133"/>
        <v>0</v>
      </c>
      <c r="E1062" s="80">
        <f t="shared" si="134"/>
        <v>0</v>
      </c>
      <c r="F1062" s="475" t="e">
        <f t="shared" si="130"/>
        <v>#DIV/0!</v>
      </c>
      <c r="G1062" s="79"/>
      <c r="H1062" s="80"/>
      <c r="I1062" s="265" t="e">
        <f t="shared" si="131"/>
        <v>#DIV/0!</v>
      </c>
      <c r="J1062" s="113"/>
      <c r="K1062" s="80"/>
      <c r="L1062" s="379"/>
      <c r="M1062" s="80"/>
      <c r="N1062" s="80"/>
      <c r="O1062" s="356"/>
      <c r="P1062" s="80"/>
      <c r="Q1062" s="80"/>
      <c r="R1062" s="457"/>
    </row>
    <row r="1063" spans="1:18" ht="12.75" customHeight="1" hidden="1">
      <c r="A1063" s="111">
        <v>4430</v>
      </c>
      <c r="B1063" s="262" t="s">
        <v>491</v>
      </c>
      <c r="C1063" s="79"/>
      <c r="D1063" s="65">
        <f t="shared" si="133"/>
        <v>0</v>
      </c>
      <c r="E1063" s="80">
        <f t="shared" si="134"/>
        <v>0</v>
      </c>
      <c r="F1063" s="475" t="e">
        <f t="shared" si="130"/>
        <v>#DIV/0!</v>
      </c>
      <c r="G1063" s="79"/>
      <c r="H1063" s="114"/>
      <c r="I1063" s="265" t="e">
        <f t="shared" si="131"/>
        <v>#DIV/0!</v>
      </c>
      <c r="J1063" s="140"/>
      <c r="K1063" s="80"/>
      <c r="L1063" s="379"/>
      <c r="M1063" s="114"/>
      <c r="N1063" s="114"/>
      <c r="O1063" s="390"/>
      <c r="P1063" s="114"/>
      <c r="Q1063" s="114"/>
      <c r="R1063" s="458"/>
    </row>
    <row r="1064" spans="1:18" ht="11.25" customHeight="1" hidden="1">
      <c r="A1064" s="111">
        <v>4440</v>
      </c>
      <c r="B1064" s="262" t="s">
        <v>493</v>
      </c>
      <c r="C1064" s="79"/>
      <c r="D1064" s="65">
        <f t="shared" si="133"/>
        <v>0</v>
      </c>
      <c r="E1064" s="80">
        <f t="shared" si="134"/>
        <v>0</v>
      </c>
      <c r="F1064" s="475" t="e">
        <f t="shared" si="130"/>
        <v>#DIV/0!</v>
      </c>
      <c r="G1064" s="79"/>
      <c r="H1064" s="80"/>
      <c r="I1064" s="265" t="e">
        <f t="shared" si="131"/>
        <v>#DIV/0!</v>
      </c>
      <c r="J1064" s="113"/>
      <c r="K1064" s="80"/>
      <c r="L1064" s="379"/>
      <c r="M1064" s="80"/>
      <c r="N1064" s="80"/>
      <c r="O1064" s="356"/>
      <c r="P1064" s="80"/>
      <c r="Q1064" s="80"/>
      <c r="R1064" s="457"/>
    </row>
    <row r="1065" spans="1:18" s="105" customFormat="1" ht="12.75" customHeight="1" hidden="1">
      <c r="A1065" s="111">
        <v>4480</v>
      </c>
      <c r="B1065" s="262" t="s">
        <v>495</v>
      </c>
      <c r="C1065" s="79"/>
      <c r="D1065" s="65">
        <f t="shared" si="133"/>
        <v>0</v>
      </c>
      <c r="E1065" s="80">
        <f t="shared" si="134"/>
        <v>0</v>
      </c>
      <c r="F1065" s="475" t="e">
        <f t="shared" si="130"/>
        <v>#DIV/0!</v>
      </c>
      <c r="G1065" s="79"/>
      <c r="H1065" s="80"/>
      <c r="I1065" s="265" t="e">
        <f t="shared" si="131"/>
        <v>#DIV/0!</v>
      </c>
      <c r="J1065" s="113"/>
      <c r="K1065" s="80"/>
      <c r="L1065" s="379"/>
      <c r="M1065" s="80"/>
      <c r="N1065" s="80"/>
      <c r="O1065" s="356"/>
      <c r="P1065" s="80"/>
      <c r="Q1065" s="80"/>
      <c r="R1065" s="457"/>
    </row>
    <row r="1066" spans="1:18" s="105" customFormat="1" ht="36" hidden="1">
      <c r="A1066" s="145">
        <v>4520</v>
      </c>
      <c r="B1066" s="263" t="s">
        <v>60</v>
      </c>
      <c r="C1066" s="147"/>
      <c r="D1066" s="148">
        <f t="shared" si="133"/>
        <v>0</v>
      </c>
      <c r="E1066" s="142">
        <f t="shared" si="134"/>
        <v>0</v>
      </c>
      <c r="F1066" s="510" t="e">
        <f t="shared" si="130"/>
        <v>#DIV/0!</v>
      </c>
      <c r="G1066" s="147"/>
      <c r="H1066" s="142"/>
      <c r="I1066" s="312" t="e">
        <f t="shared" si="131"/>
        <v>#DIV/0!</v>
      </c>
      <c r="J1066" s="149"/>
      <c r="K1066" s="142"/>
      <c r="L1066" s="404"/>
      <c r="M1066" s="142"/>
      <c r="N1066" s="142"/>
      <c r="O1066" s="375"/>
      <c r="P1066" s="142"/>
      <c r="Q1066" s="142"/>
      <c r="R1066" s="459"/>
    </row>
    <row r="1067" spans="1:18" s="275" customFormat="1" ht="11.25" customHeight="1">
      <c r="A1067" s="106">
        <v>85195</v>
      </c>
      <c r="B1067" s="261" t="s">
        <v>504</v>
      </c>
      <c r="C1067" s="108">
        <f>SUM(C1068:C1074)</f>
        <v>680900</v>
      </c>
      <c r="D1067" s="86">
        <f>G1067+J1067+P1067+M1067</f>
        <v>665900</v>
      </c>
      <c r="E1067" s="86">
        <f>H1067+K1067+Q1067+N1067</f>
        <v>273526</v>
      </c>
      <c r="F1067" s="506">
        <f t="shared" si="130"/>
        <v>41.076137558191924</v>
      </c>
      <c r="G1067" s="108">
        <f>SUM(G1068:G1075)</f>
        <v>665900</v>
      </c>
      <c r="H1067" s="75">
        <f>SUM(H1068:H1074)</f>
        <v>273526</v>
      </c>
      <c r="I1067" s="451">
        <f t="shared" si="131"/>
        <v>41.076137558191924</v>
      </c>
      <c r="J1067" s="110"/>
      <c r="K1067" s="75"/>
      <c r="L1067" s="406"/>
      <c r="M1067" s="75"/>
      <c r="N1067" s="75"/>
      <c r="O1067" s="369"/>
      <c r="P1067" s="75"/>
      <c r="Q1067" s="75"/>
      <c r="R1067" s="455"/>
    </row>
    <row r="1068" spans="1:18" s="199" customFormat="1" ht="63.75" customHeight="1">
      <c r="A1068" s="99">
        <v>2820</v>
      </c>
      <c r="B1068" s="286" t="s">
        <v>634</v>
      </c>
      <c r="C1068" s="81">
        <v>144000</v>
      </c>
      <c r="D1068" s="94">
        <f t="shared" si="133"/>
        <v>144000</v>
      </c>
      <c r="E1068" s="95">
        <f aca="true" t="shared" si="135" ref="E1068:E1074">SUM(H1068+K1068+N1068+Q1068)</f>
        <v>83000</v>
      </c>
      <c r="F1068" s="509">
        <f t="shared" si="130"/>
        <v>57.638888888888886</v>
      </c>
      <c r="G1068" s="81">
        <v>144000</v>
      </c>
      <c r="H1068" s="95">
        <v>83000</v>
      </c>
      <c r="I1068" s="454">
        <f t="shared" si="131"/>
        <v>57.638888888888886</v>
      </c>
      <c r="J1068" s="187"/>
      <c r="K1068" s="95"/>
      <c r="L1068" s="403"/>
      <c r="M1068" s="95"/>
      <c r="N1068" s="95"/>
      <c r="O1068" s="376"/>
      <c r="P1068" s="95"/>
      <c r="Q1068" s="95"/>
      <c r="R1068" s="353"/>
    </row>
    <row r="1069" spans="1:18" s="199" customFormat="1" ht="48" hidden="1">
      <c r="A1069" s="111">
        <v>2480</v>
      </c>
      <c r="B1069" s="193" t="s">
        <v>56</v>
      </c>
      <c r="C1069" s="79"/>
      <c r="D1069" s="65">
        <f>G1069+J1069+P1069+M1069</f>
        <v>0</v>
      </c>
      <c r="E1069" s="80">
        <f>SUM(H1069+K1069+N1069+Q1069)</f>
        <v>0</v>
      </c>
      <c r="F1069" s="475" t="e">
        <f>E1069/D1069*100</f>
        <v>#DIV/0!</v>
      </c>
      <c r="G1069" s="79"/>
      <c r="H1069" s="80"/>
      <c r="I1069" s="452"/>
      <c r="J1069" s="113"/>
      <c r="K1069" s="80"/>
      <c r="L1069" s="379"/>
      <c r="M1069" s="80"/>
      <c r="N1069" s="80"/>
      <c r="O1069" s="356" t="e">
        <f>N1069/M1069*100</f>
        <v>#DIV/0!</v>
      </c>
      <c r="P1069" s="80"/>
      <c r="Q1069" s="80"/>
      <c r="R1069" s="350"/>
    </row>
    <row r="1070" spans="1:18" s="199" customFormat="1" ht="24" hidden="1">
      <c r="A1070" s="111">
        <v>4170</v>
      </c>
      <c r="B1070" s="193" t="s">
        <v>511</v>
      </c>
      <c r="C1070" s="79"/>
      <c r="D1070" s="65">
        <f>G1070+J1070+P1070+M1070</f>
        <v>0</v>
      </c>
      <c r="E1070" s="80">
        <f t="shared" si="135"/>
        <v>0</v>
      </c>
      <c r="F1070" s="475"/>
      <c r="G1070" s="79"/>
      <c r="H1070" s="80"/>
      <c r="I1070" s="452"/>
      <c r="J1070" s="113"/>
      <c r="K1070" s="80"/>
      <c r="L1070" s="379"/>
      <c r="M1070" s="80"/>
      <c r="N1070" s="80"/>
      <c r="O1070" s="356"/>
      <c r="P1070" s="80"/>
      <c r="Q1070" s="80"/>
      <c r="R1070" s="350"/>
    </row>
    <row r="1071" spans="1:18" s="199" customFormat="1" ht="16.5" customHeight="1">
      <c r="A1071" s="111">
        <v>4270</v>
      </c>
      <c r="B1071" s="115" t="s">
        <v>487</v>
      </c>
      <c r="C1071" s="79"/>
      <c r="D1071" s="65">
        <f>G1071+J1071+P1071+M1071</f>
        <v>36000</v>
      </c>
      <c r="E1071" s="80">
        <f t="shared" si="135"/>
        <v>0</v>
      </c>
      <c r="F1071" s="475">
        <f>E1071/D1071*100</f>
        <v>0</v>
      </c>
      <c r="G1071" s="79">
        <v>36000</v>
      </c>
      <c r="H1071" s="80"/>
      <c r="I1071" s="452">
        <f t="shared" si="131"/>
        <v>0</v>
      </c>
      <c r="J1071" s="113"/>
      <c r="K1071" s="80"/>
      <c r="L1071" s="379"/>
      <c r="M1071" s="80"/>
      <c r="N1071" s="80"/>
      <c r="O1071" s="356"/>
      <c r="P1071" s="80"/>
      <c r="Q1071" s="80"/>
      <c r="R1071" s="350"/>
    </row>
    <row r="1072" spans="1:18" s="199" customFormat="1" ht="18" customHeight="1">
      <c r="A1072" s="111">
        <v>4300</v>
      </c>
      <c r="B1072" s="262" t="s">
        <v>502</v>
      </c>
      <c r="C1072" s="79">
        <v>536900</v>
      </c>
      <c r="D1072" s="65">
        <f t="shared" si="133"/>
        <v>449900</v>
      </c>
      <c r="E1072" s="80">
        <f t="shared" si="135"/>
        <v>190526</v>
      </c>
      <c r="F1072" s="475">
        <f t="shared" si="130"/>
        <v>42.34852189375417</v>
      </c>
      <c r="G1072" s="79">
        <f>536900-15000-72000</f>
        <v>449900</v>
      </c>
      <c r="H1072" s="80">
        <v>190526</v>
      </c>
      <c r="I1072" s="452">
        <f t="shared" si="131"/>
        <v>42.34852189375417</v>
      </c>
      <c r="J1072" s="113"/>
      <c r="K1072" s="80"/>
      <c r="L1072" s="379"/>
      <c r="M1072" s="80"/>
      <c r="N1072" s="80"/>
      <c r="O1072" s="356"/>
      <c r="P1072" s="80"/>
      <c r="Q1072" s="80"/>
      <c r="R1072" s="350"/>
    </row>
    <row r="1073" spans="1:18" ht="48" hidden="1">
      <c r="A1073" s="111">
        <v>6050</v>
      </c>
      <c r="B1073" s="115" t="s">
        <v>344</v>
      </c>
      <c r="C1073" s="79"/>
      <c r="D1073" s="65">
        <f>G1073+J1073+P1073+M1073</f>
        <v>0</v>
      </c>
      <c r="E1073" s="80">
        <f t="shared" si="135"/>
        <v>0</v>
      </c>
      <c r="F1073" s="475" t="e">
        <f>E1073/D1073*100</f>
        <v>#DIV/0!</v>
      </c>
      <c r="G1073" s="79"/>
      <c r="H1073" s="114"/>
      <c r="I1073" s="452" t="e">
        <f t="shared" si="131"/>
        <v>#DIV/0!</v>
      </c>
      <c r="J1073" s="140"/>
      <c r="K1073" s="80"/>
      <c r="L1073" s="379"/>
      <c r="M1073" s="114"/>
      <c r="N1073" s="114"/>
      <c r="O1073" s="390"/>
      <c r="P1073" s="114"/>
      <c r="Q1073" s="114"/>
      <c r="R1073" s="349"/>
    </row>
    <row r="1074" spans="1:18" ht="36" hidden="1">
      <c r="A1074" s="111">
        <v>6050</v>
      </c>
      <c r="B1074" s="115" t="s">
        <v>301</v>
      </c>
      <c r="C1074" s="79"/>
      <c r="D1074" s="65">
        <f t="shared" si="133"/>
        <v>0</v>
      </c>
      <c r="E1074" s="80">
        <f t="shared" si="135"/>
        <v>0</v>
      </c>
      <c r="F1074" s="475" t="e">
        <f t="shared" si="130"/>
        <v>#DIV/0!</v>
      </c>
      <c r="G1074" s="79"/>
      <c r="H1074" s="114"/>
      <c r="I1074" s="452" t="e">
        <f t="shared" si="131"/>
        <v>#DIV/0!</v>
      </c>
      <c r="J1074" s="140"/>
      <c r="K1074" s="80"/>
      <c r="L1074" s="379"/>
      <c r="M1074" s="114"/>
      <c r="N1074" s="114"/>
      <c r="O1074" s="390"/>
      <c r="P1074" s="114"/>
      <c r="Q1074" s="114"/>
      <c r="R1074" s="349"/>
    </row>
    <row r="1075" spans="1:18" ht="75" customHeight="1" thickBot="1">
      <c r="A1075" s="335">
        <v>6210</v>
      </c>
      <c r="B1075" s="550" t="s">
        <v>536</v>
      </c>
      <c r="C1075" s="79"/>
      <c r="D1075" s="65">
        <f>G1075+J1075+P1075+M1075</f>
        <v>36000</v>
      </c>
      <c r="E1075" s="80">
        <f>SUM(H1075+K1075+N1075+Q1075)</f>
        <v>0</v>
      </c>
      <c r="F1075" s="475">
        <f>E1075/D1075*100</f>
        <v>0</v>
      </c>
      <c r="G1075" s="79">
        <v>36000</v>
      </c>
      <c r="H1075" s="114"/>
      <c r="I1075" s="452">
        <f t="shared" si="131"/>
        <v>0</v>
      </c>
      <c r="J1075" s="140"/>
      <c r="K1075" s="80"/>
      <c r="L1075" s="379"/>
      <c r="M1075" s="549"/>
      <c r="N1075" s="114"/>
      <c r="O1075" s="390"/>
      <c r="P1075" s="114"/>
      <c r="Q1075" s="114"/>
      <c r="R1075" s="349"/>
    </row>
    <row r="1076" spans="1:18" s="13" customFormat="1" ht="27" thickBot="1" thickTop="1">
      <c r="A1076" s="278">
        <v>852</v>
      </c>
      <c r="B1076" s="279" t="s">
        <v>62</v>
      </c>
      <c r="C1076" s="120">
        <f>C1077+C1139+C1142+C1218+C1226+C1249+C1252+C1277+C1255+C1355+C1373+C1316+C1326+C1258+C1260+C1371</f>
        <v>47118568</v>
      </c>
      <c r="D1076" s="51">
        <f>G1076+J1076+P1076+M1076</f>
        <v>47365378</v>
      </c>
      <c r="E1076" s="51">
        <f>H1076+K1076+Q1076+N1076</f>
        <v>21228665</v>
      </c>
      <c r="F1076" s="507">
        <f t="shared" si="130"/>
        <v>44.81894982448995</v>
      </c>
      <c r="G1076" s="120">
        <f>G1077+G1139+G1142+G1218+G1226+G1249+G1252+G1277+G1255+G1355+G1373+G1316+G1326+G1258+G1260+G1371</f>
        <v>18789340</v>
      </c>
      <c r="H1076" s="51">
        <f>H1077+H1139+H1142+H1218+H1226+H1249+H1252+H1277+H1255+H1355+H1373+H1316+H1326+H1258+H1260+H1371</f>
        <v>8904079</v>
      </c>
      <c r="I1076" s="480">
        <f>H1076/G1076*100</f>
        <v>47.38899290768063</v>
      </c>
      <c r="J1076" s="51">
        <f>J1077+J1139+J1142+J1218+J1226+J1249+J1252+J1277+J1255+J1355+J1373+J1316+J1326+J1258+J1260+J1371</f>
        <v>22634000</v>
      </c>
      <c r="K1076" s="51">
        <f>K1077+K1139+K1142+K1218+K1226+K1249+K1252+K1277+K1255+K1355+K1373+K1316+K1326+K1258+K1260+K1371</f>
        <v>9768086</v>
      </c>
      <c r="L1076" s="387">
        <f>K1076/J1076*100</f>
        <v>43.15669347000088</v>
      </c>
      <c r="M1076" s="239">
        <f>M1077+M1139+M1142+M1218+M1226+M1252+M1277+M1255+M1355+M1373+M1316+M1326+M1258+M1260</f>
        <v>5926038</v>
      </c>
      <c r="N1076" s="51">
        <f>N1077+N1139+N1142+N1218+N1226+N1252+N1277+N1255+N1355+N1373+N1316+N1326+N1258+N1260</f>
        <v>2556500</v>
      </c>
      <c r="O1076" s="343">
        <f aca="true" t="shared" si="136" ref="O1076:O1138">N1076/M1076*100</f>
        <v>43.14012161245</v>
      </c>
      <c r="P1076" s="51">
        <f>P1316+P1326+P1373</f>
        <v>16000</v>
      </c>
      <c r="Q1076" s="51">
        <f>Q1316+Q1326+Q1373</f>
        <v>0</v>
      </c>
      <c r="R1076" s="343">
        <f>Q1076/P1076*100</f>
        <v>0</v>
      </c>
    </row>
    <row r="1077" spans="1:18" s="105" customFormat="1" ht="33.75" customHeight="1" thickTop="1">
      <c r="A1077" s="240">
        <v>85201</v>
      </c>
      <c r="B1077" s="280" t="s">
        <v>63</v>
      </c>
      <c r="C1077" s="57">
        <f>SUM(C1078:C1082)+C1099+C1119</f>
        <v>1246334</v>
      </c>
      <c r="D1077" s="58">
        <f>G1077+J1077+P1077+M1077</f>
        <v>1251544</v>
      </c>
      <c r="E1077" s="179">
        <f>H1077+K1077+Q1077+N1077</f>
        <v>553481</v>
      </c>
      <c r="F1077" s="510">
        <f t="shared" si="130"/>
        <v>44.22385469468113</v>
      </c>
      <c r="G1077" s="242">
        <f>SUM(G1078:G1082)</f>
        <v>161258</v>
      </c>
      <c r="H1077" s="173">
        <f>SUM(H1078:H1082)</f>
        <v>75381</v>
      </c>
      <c r="I1077" s="484">
        <f>H1077/G1077*100</f>
        <v>46.74558781579828</v>
      </c>
      <c r="J1077" s="254"/>
      <c r="K1077" s="173"/>
      <c r="L1077" s="408"/>
      <c r="M1077" s="59">
        <f>SUM(M1078:M1081)+M1099+M1119</f>
        <v>1090286</v>
      </c>
      <c r="N1077" s="59">
        <f>SUM(N1078:N1081)+N1099+N1119</f>
        <v>478100</v>
      </c>
      <c r="O1077" s="446">
        <f t="shared" si="136"/>
        <v>43.850879494004324</v>
      </c>
      <c r="P1077" s="59"/>
      <c r="Q1077" s="59"/>
      <c r="R1077" s="371"/>
    </row>
    <row r="1078" spans="1:18" s="105" customFormat="1" ht="62.25" customHeight="1">
      <c r="A1078" s="131">
        <v>2320</v>
      </c>
      <c r="B1078" s="287" t="s">
        <v>569</v>
      </c>
      <c r="C1078" s="133">
        <v>412000</v>
      </c>
      <c r="D1078" s="134">
        <f aca="true" t="shared" si="137" ref="D1078:E1100">G1078+J1078+P1078+M1078</f>
        <v>412000</v>
      </c>
      <c r="E1078" s="134">
        <f t="shared" si="137"/>
        <v>198025</v>
      </c>
      <c r="F1078" s="506">
        <f t="shared" si="130"/>
        <v>48.064320388349515</v>
      </c>
      <c r="G1078" s="600"/>
      <c r="H1078" s="134"/>
      <c r="I1078" s="610"/>
      <c r="J1078" s="110"/>
      <c r="K1078" s="75"/>
      <c r="L1078" s="406"/>
      <c r="M1078" s="133">
        <v>412000</v>
      </c>
      <c r="N1078" s="136">
        <f>198025+1-1</f>
        <v>198025</v>
      </c>
      <c r="O1078" s="432">
        <f t="shared" si="136"/>
        <v>48.064320388349515</v>
      </c>
      <c r="P1078" s="136"/>
      <c r="Q1078" s="136"/>
      <c r="R1078" s="360"/>
    </row>
    <row r="1079" spans="1:18" s="105" customFormat="1" ht="52.5" customHeight="1">
      <c r="A1079" s="111">
        <v>2820</v>
      </c>
      <c r="B1079" s="262" t="s">
        <v>64</v>
      </c>
      <c r="C1079" s="79">
        <v>46000</v>
      </c>
      <c r="D1079" s="65">
        <f t="shared" si="137"/>
        <v>46000</v>
      </c>
      <c r="E1079" s="65">
        <f t="shared" si="137"/>
        <v>23000</v>
      </c>
      <c r="F1079" s="475">
        <f t="shared" si="130"/>
        <v>50</v>
      </c>
      <c r="G1079" s="161"/>
      <c r="H1079" s="65"/>
      <c r="I1079" s="477"/>
      <c r="J1079" s="170"/>
      <c r="K1079" s="169"/>
      <c r="L1079" s="392"/>
      <c r="M1079" s="79">
        <v>46000</v>
      </c>
      <c r="N1079" s="80">
        <v>23000</v>
      </c>
      <c r="O1079" s="426">
        <f t="shared" si="136"/>
        <v>50</v>
      </c>
      <c r="P1079" s="80"/>
      <c r="Q1079" s="80"/>
      <c r="R1079" s="350"/>
    </row>
    <row r="1080" spans="1:18" s="105" customFormat="1" ht="12.75" hidden="1">
      <c r="A1080" s="111">
        <v>4580</v>
      </c>
      <c r="B1080" s="276" t="s">
        <v>525</v>
      </c>
      <c r="C1080" s="79"/>
      <c r="D1080" s="65">
        <f>G1080+J1080+P1080+M1080</f>
        <v>0</v>
      </c>
      <c r="E1080" s="65">
        <f>H1080+K1080+Q1080+N1080</f>
        <v>0</v>
      </c>
      <c r="F1080" s="475" t="e">
        <f>E1080/D1080*100</f>
        <v>#DIV/0!</v>
      </c>
      <c r="G1080" s="161"/>
      <c r="H1080" s="65"/>
      <c r="I1080" s="477"/>
      <c r="J1080" s="170"/>
      <c r="K1080" s="169"/>
      <c r="L1080" s="392"/>
      <c r="M1080" s="79"/>
      <c r="N1080" s="80"/>
      <c r="O1080" s="426" t="e">
        <f t="shared" si="136"/>
        <v>#DIV/0!</v>
      </c>
      <c r="P1080" s="80"/>
      <c r="Q1080" s="80"/>
      <c r="R1080" s="350"/>
    </row>
    <row r="1081" spans="1:18" s="105" customFormat="1" ht="16.5" customHeight="1">
      <c r="A1081" s="111">
        <v>3110</v>
      </c>
      <c r="B1081" s="262" t="s">
        <v>65</v>
      </c>
      <c r="C1081" s="79">
        <v>220000</v>
      </c>
      <c r="D1081" s="65">
        <f t="shared" si="137"/>
        <v>220000</v>
      </c>
      <c r="E1081" s="65">
        <f t="shared" si="137"/>
        <v>81455</v>
      </c>
      <c r="F1081" s="475">
        <f t="shared" si="130"/>
        <v>37.025000000000006</v>
      </c>
      <c r="G1081" s="161"/>
      <c r="H1081" s="65"/>
      <c r="I1081" s="477"/>
      <c r="J1081" s="170"/>
      <c r="K1081" s="169"/>
      <c r="L1081" s="392"/>
      <c r="M1081" s="79">
        <v>220000</v>
      </c>
      <c r="N1081" s="80">
        <v>81455</v>
      </c>
      <c r="O1081" s="426">
        <f t="shared" si="136"/>
        <v>37.025000000000006</v>
      </c>
      <c r="P1081" s="80"/>
      <c r="Q1081" s="80"/>
      <c r="R1081" s="350"/>
    </row>
    <row r="1082" spans="1:18" s="130" customFormat="1" ht="16.5" customHeight="1">
      <c r="A1082" s="188"/>
      <c r="B1082" s="281" t="s">
        <v>374</v>
      </c>
      <c r="C1082" s="190">
        <f>SUM(C1083:C1098)</f>
        <v>161258</v>
      </c>
      <c r="D1082" s="109">
        <f>G1082+J1082+P1082+M1082</f>
        <v>161258</v>
      </c>
      <c r="E1082" s="109">
        <f>H1082+K1082+Q1082+N1082</f>
        <v>75381</v>
      </c>
      <c r="F1082" s="526">
        <f>E1082/D1082*100</f>
        <v>46.74558781579828</v>
      </c>
      <c r="G1082" s="585">
        <f>SUM(G1083:G1098)</f>
        <v>161258</v>
      </c>
      <c r="H1082" s="109">
        <f>SUM(H1083:H1098)</f>
        <v>75381</v>
      </c>
      <c r="I1082" s="586">
        <f>H1082/G1082*100</f>
        <v>46.74558781579828</v>
      </c>
      <c r="J1082" s="191"/>
      <c r="K1082" s="109"/>
      <c r="L1082" s="409"/>
      <c r="M1082" s="190"/>
      <c r="N1082" s="109"/>
      <c r="O1082" s="472"/>
      <c r="P1082" s="109"/>
      <c r="Q1082" s="109"/>
      <c r="R1082" s="359"/>
    </row>
    <row r="1083" spans="1:18" s="105" customFormat="1" ht="24">
      <c r="A1083" s="111">
        <v>4010</v>
      </c>
      <c r="B1083" s="262" t="s">
        <v>471</v>
      </c>
      <c r="C1083" s="79">
        <v>91217</v>
      </c>
      <c r="D1083" s="65">
        <f t="shared" si="137"/>
        <v>91217</v>
      </c>
      <c r="E1083" s="65">
        <f t="shared" si="137"/>
        <v>43449</v>
      </c>
      <c r="F1083" s="475">
        <f t="shared" si="130"/>
        <v>47.6325684905226</v>
      </c>
      <c r="G1083" s="79">
        <v>91217</v>
      </c>
      <c r="H1083" s="65">
        <f>43448+1</f>
        <v>43449</v>
      </c>
      <c r="I1083" s="477">
        <f>H1083/G1083*100</f>
        <v>47.6325684905226</v>
      </c>
      <c r="J1083" s="170"/>
      <c r="K1083" s="169"/>
      <c r="L1083" s="392"/>
      <c r="M1083" s="79"/>
      <c r="N1083" s="80"/>
      <c r="O1083" s="211"/>
      <c r="P1083" s="80"/>
      <c r="Q1083" s="80"/>
      <c r="R1083" s="350"/>
    </row>
    <row r="1084" spans="1:18" s="105" customFormat="1" ht="24">
      <c r="A1084" s="111">
        <v>4040</v>
      </c>
      <c r="B1084" s="262" t="s">
        <v>516</v>
      </c>
      <c r="C1084" s="79">
        <v>7381</v>
      </c>
      <c r="D1084" s="65">
        <f t="shared" si="137"/>
        <v>7381</v>
      </c>
      <c r="E1084" s="80">
        <f aca="true" t="shared" si="138" ref="E1084:E1138">SUM(H1084+K1084+N1084+Q1084)</f>
        <v>7193</v>
      </c>
      <c r="F1084" s="475">
        <f t="shared" si="130"/>
        <v>97.45291965858284</v>
      </c>
      <c r="G1084" s="79">
        <v>7381</v>
      </c>
      <c r="H1084" s="65">
        <v>7193</v>
      </c>
      <c r="I1084" s="477">
        <f aca="true" t="shared" si="139" ref="I1084:I1098">H1084/G1084*100</f>
        <v>97.45291965858284</v>
      </c>
      <c r="J1084" s="170"/>
      <c r="K1084" s="169"/>
      <c r="L1084" s="392"/>
      <c r="M1084" s="79"/>
      <c r="N1084" s="80"/>
      <c r="O1084" s="211"/>
      <c r="P1084" s="80"/>
      <c r="Q1084" s="80"/>
      <c r="R1084" s="350"/>
    </row>
    <row r="1085" spans="1:18" s="105" customFormat="1" ht="24">
      <c r="A1085" s="111">
        <v>4110</v>
      </c>
      <c r="B1085" s="262" t="s">
        <v>477</v>
      </c>
      <c r="C1085" s="79">
        <v>15795</v>
      </c>
      <c r="D1085" s="65">
        <f t="shared" si="137"/>
        <v>15795</v>
      </c>
      <c r="E1085" s="80">
        <f t="shared" si="138"/>
        <v>8156</v>
      </c>
      <c r="F1085" s="475">
        <f t="shared" si="130"/>
        <v>51.636593858816084</v>
      </c>
      <c r="G1085" s="79">
        <v>15795</v>
      </c>
      <c r="H1085" s="65">
        <v>8156</v>
      </c>
      <c r="I1085" s="477">
        <f t="shared" si="139"/>
        <v>51.636593858816084</v>
      </c>
      <c r="J1085" s="170"/>
      <c r="K1085" s="169"/>
      <c r="L1085" s="392"/>
      <c r="M1085" s="79"/>
      <c r="N1085" s="80"/>
      <c r="O1085" s="211"/>
      <c r="P1085" s="80"/>
      <c r="Q1085" s="80"/>
      <c r="R1085" s="350"/>
    </row>
    <row r="1086" spans="1:18" s="105" customFormat="1" ht="12.75">
      <c r="A1086" s="111">
        <v>4120</v>
      </c>
      <c r="B1086" s="262" t="s">
        <v>547</v>
      </c>
      <c r="C1086" s="79">
        <v>2240</v>
      </c>
      <c r="D1086" s="65">
        <f t="shared" si="137"/>
        <v>2240</v>
      </c>
      <c r="E1086" s="80">
        <f t="shared" si="138"/>
        <v>1176</v>
      </c>
      <c r="F1086" s="475">
        <f aca="true" t="shared" si="140" ref="F1086:F1152">E1086/D1086*100</f>
        <v>52.5</v>
      </c>
      <c r="G1086" s="79">
        <v>2240</v>
      </c>
      <c r="H1086" s="65">
        <v>1176</v>
      </c>
      <c r="I1086" s="477">
        <f t="shared" si="139"/>
        <v>52.5</v>
      </c>
      <c r="J1086" s="170"/>
      <c r="K1086" s="169"/>
      <c r="L1086" s="392"/>
      <c r="M1086" s="79"/>
      <c r="N1086" s="80"/>
      <c r="O1086" s="211"/>
      <c r="P1086" s="80"/>
      <c r="Q1086" s="80"/>
      <c r="R1086" s="350"/>
    </row>
    <row r="1087" spans="1:18" s="105" customFormat="1" ht="24">
      <c r="A1087" s="111">
        <v>4210</v>
      </c>
      <c r="B1087" s="262" t="s">
        <v>481</v>
      </c>
      <c r="C1087" s="79">
        <v>10000</v>
      </c>
      <c r="D1087" s="65">
        <f t="shared" si="137"/>
        <v>8840</v>
      </c>
      <c r="E1087" s="80">
        <f t="shared" si="138"/>
        <v>1829</v>
      </c>
      <c r="F1087" s="475">
        <f t="shared" si="140"/>
        <v>20.690045248868778</v>
      </c>
      <c r="G1087" s="79">
        <f>10000-1160</f>
        <v>8840</v>
      </c>
      <c r="H1087" s="65">
        <v>1829</v>
      </c>
      <c r="I1087" s="477">
        <f t="shared" si="139"/>
        <v>20.690045248868778</v>
      </c>
      <c r="J1087" s="170"/>
      <c r="K1087" s="169"/>
      <c r="L1087" s="392"/>
      <c r="M1087" s="79"/>
      <c r="N1087" s="80"/>
      <c r="O1087" s="211"/>
      <c r="P1087" s="80"/>
      <c r="Q1087" s="80"/>
      <c r="R1087" s="350"/>
    </row>
    <row r="1088" spans="1:18" s="105" customFormat="1" ht="12.75">
      <c r="A1088" s="111">
        <v>4260</v>
      </c>
      <c r="B1088" s="262" t="s">
        <v>485</v>
      </c>
      <c r="C1088" s="79">
        <v>8000</v>
      </c>
      <c r="D1088" s="65">
        <f t="shared" si="137"/>
        <v>8000</v>
      </c>
      <c r="E1088" s="80">
        <f t="shared" si="138"/>
        <v>4529</v>
      </c>
      <c r="F1088" s="475">
        <f t="shared" si="140"/>
        <v>56.6125</v>
      </c>
      <c r="G1088" s="79">
        <v>8000</v>
      </c>
      <c r="H1088" s="65">
        <v>4529</v>
      </c>
      <c r="I1088" s="477">
        <f t="shared" si="139"/>
        <v>56.6125</v>
      </c>
      <c r="J1088" s="170"/>
      <c r="K1088" s="169"/>
      <c r="L1088" s="392"/>
      <c r="M1088" s="79"/>
      <c r="N1088" s="80"/>
      <c r="O1088" s="211"/>
      <c r="P1088" s="80"/>
      <c r="Q1088" s="80"/>
      <c r="R1088" s="350"/>
    </row>
    <row r="1089" spans="1:18" s="105" customFormat="1" ht="24" hidden="1">
      <c r="A1089" s="111">
        <v>4270</v>
      </c>
      <c r="B1089" s="262" t="s">
        <v>487</v>
      </c>
      <c r="C1089" s="79"/>
      <c r="D1089" s="65">
        <f t="shared" si="137"/>
        <v>0</v>
      </c>
      <c r="E1089" s="80">
        <f t="shared" si="138"/>
        <v>0</v>
      </c>
      <c r="F1089" s="475" t="e">
        <f t="shared" si="140"/>
        <v>#DIV/0!</v>
      </c>
      <c r="G1089" s="79"/>
      <c r="H1089" s="65"/>
      <c r="I1089" s="477" t="e">
        <f t="shared" si="139"/>
        <v>#DIV/0!</v>
      </c>
      <c r="J1089" s="170"/>
      <c r="K1089" s="169"/>
      <c r="L1089" s="392"/>
      <c r="M1089" s="79"/>
      <c r="N1089" s="80"/>
      <c r="O1089" s="211"/>
      <c r="P1089" s="80"/>
      <c r="Q1089" s="80"/>
      <c r="R1089" s="350"/>
    </row>
    <row r="1090" spans="1:18" s="105" customFormat="1" ht="17.25" customHeight="1">
      <c r="A1090" s="111">
        <v>4280</v>
      </c>
      <c r="B1090" s="262" t="s">
        <v>520</v>
      </c>
      <c r="C1090" s="79">
        <v>100</v>
      </c>
      <c r="D1090" s="65">
        <f t="shared" si="137"/>
        <v>100</v>
      </c>
      <c r="E1090" s="80">
        <f t="shared" si="138"/>
        <v>43</v>
      </c>
      <c r="F1090" s="475">
        <f t="shared" si="140"/>
        <v>43</v>
      </c>
      <c r="G1090" s="79">
        <v>100</v>
      </c>
      <c r="H1090" s="65">
        <v>43</v>
      </c>
      <c r="I1090" s="477">
        <f t="shared" si="139"/>
        <v>43</v>
      </c>
      <c r="J1090" s="170"/>
      <c r="K1090" s="169"/>
      <c r="L1090" s="392"/>
      <c r="M1090" s="79"/>
      <c r="N1090" s="80"/>
      <c r="O1090" s="211"/>
      <c r="P1090" s="80"/>
      <c r="Q1090" s="80"/>
      <c r="R1090" s="350"/>
    </row>
    <row r="1091" spans="1:18" s="105" customFormat="1" ht="12" customHeight="1">
      <c r="A1091" s="111">
        <v>4300</v>
      </c>
      <c r="B1091" s="262" t="s">
        <v>489</v>
      </c>
      <c r="C1091" s="79">
        <v>21000</v>
      </c>
      <c r="D1091" s="65">
        <f t="shared" si="137"/>
        <v>21000</v>
      </c>
      <c r="E1091" s="80">
        <f t="shared" si="138"/>
        <v>5352</v>
      </c>
      <c r="F1091" s="475">
        <f t="shared" si="140"/>
        <v>25.485714285714284</v>
      </c>
      <c r="G1091" s="79">
        <v>21000</v>
      </c>
      <c r="H1091" s="65">
        <v>5352</v>
      </c>
      <c r="I1091" s="477">
        <f t="shared" si="139"/>
        <v>25.485714285714284</v>
      </c>
      <c r="J1091" s="170"/>
      <c r="K1091" s="169"/>
      <c r="L1091" s="392"/>
      <c r="M1091" s="79"/>
      <c r="N1091" s="80"/>
      <c r="O1091" s="211"/>
      <c r="P1091" s="80"/>
      <c r="Q1091" s="80"/>
      <c r="R1091" s="350"/>
    </row>
    <row r="1092" spans="1:18" s="105" customFormat="1" ht="24">
      <c r="A1092" s="111">
        <v>4350</v>
      </c>
      <c r="B1092" s="193" t="s">
        <v>7</v>
      </c>
      <c r="C1092" s="79"/>
      <c r="D1092" s="65">
        <f t="shared" si="137"/>
        <v>560</v>
      </c>
      <c r="E1092" s="80">
        <f>SUM(H1092+K1092+N1092+Q1092)</f>
        <v>0</v>
      </c>
      <c r="F1092" s="475">
        <f>E1092/D1092*100</f>
        <v>0</v>
      </c>
      <c r="G1092" s="79">
        <v>560</v>
      </c>
      <c r="H1092" s="65"/>
      <c r="I1092" s="477">
        <f t="shared" si="139"/>
        <v>0</v>
      </c>
      <c r="J1092" s="170"/>
      <c r="K1092" s="169"/>
      <c r="L1092" s="392"/>
      <c r="M1092" s="79"/>
      <c r="N1092" s="80"/>
      <c r="O1092" s="211"/>
      <c r="P1092" s="80"/>
      <c r="Q1092" s="80"/>
      <c r="R1092" s="350"/>
    </row>
    <row r="1093" spans="1:18" s="105" customFormat="1" ht="38.25" customHeight="1">
      <c r="A1093" s="159">
        <v>4370</v>
      </c>
      <c r="B1093" s="326" t="s">
        <v>296</v>
      </c>
      <c r="C1093" s="79">
        <v>1200</v>
      </c>
      <c r="D1093" s="65">
        <f t="shared" si="137"/>
        <v>1200</v>
      </c>
      <c r="E1093" s="80">
        <f t="shared" si="138"/>
        <v>426</v>
      </c>
      <c r="F1093" s="475">
        <f t="shared" si="140"/>
        <v>35.5</v>
      </c>
      <c r="G1093" s="79">
        <v>1200</v>
      </c>
      <c r="H1093" s="65">
        <v>426</v>
      </c>
      <c r="I1093" s="477">
        <f t="shared" si="139"/>
        <v>35.5</v>
      </c>
      <c r="J1093" s="170"/>
      <c r="K1093" s="169"/>
      <c r="L1093" s="392"/>
      <c r="M1093" s="79"/>
      <c r="N1093" s="80"/>
      <c r="O1093" s="211"/>
      <c r="P1093" s="80"/>
      <c r="Q1093" s="80"/>
      <c r="R1093" s="350"/>
    </row>
    <row r="1094" spans="1:18" s="105" customFormat="1" ht="12.75">
      <c r="A1094" s="111">
        <v>4440</v>
      </c>
      <c r="B1094" s="262" t="s">
        <v>493</v>
      </c>
      <c r="C1094" s="79">
        <v>2825</v>
      </c>
      <c r="D1094" s="65">
        <f t="shared" si="137"/>
        <v>2825</v>
      </c>
      <c r="E1094" s="80">
        <f>SUM(H1094+K1094+N1094+Q1094)</f>
        <v>2825</v>
      </c>
      <c r="F1094" s="475">
        <f t="shared" si="140"/>
        <v>100</v>
      </c>
      <c r="G1094" s="79">
        <v>2825</v>
      </c>
      <c r="H1094" s="65">
        <v>2825</v>
      </c>
      <c r="I1094" s="477">
        <f t="shared" si="139"/>
        <v>100</v>
      </c>
      <c r="J1094" s="170"/>
      <c r="K1094" s="169"/>
      <c r="L1094" s="392"/>
      <c r="M1094" s="79"/>
      <c r="N1094" s="80"/>
      <c r="O1094" s="211"/>
      <c r="P1094" s="80"/>
      <c r="Q1094" s="80"/>
      <c r="R1094" s="350"/>
    </row>
    <row r="1095" spans="1:18" s="105" customFormat="1" ht="19.5" customHeight="1">
      <c r="A1095" s="111">
        <v>4480</v>
      </c>
      <c r="B1095" s="262" t="s">
        <v>495</v>
      </c>
      <c r="C1095" s="79">
        <v>1500</v>
      </c>
      <c r="D1095" s="65">
        <f t="shared" si="137"/>
        <v>1500</v>
      </c>
      <c r="E1095" s="80">
        <f>SUM(H1095+K1095+N1095+Q1095)</f>
        <v>403</v>
      </c>
      <c r="F1095" s="475">
        <f t="shared" si="140"/>
        <v>26.866666666666667</v>
      </c>
      <c r="G1095" s="79">
        <v>1500</v>
      </c>
      <c r="H1095" s="65">
        <v>403</v>
      </c>
      <c r="I1095" s="477">
        <f t="shared" si="139"/>
        <v>26.866666666666667</v>
      </c>
      <c r="J1095" s="170"/>
      <c r="K1095" s="169"/>
      <c r="L1095" s="392"/>
      <c r="M1095" s="79"/>
      <c r="N1095" s="80"/>
      <c r="O1095" s="211"/>
      <c r="P1095" s="80"/>
      <c r="Q1095" s="80"/>
      <c r="R1095" s="350"/>
    </row>
    <row r="1096" spans="1:18" s="105" customFormat="1" ht="49.5" customHeight="1">
      <c r="A1096" s="111">
        <v>4740</v>
      </c>
      <c r="B1096" s="326" t="s">
        <v>288</v>
      </c>
      <c r="C1096" s="79"/>
      <c r="D1096" s="65">
        <f>G1096+J1096+P1096+M1096</f>
        <v>200</v>
      </c>
      <c r="E1096" s="80">
        <f>SUM(H1096+K1096+N1096+Q1096)</f>
        <v>0</v>
      </c>
      <c r="F1096" s="475">
        <f>E1096/D1096*100</f>
        <v>0</v>
      </c>
      <c r="G1096" s="79">
        <v>200</v>
      </c>
      <c r="H1096" s="65"/>
      <c r="I1096" s="477">
        <f t="shared" si="139"/>
        <v>0</v>
      </c>
      <c r="J1096" s="170"/>
      <c r="K1096" s="169"/>
      <c r="L1096" s="392"/>
      <c r="M1096" s="79"/>
      <c r="N1096" s="80"/>
      <c r="O1096" s="211"/>
      <c r="P1096" s="80"/>
      <c r="Q1096" s="80"/>
      <c r="R1096" s="350"/>
    </row>
    <row r="1097" spans="1:18" s="105" customFormat="1" ht="36">
      <c r="A1097" s="111">
        <v>4750</v>
      </c>
      <c r="B1097" s="326" t="s">
        <v>289</v>
      </c>
      <c r="C1097" s="79"/>
      <c r="D1097" s="65">
        <f>G1097+J1097+P1097+M1097</f>
        <v>400</v>
      </c>
      <c r="E1097" s="80">
        <f>SUM(H1097+K1097+N1097+Q1097)</f>
        <v>0</v>
      </c>
      <c r="F1097" s="475">
        <f>E1097/D1097*100</f>
        <v>0</v>
      </c>
      <c r="G1097" s="79">
        <v>400</v>
      </c>
      <c r="H1097" s="65"/>
      <c r="I1097" s="477">
        <f t="shared" si="139"/>
        <v>0</v>
      </c>
      <c r="J1097" s="170"/>
      <c r="K1097" s="169"/>
      <c r="L1097" s="392"/>
      <c r="M1097" s="79"/>
      <c r="N1097" s="80"/>
      <c r="O1097" s="211"/>
      <c r="P1097" s="80"/>
      <c r="Q1097" s="80"/>
      <c r="R1097" s="350"/>
    </row>
    <row r="1098" spans="1:18" s="105" customFormat="1" ht="36" hidden="1">
      <c r="A1098" s="111">
        <v>6060</v>
      </c>
      <c r="B1098" s="262" t="s">
        <v>8</v>
      </c>
      <c r="C1098" s="79"/>
      <c r="D1098" s="65">
        <f t="shared" si="137"/>
        <v>0</v>
      </c>
      <c r="E1098" s="80">
        <f t="shared" si="138"/>
        <v>0</v>
      </c>
      <c r="F1098" s="475" t="e">
        <f t="shared" si="140"/>
        <v>#DIV/0!</v>
      </c>
      <c r="G1098" s="79"/>
      <c r="H1098" s="65"/>
      <c r="I1098" s="457" t="e">
        <f t="shared" si="139"/>
        <v>#DIV/0!</v>
      </c>
      <c r="J1098" s="170"/>
      <c r="K1098" s="169"/>
      <c r="L1098" s="392"/>
      <c r="M1098" s="79"/>
      <c r="N1098" s="80"/>
      <c r="O1098" s="211"/>
      <c r="P1098" s="80"/>
      <c r="Q1098" s="80"/>
      <c r="R1098" s="350"/>
    </row>
    <row r="1099" spans="1:18" s="130" customFormat="1" ht="24">
      <c r="A1099" s="188"/>
      <c r="B1099" s="281" t="s">
        <v>302</v>
      </c>
      <c r="C1099" s="190">
        <f>SUM(C1100:C1118)</f>
        <v>204598</v>
      </c>
      <c r="D1099" s="109">
        <f t="shared" si="137"/>
        <v>207338</v>
      </c>
      <c r="E1099" s="109">
        <f t="shared" si="138"/>
        <v>94980</v>
      </c>
      <c r="F1099" s="526">
        <f t="shared" si="140"/>
        <v>45.80925831251387</v>
      </c>
      <c r="G1099" s="190"/>
      <c r="H1099" s="109"/>
      <c r="I1099" s="459"/>
      <c r="J1099" s="191"/>
      <c r="K1099" s="191"/>
      <c r="L1099" s="409"/>
      <c r="M1099" s="191">
        <f>SUM(M1100:M1118)</f>
        <v>207338</v>
      </c>
      <c r="N1099" s="191">
        <f>SUM(N1100:N1118)</f>
        <v>94980</v>
      </c>
      <c r="O1099" s="446">
        <f t="shared" si="136"/>
        <v>45.80925831251387</v>
      </c>
      <c r="P1099" s="109"/>
      <c r="Q1099" s="109"/>
      <c r="R1099" s="359"/>
    </row>
    <row r="1100" spans="1:18" s="105" customFormat="1" ht="24">
      <c r="A1100" s="111">
        <v>4010</v>
      </c>
      <c r="B1100" s="115" t="s">
        <v>471</v>
      </c>
      <c r="C1100" s="81">
        <v>53907</v>
      </c>
      <c r="D1100" s="65">
        <f t="shared" si="137"/>
        <v>56647</v>
      </c>
      <c r="E1100" s="80">
        <f t="shared" si="138"/>
        <v>27539</v>
      </c>
      <c r="F1100" s="475">
        <f t="shared" si="140"/>
        <v>48.61510759616573</v>
      </c>
      <c r="G1100" s="168"/>
      <c r="H1100" s="169"/>
      <c r="I1100" s="350"/>
      <c r="J1100" s="170"/>
      <c r="K1100" s="170"/>
      <c r="L1100" s="392"/>
      <c r="M1100" s="113">
        <f>53907+2740</f>
        <v>56647</v>
      </c>
      <c r="N1100" s="80">
        <f>27540-1</f>
        <v>27539</v>
      </c>
      <c r="O1100" s="426">
        <f t="shared" si="136"/>
        <v>48.61510759616573</v>
      </c>
      <c r="P1100" s="80"/>
      <c r="Q1100" s="80"/>
      <c r="R1100" s="350"/>
    </row>
    <row r="1101" spans="1:18" s="105" customFormat="1" ht="24">
      <c r="A1101" s="145">
        <v>4040</v>
      </c>
      <c r="B1101" s="146" t="s">
        <v>516</v>
      </c>
      <c r="C1101" s="147">
        <v>4291</v>
      </c>
      <c r="D1101" s="148">
        <f aca="true" t="shared" si="141" ref="D1101:D1138">G1101+J1101+P1101+M1101</f>
        <v>4291</v>
      </c>
      <c r="E1101" s="142">
        <f t="shared" si="138"/>
        <v>4280</v>
      </c>
      <c r="F1101" s="510">
        <f t="shared" si="140"/>
        <v>99.7436494989513</v>
      </c>
      <c r="G1101" s="177"/>
      <c r="H1101" s="179"/>
      <c r="I1101" s="354"/>
      <c r="J1101" s="180"/>
      <c r="K1101" s="180"/>
      <c r="L1101" s="409"/>
      <c r="M1101" s="149">
        <v>4291</v>
      </c>
      <c r="N1101" s="142">
        <v>4280</v>
      </c>
      <c r="O1101" s="446">
        <f t="shared" si="136"/>
        <v>99.7436494989513</v>
      </c>
      <c r="P1101" s="142"/>
      <c r="Q1101" s="142"/>
      <c r="R1101" s="354"/>
    </row>
    <row r="1102" spans="1:18" s="105" customFormat="1" ht="24">
      <c r="A1102" s="111">
        <v>4110</v>
      </c>
      <c r="B1102" s="115" t="s">
        <v>477</v>
      </c>
      <c r="C1102" s="79">
        <v>9720</v>
      </c>
      <c r="D1102" s="65">
        <f t="shared" si="141"/>
        <v>9720</v>
      </c>
      <c r="E1102" s="80">
        <f t="shared" si="138"/>
        <v>4899</v>
      </c>
      <c r="F1102" s="475">
        <f t="shared" si="140"/>
        <v>50.401234567901234</v>
      </c>
      <c r="G1102" s="168"/>
      <c r="H1102" s="169"/>
      <c r="I1102" s="350"/>
      <c r="J1102" s="170"/>
      <c r="K1102" s="170"/>
      <c r="L1102" s="392"/>
      <c r="M1102" s="113">
        <v>9720</v>
      </c>
      <c r="N1102" s="80">
        <v>4899</v>
      </c>
      <c r="O1102" s="426">
        <f t="shared" si="136"/>
        <v>50.401234567901234</v>
      </c>
      <c r="P1102" s="80"/>
      <c r="Q1102" s="80"/>
      <c r="R1102" s="350"/>
    </row>
    <row r="1103" spans="1:18" s="105" customFormat="1" ht="12.75">
      <c r="A1103" s="111">
        <v>4120</v>
      </c>
      <c r="B1103" s="115" t="s">
        <v>547</v>
      </c>
      <c r="C1103" s="79">
        <v>1480</v>
      </c>
      <c r="D1103" s="65">
        <f t="shared" si="141"/>
        <v>1480</v>
      </c>
      <c r="E1103" s="80">
        <f t="shared" si="138"/>
        <v>750</v>
      </c>
      <c r="F1103" s="475">
        <f t="shared" si="140"/>
        <v>50.67567567567568</v>
      </c>
      <c r="G1103" s="168"/>
      <c r="H1103" s="169"/>
      <c r="I1103" s="350"/>
      <c r="J1103" s="170"/>
      <c r="K1103" s="170"/>
      <c r="L1103" s="392"/>
      <c r="M1103" s="113">
        <v>1480</v>
      </c>
      <c r="N1103" s="80">
        <v>750</v>
      </c>
      <c r="O1103" s="426">
        <f t="shared" si="136"/>
        <v>50.67567567567568</v>
      </c>
      <c r="P1103" s="80"/>
      <c r="Q1103" s="80"/>
      <c r="R1103" s="350"/>
    </row>
    <row r="1104" spans="1:18" s="105" customFormat="1" ht="24">
      <c r="A1104" s="111">
        <v>4170</v>
      </c>
      <c r="B1104" s="115" t="s">
        <v>511</v>
      </c>
      <c r="C1104" s="79">
        <v>10600</v>
      </c>
      <c r="D1104" s="65">
        <f t="shared" si="141"/>
        <v>10600</v>
      </c>
      <c r="E1104" s="80">
        <f t="shared" si="138"/>
        <v>3750</v>
      </c>
      <c r="F1104" s="475">
        <f t="shared" si="140"/>
        <v>35.37735849056604</v>
      </c>
      <c r="G1104" s="168"/>
      <c r="H1104" s="169"/>
      <c r="I1104" s="350"/>
      <c r="J1104" s="170"/>
      <c r="K1104" s="170"/>
      <c r="L1104" s="392"/>
      <c r="M1104" s="113">
        <v>10600</v>
      </c>
      <c r="N1104" s="80">
        <v>3750</v>
      </c>
      <c r="O1104" s="426">
        <f t="shared" si="136"/>
        <v>35.37735849056604</v>
      </c>
      <c r="P1104" s="80"/>
      <c r="Q1104" s="80"/>
      <c r="R1104" s="350"/>
    </row>
    <row r="1105" spans="1:18" s="105" customFormat="1" ht="24">
      <c r="A1105" s="111">
        <v>4210</v>
      </c>
      <c r="B1105" s="115" t="s">
        <v>481</v>
      </c>
      <c r="C1105" s="79">
        <v>12800</v>
      </c>
      <c r="D1105" s="65">
        <f t="shared" si="141"/>
        <v>12800</v>
      </c>
      <c r="E1105" s="80">
        <f t="shared" si="138"/>
        <v>5956</v>
      </c>
      <c r="F1105" s="475">
        <f t="shared" si="140"/>
        <v>46.53125</v>
      </c>
      <c r="G1105" s="168"/>
      <c r="H1105" s="169"/>
      <c r="I1105" s="350"/>
      <c r="J1105" s="170"/>
      <c r="K1105" s="170"/>
      <c r="L1105" s="392"/>
      <c r="M1105" s="113">
        <v>12800</v>
      </c>
      <c r="N1105" s="80">
        <v>5956</v>
      </c>
      <c r="O1105" s="426">
        <f t="shared" si="136"/>
        <v>46.53125</v>
      </c>
      <c r="P1105" s="80"/>
      <c r="Q1105" s="80"/>
      <c r="R1105" s="350"/>
    </row>
    <row r="1106" spans="1:18" s="105" customFormat="1" ht="24">
      <c r="A1106" s="111">
        <v>4230</v>
      </c>
      <c r="B1106" s="115" t="s">
        <v>483</v>
      </c>
      <c r="C1106" s="79">
        <v>200</v>
      </c>
      <c r="D1106" s="65">
        <f t="shared" si="141"/>
        <v>200</v>
      </c>
      <c r="E1106" s="80">
        <f t="shared" si="138"/>
        <v>200</v>
      </c>
      <c r="F1106" s="475">
        <f t="shared" si="140"/>
        <v>100</v>
      </c>
      <c r="G1106" s="168"/>
      <c r="H1106" s="169"/>
      <c r="I1106" s="350"/>
      <c r="J1106" s="170"/>
      <c r="K1106" s="170"/>
      <c r="L1106" s="392"/>
      <c r="M1106" s="113">
        <v>200</v>
      </c>
      <c r="N1106" s="80">
        <v>200</v>
      </c>
      <c r="O1106" s="426">
        <f t="shared" si="136"/>
        <v>100</v>
      </c>
      <c r="P1106" s="80"/>
      <c r="Q1106" s="80"/>
      <c r="R1106" s="350"/>
    </row>
    <row r="1107" spans="1:18" s="105" customFormat="1" ht="27.75" customHeight="1">
      <c r="A1107" s="111">
        <v>4240</v>
      </c>
      <c r="B1107" s="115" t="s">
        <v>539</v>
      </c>
      <c r="C1107" s="79">
        <v>3600</v>
      </c>
      <c r="D1107" s="65">
        <f t="shared" si="141"/>
        <v>3600</v>
      </c>
      <c r="E1107" s="80">
        <f>SUM(H1107+K1107+N1107+Q1107)</f>
        <v>0</v>
      </c>
      <c r="F1107" s="475">
        <f>E1107/D1107*100</f>
        <v>0</v>
      </c>
      <c r="G1107" s="168"/>
      <c r="H1107" s="169"/>
      <c r="I1107" s="350"/>
      <c r="J1107" s="170"/>
      <c r="K1107" s="170"/>
      <c r="L1107" s="392"/>
      <c r="M1107" s="113">
        <v>3600</v>
      </c>
      <c r="N1107" s="80"/>
      <c r="O1107" s="426">
        <f t="shared" si="136"/>
        <v>0</v>
      </c>
      <c r="P1107" s="80"/>
      <c r="Q1107" s="80"/>
      <c r="R1107" s="350"/>
    </row>
    <row r="1108" spans="1:18" s="105" customFormat="1" ht="12.75">
      <c r="A1108" s="111">
        <v>4260</v>
      </c>
      <c r="B1108" s="115" t="s">
        <v>485</v>
      </c>
      <c r="C1108" s="79">
        <v>5800</v>
      </c>
      <c r="D1108" s="65">
        <f t="shared" si="141"/>
        <v>5800</v>
      </c>
      <c r="E1108" s="80">
        <f t="shared" si="138"/>
        <v>3248</v>
      </c>
      <c r="F1108" s="475">
        <f t="shared" si="140"/>
        <v>56.00000000000001</v>
      </c>
      <c r="G1108" s="168"/>
      <c r="H1108" s="169"/>
      <c r="I1108" s="350"/>
      <c r="J1108" s="170"/>
      <c r="K1108" s="170"/>
      <c r="L1108" s="392"/>
      <c r="M1108" s="113">
        <v>5800</v>
      </c>
      <c r="N1108" s="80">
        <v>3248</v>
      </c>
      <c r="O1108" s="426">
        <f t="shared" si="136"/>
        <v>56.00000000000001</v>
      </c>
      <c r="P1108" s="80"/>
      <c r="Q1108" s="80"/>
      <c r="R1108" s="350"/>
    </row>
    <row r="1109" spans="1:18" s="105" customFormat="1" ht="15" customHeight="1">
      <c r="A1109" s="111">
        <v>4270</v>
      </c>
      <c r="B1109" s="115" t="s">
        <v>487</v>
      </c>
      <c r="C1109" s="79">
        <v>2800</v>
      </c>
      <c r="D1109" s="65">
        <f t="shared" si="141"/>
        <v>2800</v>
      </c>
      <c r="E1109" s="80">
        <f t="shared" si="138"/>
        <v>0</v>
      </c>
      <c r="F1109" s="475">
        <f t="shared" si="140"/>
        <v>0</v>
      </c>
      <c r="G1109" s="168"/>
      <c r="H1109" s="169"/>
      <c r="I1109" s="350"/>
      <c r="J1109" s="170"/>
      <c r="K1109" s="170"/>
      <c r="L1109" s="392"/>
      <c r="M1109" s="113">
        <v>2800</v>
      </c>
      <c r="N1109" s="80"/>
      <c r="O1109" s="426">
        <f t="shared" si="136"/>
        <v>0</v>
      </c>
      <c r="P1109" s="80"/>
      <c r="Q1109" s="80"/>
      <c r="R1109" s="350"/>
    </row>
    <row r="1110" spans="1:18" s="105" customFormat="1" ht="17.25" customHeight="1">
      <c r="A1110" s="111">
        <v>4280</v>
      </c>
      <c r="B1110" s="115" t="s">
        <v>303</v>
      </c>
      <c r="C1110" s="79">
        <v>2100</v>
      </c>
      <c r="D1110" s="65">
        <f t="shared" si="141"/>
        <v>2100</v>
      </c>
      <c r="E1110" s="80">
        <f t="shared" si="138"/>
        <v>0</v>
      </c>
      <c r="F1110" s="475">
        <f t="shared" si="140"/>
        <v>0</v>
      </c>
      <c r="G1110" s="168"/>
      <c r="H1110" s="169"/>
      <c r="I1110" s="350"/>
      <c r="J1110" s="170"/>
      <c r="K1110" s="170"/>
      <c r="L1110" s="392"/>
      <c r="M1110" s="113">
        <v>2100</v>
      </c>
      <c r="N1110" s="80"/>
      <c r="O1110" s="426">
        <f t="shared" si="136"/>
        <v>0</v>
      </c>
      <c r="P1110" s="80"/>
      <c r="Q1110" s="80"/>
      <c r="R1110" s="350"/>
    </row>
    <row r="1111" spans="1:18" s="105" customFormat="1" ht="12" customHeight="1">
      <c r="A1111" s="111">
        <v>4300</v>
      </c>
      <c r="B1111" s="115" t="s">
        <v>489</v>
      </c>
      <c r="C1111" s="79">
        <v>91000</v>
      </c>
      <c r="D1111" s="65">
        <f t="shared" si="141"/>
        <v>91000</v>
      </c>
      <c r="E1111" s="80">
        <f t="shared" si="138"/>
        <v>41761</v>
      </c>
      <c r="F1111" s="475">
        <f t="shared" si="140"/>
        <v>45.89120879120879</v>
      </c>
      <c r="G1111" s="168"/>
      <c r="H1111" s="169"/>
      <c r="I1111" s="350"/>
      <c r="J1111" s="170"/>
      <c r="K1111" s="170"/>
      <c r="L1111" s="392"/>
      <c r="M1111" s="113">
        <v>91000</v>
      </c>
      <c r="N1111" s="80">
        <v>41761</v>
      </c>
      <c r="O1111" s="426">
        <f t="shared" si="136"/>
        <v>45.89120879120879</v>
      </c>
      <c r="P1111" s="80"/>
      <c r="Q1111" s="80"/>
      <c r="R1111" s="350"/>
    </row>
    <row r="1112" spans="1:18" s="105" customFormat="1" ht="24">
      <c r="A1112" s="159">
        <v>4350</v>
      </c>
      <c r="B1112" s="193" t="s">
        <v>7</v>
      </c>
      <c r="C1112" s="79">
        <v>800</v>
      </c>
      <c r="D1112" s="65">
        <f t="shared" si="141"/>
        <v>800</v>
      </c>
      <c r="E1112" s="80">
        <f t="shared" si="138"/>
        <v>322</v>
      </c>
      <c r="F1112" s="475">
        <f t="shared" si="140"/>
        <v>40.25</v>
      </c>
      <c r="G1112" s="168"/>
      <c r="H1112" s="169"/>
      <c r="I1112" s="350"/>
      <c r="J1112" s="170"/>
      <c r="K1112" s="170"/>
      <c r="L1112" s="392"/>
      <c r="M1112" s="113">
        <v>800</v>
      </c>
      <c r="N1112" s="80">
        <v>322</v>
      </c>
      <c r="O1112" s="426">
        <f t="shared" si="136"/>
        <v>40.25</v>
      </c>
      <c r="P1112" s="80"/>
      <c r="Q1112" s="80"/>
      <c r="R1112" s="350"/>
    </row>
    <row r="1113" spans="1:18" s="105" customFormat="1" ht="37.5" customHeight="1">
      <c r="A1113" s="159">
        <v>4370</v>
      </c>
      <c r="B1113" s="193" t="s">
        <v>296</v>
      </c>
      <c r="C1113" s="79">
        <v>1400</v>
      </c>
      <c r="D1113" s="65">
        <f t="shared" si="141"/>
        <v>1400</v>
      </c>
      <c r="E1113" s="80">
        <f t="shared" si="138"/>
        <v>636</v>
      </c>
      <c r="F1113" s="475">
        <f t="shared" si="140"/>
        <v>45.42857142857143</v>
      </c>
      <c r="G1113" s="168"/>
      <c r="H1113" s="169"/>
      <c r="I1113" s="350"/>
      <c r="J1113" s="170"/>
      <c r="K1113" s="170"/>
      <c r="L1113" s="392"/>
      <c r="M1113" s="113">
        <v>1400</v>
      </c>
      <c r="N1113" s="80">
        <v>636</v>
      </c>
      <c r="O1113" s="426">
        <f t="shared" si="136"/>
        <v>45.42857142857143</v>
      </c>
      <c r="P1113" s="80"/>
      <c r="Q1113" s="80"/>
      <c r="R1113" s="350"/>
    </row>
    <row r="1114" spans="1:18" s="105" customFormat="1" ht="12" customHeight="1">
      <c r="A1114" s="111">
        <v>4410</v>
      </c>
      <c r="B1114" s="115" t="s">
        <v>463</v>
      </c>
      <c r="C1114" s="79">
        <v>3000</v>
      </c>
      <c r="D1114" s="65">
        <f t="shared" si="141"/>
        <v>3000</v>
      </c>
      <c r="E1114" s="80">
        <f t="shared" si="138"/>
        <v>1231</v>
      </c>
      <c r="F1114" s="475">
        <f t="shared" si="140"/>
        <v>41.03333333333333</v>
      </c>
      <c r="G1114" s="168"/>
      <c r="H1114" s="169"/>
      <c r="I1114" s="350"/>
      <c r="J1114" s="170"/>
      <c r="K1114" s="170"/>
      <c r="L1114" s="392"/>
      <c r="M1114" s="113">
        <v>3000</v>
      </c>
      <c r="N1114" s="80">
        <v>1231</v>
      </c>
      <c r="O1114" s="426">
        <f t="shared" si="136"/>
        <v>41.03333333333333</v>
      </c>
      <c r="P1114" s="80"/>
      <c r="Q1114" s="80"/>
      <c r="R1114" s="350"/>
    </row>
    <row r="1115" spans="1:18" s="105" customFormat="1" ht="12" customHeight="1" hidden="1">
      <c r="A1115" s="111">
        <v>4440</v>
      </c>
      <c r="B1115" s="262" t="s">
        <v>493</v>
      </c>
      <c r="C1115" s="113"/>
      <c r="D1115" s="65">
        <f t="shared" si="141"/>
        <v>0</v>
      </c>
      <c r="E1115" s="80">
        <f t="shared" si="138"/>
        <v>0</v>
      </c>
      <c r="F1115" s="475" t="e">
        <f t="shared" si="140"/>
        <v>#DIV/0!</v>
      </c>
      <c r="G1115" s="168"/>
      <c r="H1115" s="169"/>
      <c r="I1115" s="350"/>
      <c r="J1115" s="170"/>
      <c r="K1115" s="170"/>
      <c r="L1115" s="392"/>
      <c r="M1115" s="113"/>
      <c r="N1115" s="80"/>
      <c r="O1115" s="426" t="e">
        <f t="shared" si="136"/>
        <v>#DIV/0!</v>
      </c>
      <c r="P1115" s="80"/>
      <c r="Q1115" s="80"/>
      <c r="R1115" s="350"/>
    </row>
    <row r="1116" spans="1:18" s="105" customFormat="1" ht="36">
      <c r="A1116" s="111">
        <v>4700</v>
      </c>
      <c r="B1116" s="326" t="s">
        <v>284</v>
      </c>
      <c r="C1116" s="113">
        <v>500</v>
      </c>
      <c r="D1116" s="65">
        <f>G1116+J1116+P1116+M1116</f>
        <v>500</v>
      </c>
      <c r="E1116" s="80">
        <f>SUM(H1116+K1116+N1116+Q1116)</f>
        <v>210</v>
      </c>
      <c r="F1116" s="475">
        <f>E1116/D1116*100</f>
        <v>42</v>
      </c>
      <c r="G1116" s="168"/>
      <c r="H1116" s="169"/>
      <c r="I1116" s="350"/>
      <c r="J1116" s="170"/>
      <c r="K1116" s="170"/>
      <c r="L1116" s="392"/>
      <c r="M1116" s="113">
        <v>500</v>
      </c>
      <c r="N1116" s="80">
        <v>210</v>
      </c>
      <c r="O1116" s="426">
        <f t="shared" si="136"/>
        <v>42</v>
      </c>
      <c r="P1116" s="80"/>
      <c r="Q1116" s="80"/>
      <c r="R1116" s="350"/>
    </row>
    <row r="1117" spans="1:18" s="105" customFormat="1" ht="50.25" customHeight="1">
      <c r="A1117" s="159">
        <v>4740</v>
      </c>
      <c r="B1117" s="326" t="s">
        <v>288</v>
      </c>
      <c r="C1117" s="113">
        <v>200</v>
      </c>
      <c r="D1117" s="65">
        <f t="shared" si="141"/>
        <v>200</v>
      </c>
      <c r="E1117" s="80">
        <f t="shared" si="138"/>
        <v>0</v>
      </c>
      <c r="F1117" s="475">
        <f t="shared" si="140"/>
        <v>0</v>
      </c>
      <c r="G1117" s="168"/>
      <c r="H1117" s="169"/>
      <c r="I1117" s="350"/>
      <c r="J1117" s="170"/>
      <c r="K1117" s="170"/>
      <c r="L1117" s="392"/>
      <c r="M1117" s="113">
        <v>200</v>
      </c>
      <c r="N1117" s="80"/>
      <c r="O1117" s="426">
        <f t="shared" si="136"/>
        <v>0</v>
      </c>
      <c r="P1117" s="80"/>
      <c r="Q1117" s="80"/>
      <c r="R1117" s="350"/>
    </row>
    <row r="1118" spans="1:18" s="105" customFormat="1" ht="36">
      <c r="A1118" s="159">
        <v>4750</v>
      </c>
      <c r="B1118" s="326" t="s">
        <v>289</v>
      </c>
      <c r="C1118" s="113">
        <v>400</v>
      </c>
      <c r="D1118" s="65">
        <f t="shared" si="141"/>
        <v>400</v>
      </c>
      <c r="E1118" s="80">
        <f t="shared" si="138"/>
        <v>198</v>
      </c>
      <c r="F1118" s="475">
        <f t="shared" si="140"/>
        <v>49.5</v>
      </c>
      <c r="G1118" s="168"/>
      <c r="H1118" s="169"/>
      <c r="I1118" s="350"/>
      <c r="J1118" s="170"/>
      <c r="K1118" s="170"/>
      <c r="L1118" s="392"/>
      <c r="M1118" s="113">
        <v>400</v>
      </c>
      <c r="N1118" s="80">
        <v>198</v>
      </c>
      <c r="O1118" s="426">
        <f t="shared" si="136"/>
        <v>49.5</v>
      </c>
      <c r="P1118" s="80"/>
      <c r="Q1118" s="80"/>
      <c r="R1118" s="350"/>
    </row>
    <row r="1119" spans="1:18" s="130" customFormat="1" ht="24">
      <c r="A1119" s="188"/>
      <c r="B1119" s="281" t="s">
        <v>304</v>
      </c>
      <c r="C1119" s="190">
        <f>SUM(C1120:C1138)</f>
        <v>202478</v>
      </c>
      <c r="D1119" s="109">
        <f t="shared" si="141"/>
        <v>204948</v>
      </c>
      <c r="E1119" s="109">
        <f t="shared" si="138"/>
        <v>80640</v>
      </c>
      <c r="F1119" s="526">
        <f t="shared" si="140"/>
        <v>39.346565958194276</v>
      </c>
      <c r="G1119" s="190"/>
      <c r="H1119" s="109"/>
      <c r="I1119" s="354"/>
      <c r="J1119" s="191"/>
      <c r="K1119" s="191"/>
      <c r="L1119" s="409"/>
      <c r="M1119" s="191">
        <f>SUM(M1120:M1138)</f>
        <v>204948</v>
      </c>
      <c r="N1119" s="191">
        <f>SUM(N1120:N1138)</f>
        <v>80640</v>
      </c>
      <c r="O1119" s="446">
        <f t="shared" si="136"/>
        <v>39.346565958194276</v>
      </c>
      <c r="P1119" s="109"/>
      <c r="Q1119" s="109"/>
      <c r="R1119" s="359"/>
    </row>
    <row r="1120" spans="1:18" s="12" customFormat="1" ht="24">
      <c r="A1120" s="159">
        <v>4010</v>
      </c>
      <c r="B1120" s="277" t="s">
        <v>471</v>
      </c>
      <c r="C1120" s="161">
        <v>59943</v>
      </c>
      <c r="D1120" s="65">
        <f t="shared" si="141"/>
        <v>62413</v>
      </c>
      <c r="E1120" s="65">
        <f t="shared" si="138"/>
        <v>27609</v>
      </c>
      <c r="F1120" s="475">
        <f t="shared" si="140"/>
        <v>44.23597647925913</v>
      </c>
      <c r="G1120" s="161"/>
      <c r="H1120" s="65"/>
      <c r="I1120" s="350"/>
      <c r="J1120" s="162"/>
      <c r="K1120" s="162"/>
      <c r="L1120" s="379"/>
      <c r="M1120" s="162">
        <f>59943+2470</f>
        <v>62413</v>
      </c>
      <c r="N1120" s="65">
        <v>27609</v>
      </c>
      <c r="O1120" s="426">
        <f t="shared" si="136"/>
        <v>44.23597647925913</v>
      </c>
      <c r="P1120" s="65"/>
      <c r="Q1120" s="65"/>
      <c r="R1120" s="350"/>
    </row>
    <row r="1121" spans="1:18" s="12" customFormat="1" ht="24">
      <c r="A1121" s="159">
        <v>4040</v>
      </c>
      <c r="B1121" s="277" t="s">
        <v>516</v>
      </c>
      <c r="C1121" s="161">
        <v>4515</v>
      </c>
      <c r="D1121" s="65">
        <f t="shared" si="141"/>
        <v>4515</v>
      </c>
      <c r="E1121" s="65">
        <f t="shared" si="138"/>
        <v>4496</v>
      </c>
      <c r="F1121" s="475">
        <f t="shared" si="140"/>
        <v>99.57918050941306</v>
      </c>
      <c r="G1121" s="161"/>
      <c r="H1121" s="65"/>
      <c r="I1121" s="350"/>
      <c r="J1121" s="162"/>
      <c r="K1121" s="162"/>
      <c r="L1121" s="379"/>
      <c r="M1121" s="162">
        <v>4515</v>
      </c>
      <c r="N1121" s="65">
        <v>4496</v>
      </c>
      <c r="O1121" s="426">
        <f t="shared" si="136"/>
        <v>99.57918050941306</v>
      </c>
      <c r="P1121" s="65"/>
      <c r="Q1121" s="65"/>
      <c r="R1121" s="350"/>
    </row>
    <row r="1122" spans="1:18" s="12" customFormat="1" ht="24">
      <c r="A1122" s="159">
        <v>4110</v>
      </c>
      <c r="B1122" s="193" t="s">
        <v>477</v>
      </c>
      <c r="C1122" s="161">
        <v>11210</v>
      </c>
      <c r="D1122" s="65">
        <f t="shared" si="141"/>
        <v>11210</v>
      </c>
      <c r="E1122" s="65">
        <f t="shared" si="138"/>
        <v>5138</v>
      </c>
      <c r="F1122" s="475">
        <f t="shared" si="140"/>
        <v>45.83407671721677</v>
      </c>
      <c r="G1122" s="161"/>
      <c r="H1122" s="65"/>
      <c r="I1122" s="350"/>
      <c r="J1122" s="162"/>
      <c r="K1122" s="162"/>
      <c r="L1122" s="379"/>
      <c r="M1122" s="162">
        <v>11210</v>
      </c>
      <c r="N1122" s="65">
        <v>5138</v>
      </c>
      <c r="O1122" s="426">
        <f t="shared" si="136"/>
        <v>45.83407671721677</v>
      </c>
      <c r="P1122" s="65"/>
      <c r="Q1122" s="65"/>
      <c r="R1122" s="350"/>
    </row>
    <row r="1123" spans="1:18" s="12" customFormat="1" ht="12.75">
      <c r="A1123" s="184">
        <v>4120</v>
      </c>
      <c r="B1123" s="243" t="s">
        <v>547</v>
      </c>
      <c r="C1123" s="163">
        <v>1710</v>
      </c>
      <c r="D1123" s="148">
        <f t="shared" si="141"/>
        <v>1710</v>
      </c>
      <c r="E1123" s="148">
        <f t="shared" si="138"/>
        <v>787</v>
      </c>
      <c r="F1123" s="510">
        <f t="shared" si="140"/>
        <v>46.0233918128655</v>
      </c>
      <c r="G1123" s="163"/>
      <c r="H1123" s="148"/>
      <c r="I1123" s="354"/>
      <c r="J1123" s="164"/>
      <c r="K1123" s="164"/>
      <c r="L1123" s="404"/>
      <c r="M1123" s="164">
        <v>1710</v>
      </c>
      <c r="N1123" s="148">
        <v>787</v>
      </c>
      <c r="O1123" s="446">
        <f t="shared" si="136"/>
        <v>46.0233918128655</v>
      </c>
      <c r="P1123" s="148"/>
      <c r="Q1123" s="148"/>
      <c r="R1123" s="354"/>
    </row>
    <row r="1124" spans="1:18" s="12" customFormat="1" ht="24">
      <c r="A1124" s="159">
        <v>4170</v>
      </c>
      <c r="B1124" s="193" t="s">
        <v>511</v>
      </c>
      <c r="C1124" s="161">
        <v>10600</v>
      </c>
      <c r="D1124" s="65">
        <f t="shared" si="141"/>
        <v>10600</v>
      </c>
      <c r="E1124" s="65">
        <f t="shared" si="138"/>
        <v>3750</v>
      </c>
      <c r="F1124" s="475">
        <f t="shared" si="140"/>
        <v>35.37735849056604</v>
      </c>
      <c r="G1124" s="161"/>
      <c r="H1124" s="65"/>
      <c r="I1124" s="350"/>
      <c r="J1124" s="162"/>
      <c r="K1124" s="162"/>
      <c r="L1124" s="379"/>
      <c r="M1124" s="162">
        <v>10600</v>
      </c>
      <c r="N1124" s="65">
        <v>3750</v>
      </c>
      <c r="O1124" s="426">
        <f t="shared" si="136"/>
        <v>35.37735849056604</v>
      </c>
      <c r="P1124" s="65"/>
      <c r="Q1124" s="65"/>
      <c r="R1124" s="350"/>
    </row>
    <row r="1125" spans="1:18" s="12" customFormat="1" ht="24">
      <c r="A1125" s="159">
        <v>4210</v>
      </c>
      <c r="B1125" s="193" t="s">
        <v>481</v>
      </c>
      <c r="C1125" s="161">
        <v>10700</v>
      </c>
      <c r="D1125" s="65">
        <f t="shared" si="141"/>
        <v>10700</v>
      </c>
      <c r="E1125" s="65">
        <f t="shared" si="138"/>
        <v>0</v>
      </c>
      <c r="F1125" s="475">
        <f t="shared" si="140"/>
        <v>0</v>
      </c>
      <c r="G1125" s="161"/>
      <c r="H1125" s="65"/>
      <c r="I1125" s="350"/>
      <c r="J1125" s="162"/>
      <c r="K1125" s="162"/>
      <c r="L1125" s="379"/>
      <c r="M1125" s="162">
        <v>10700</v>
      </c>
      <c r="N1125" s="65"/>
      <c r="O1125" s="426">
        <f t="shared" si="136"/>
        <v>0</v>
      </c>
      <c r="P1125" s="65"/>
      <c r="Q1125" s="65"/>
      <c r="R1125" s="350"/>
    </row>
    <row r="1126" spans="1:18" s="12" customFormat="1" ht="24">
      <c r="A1126" s="159">
        <v>4230</v>
      </c>
      <c r="B1126" s="193" t="s">
        <v>483</v>
      </c>
      <c r="C1126" s="161">
        <v>200</v>
      </c>
      <c r="D1126" s="65">
        <f t="shared" si="141"/>
        <v>200</v>
      </c>
      <c r="E1126" s="65">
        <f t="shared" si="138"/>
        <v>0</v>
      </c>
      <c r="F1126" s="475">
        <f t="shared" si="140"/>
        <v>0</v>
      </c>
      <c r="G1126" s="161"/>
      <c r="H1126" s="65"/>
      <c r="I1126" s="350"/>
      <c r="J1126" s="162"/>
      <c r="K1126" s="162"/>
      <c r="L1126" s="379"/>
      <c r="M1126" s="162">
        <v>200</v>
      </c>
      <c r="N1126" s="65"/>
      <c r="O1126" s="426">
        <f t="shared" si="136"/>
        <v>0</v>
      </c>
      <c r="P1126" s="65"/>
      <c r="Q1126" s="65"/>
      <c r="R1126" s="350"/>
    </row>
    <row r="1127" spans="1:18" s="12" customFormat="1" ht="27" customHeight="1">
      <c r="A1127" s="159">
        <v>4240</v>
      </c>
      <c r="B1127" s="193" t="s">
        <v>539</v>
      </c>
      <c r="C1127" s="161">
        <v>4000</v>
      </c>
      <c r="D1127" s="65">
        <f t="shared" si="141"/>
        <v>4000</v>
      </c>
      <c r="E1127" s="65">
        <f>SUM(H1127+K1127+N1127+Q1127)</f>
        <v>0</v>
      </c>
      <c r="F1127" s="475">
        <f>E1127/D1127*100</f>
        <v>0</v>
      </c>
      <c r="G1127" s="161"/>
      <c r="H1127" s="65"/>
      <c r="I1127" s="350"/>
      <c r="J1127" s="162"/>
      <c r="K1127" s="162"/>
      <c r="L1127" s="379"/>
      <c r="M1127" s="162">
        <v>4000</v>
      </c>
      <c r="N1127" s="65"/>
      <c r="O1127" s="426">
        <f t="shared" si="136"/>
        <v>0</v>
      </c>
      <c r="P1127" s="65"/>
      <c r="Q1127" s="65"/>
      <c r="R1127" s="350"/>
    </row>
    <row r="1128" spans="1:18" s="12" customFormat="1" ht="12.75">
      <c r="A1128" s="159">
        <v>4260</v>
      </c>
      <c r="B1128" s="193" t="s">
        <v>485</v>
      </c>
      <c r="C1128" s="161">
        <v>4800</v>
      </c>
      <c r="D1128" s="65">
        <f t="shared" si="141"/>
        <v>4800</v>
      </c>
      <c r="E1128" s="65">
        <f t="shared" si="138"/>
        <v>2296</v>
      </c>
      <c r="F1128" s="475">
        <f t="shared" si="140"/>
        <v>47.833333333333336</v>
      </c>
      <c r="G1128" s="161"/>
      <c r="H1128" s="65"/>
      <c r="I1128" s="350"/>
      <c r="J1128" s="162"/>
      <c r="K1128" s="162"/>
      <c r="L1128" s="379"/>
      <c r="M1128" s="162">
        <v>4800</v>
      </c>
      <c r="N1128" s="65">
        <v>2296</v>
      </c>
      <c r="O1128" s="426">
        <f t="shared" si="136"/>
        <v>47.833333333333336</v>
      </c>
      <c r="P1128" s="65"/>
      <c r="Q1128" s="65"/>
      <c r="R1128" s="350"/>
    </row>
    <row r="1129" spans="1:18" s="12" customFormat="1" ht="11.25" customHeight="1">
      <c r="A1129" s="159">
        <v>4270</v>
      </c>
      <c r="B1129" s="193" t="s">
        <v>487</v>
      </c>
      <c r="C1129" s="161">
        <v>800</v>
      </c>
      <c r="D1129" s="65">
        <f t="shared" si="141"/>
        <v>800</v>
      </c>
      <c r="E1129" s="65">
        <f t="shared" si="138"/>
        <v>232</v>
      </c>
      <c r="F1129" s="475">
        <f t="shared" si="140"/>
        <v>28.999999999999996</v>
      </c>
      <c r="G1129" s="161"/>
      <c r="H1129" s="65"/>
      <c r="I1129" s="350"/>
      <c r="J1129" s="162"/>
      <c r="K1129" s="162"/>
      <c r="L1129" s="379"/>
      <c r="M1129" s="162">
        <v>800</v>
      </c>
      <c r="N1129" s="65">
        <v>232</v>
      </c>
      <c r="O1129" s="426">
        <f t="shared" si="136"/>
        <v>28.999999999999996</v>
      </c>
      <c r="P1129" s="65"/>
      <c r="Q1129" s="65"/>
      <c r="R1129" s="350"/>
    </row>
    <row r="1130" spans="1:18" s="12" customFormat="1" ht="12" customHeight="1">
      <c r="A1130" s="159">
        <v>4280</v>
      </c>
      <c r="B1130" s="193" t="s">
        <v>303</v>
      </c>
      <c r="C1130" s="161">
        <v>1200</v>
      </c>
      <c r="D1130" s="65">
        <f t="shared" si="141"/>
        <v>1200</v>
      </c>
      <c r="E1130" s="65">
        <f t="shared" si="138"/>
        <v>0</v>
      </c>
      <c r="F1130" s="475">
        <f t="shared" si="140"/>
        <v>0</v>
      </c>
      <c r="G1130" s="161"/>
      <c r="H1130" s="65"/>
      <c r="I1130" s="350"/>
      <c r="J1130" s="162"/>
      <c r="K1130" s="162"/>
      <c r="L1130" s="379"/>
      <c r="M1130" s="162">
        <v>1200</v>
      </c>
      <c r="N1130" s="65"/>
      <c r="O1130" s="426">
        <f t="shared" si="136"/>
        <v>0</v>
      </c>
      <c r="P1130" s="65"/>
      <c r="Q1130" s="65"/>
      <c r="R1130" s="350"/>
    </row>
    <row r="1131" spans="1:18" s="12" customFormat="1" ht="12" customHeight="1">
      <c r="A1131" s="159">
        <v>4300</v>
      </c>
      <c r="B1131" s="193" t="s">
        <v>489</v>
      </c>
      <c r="C1131" s="161">
        <v>86800</v>
      </c>
      <c r="D1131" s="65">
        <f t="shared" si="141"/>
        <v>86800</v>
      </c>
      <c r="E1131" s="65">
        <f t="shared" si="138"/>
        <v>34226</v>
      </c>
      <c r="F1131" s="475">
        <f t="shared" si="140"/>
        <v>39.43087557603687</v>
      </c>
      <c r="G1131" s="161"/>
      <c r="H1131" s="65"/>
      <c r="I1131" s="350"/>
      <c r="J1131" s="162"/>
      <c r="K1131" s="162"/>
      <c r="L1131" s="379"/>
      <c r="M1131" s="162">
        <v>86800</v>
      </c>
      <c r="N1131" s="65">
        <v>34226</v>
      </c>
      <c r="O1131" s="426">
        <f t="shared" si="136"/>
        <v>39.43087557603687</v>
      </c>
      <c r="P1131" s="65"/>
      <c r="Q1131" s="65"/>
      <c r="R1131" s="350"/>
    </row>
    <row r="1132" spans="1:18" s="12" customFormat="1" ht="12" customHeight="1">
      <c r="A1132" s="159">
        <v>4350</v>
      </c>
      <c r="B1132" s="193" t="s">
        <v>7</v>
      </c>
      <c r="C1132" s="161">
        <v>900</v>
      </c>
      <c r="D1132" s="65">
        <f t="shared" si="141"/>
        <v>900</v>
      </c>
      <c r="E1132" s="65">
        <f t="shared" si="138"/>
        <v>372</v>
      </c>
      <c r="F1132" s="475">
        <f t="shared" si="140"/>
        <v>41.333333333333336</v>
      </c>
      <c r="G1132" s="161"/>
      <c r="H1132" s="65"/>
      <c r="I1132" s="350"/>
      <c r="J1132" s="162"/>
      <c r="K1132" s="162"/>
      <c r="L1132" s="379"/>
      <c r="M1132" s="162">
        <v>900</v>
      </c>
      <c r="N1132" s="65">
        <v>372</v>
      </c>
      <c r="O1132" s="426">
        <f t="shared" si="136"/>
        <v>41.333333333333336</v>
      </c>
      <c r="P1132" s="65"/>
      <c r="Q1132" s="65"/>
      <c r="R1132" s="350"/>
    </row>
    <row r="1133" spans="1:18" s="12" customFormat="1" ht="39.75" customHeight="1">
      <c r="A1133" s="159">
        <v>4370</v>
      </c>
      <c r="B1133" s="193" t="s">
        <v>296</v>
      </c>
      <c r="C1133" s="161">
        <v>1000</v>
      </c>
      <c r="D1133" s="65">
        <f t="shared" si="141"/>
        <v>1000</v>
      </c>
      <c r="E1133" s="65">
        <f t="shared" si="138"/>
        <v>480</v>
      </c>
      <c r="F1133" s="475">
        <f t="shared" si="140"/>
        <v>48</v>
      </c>
      <c r="G1133" s="161"/>
      <c r="H1133" s="65"/>
      <c r="I1133" s="350"/>
      <c r="J1133" s="162"/>
      <c r="K1133" s="162"/>
      <c r="L1133" s="379"/>
      <c r="M1133" s="162">
        <v>1000</v>
      </c>
      <c r="N1133" s="65">
        <v>480</v>
      </c>
      <c r="O1133" s="426">
        <f t="shared" si="136"/>
        <v>48</v>
      </c>
      <c r="P1133" s="65"/>
      <c r="Q1133" s="65"/>
      <c r="R1133" s="350"/>
    </row>
    <row r="1134" spans="1:18" s="12" customFormat="1" ht="12" customHeight="1">
      <c r="A1134" s="159">
        <v>4410</v>
      </c>
      <c r="B1134" s="193" t="s">
        <v>463</v>
      </c>
      <c r="C1134" s="161">
        <v>3000</v>
      </c>
      <c r="D1134" s="65">
        <f t="shared" si="141"/>
        <v>3000</v>
      </c>
      <c r="E1134" s="65">
        <f t="shared" si="138"/>
        <v>1254</v>
      </c>
      <c r="F1134" s="475">
        <f t="shared" si="140"/>
        <v>41.8</v>
      </c>
      <c r="G1134" s="161"/>
      <c r="H1134" s="65"/>
      <c r="I1134" s="350"/>
      <c r="J1134" s="162"/>
      <c r="K1134" s="162"/>
      <c r="L1134" s="379"/>
      <c r="M1134" s="162">
        <v>3000</v>
      </c>
      <c r="N1134" s="65">
        <v>1254</v>
      </c>
      <c r="O1134" s="426">
        <f t="shared" si="136"/>
        <v>41.8</v>
      </c>
      <c r="P1134" s="65"/>
      <c r="Q1134" s="65"/>
      <c r="R1134" s="350"/>
    </row>
    <row r="1135" spans="1:18" s="12" customFormat="1" ht="12" customHeight="1" hidden="1">
      <c r="A1135" s="159">
        <v>4440</v>
      </c>
      <c r="B1135" s="193" t="s">
        <v>493</v>
      </c>
      <c r="C1135" s="161"/>
      <c r="D1135" s="65">
        <f t="shared" si="141"/>
        <v>0</v>
      </c>
      <c r="E1135" s="65">
        <f t="shared" si="138"/>
        <v>0</v>
      </c>
      <c r="F1135" s="475" t="e">
        <f t="shared" si="140"/>
        <v>#DIV/0!</v>
      </c>
      <c r="G1135" s="161"/>
      <c r="H1135" s="65"/>
      <c r="I1135" s="350"/>
      <c r="J1135" s="162"/>
      <c r="K1135" s="162"/>
      <c r="L1135" s="379"/>
      <c r="M1135" s="162"/>
      <c r="N1135" s="65"/>
      <c r="O1135" s="426" t="e">
        <f t="shared" si="136"/>
        <v>#DIV/0!</v>
      </c>
      <c r="P1135" s="65"/>
      <c r="Q1135" s="65"/>
      <c r="R1135" s="350"/>
    </row>
    <row r="1136" spans="1:18" s="12" customFormat="1" ht="36">
      <c r="A1136" s="159">
        <v>4700</v>
      </c>
      <c r="B1136" s="193" t="s">
        <v>284</v>
      </c>
      <c r="C1136" s="161">
        <v>500</v>
      </c>
      <c r="D1136" s="65">
        <f>G1136+J1136+P1136+M1136</f>
        <v>500</v>
      </c>
      <c r="E1136" s="65">
        <f>SUM(H1136+K1136+N1136+Q1136)</f>
        <v>0</v>
      </c>
      <c r="F1136" s="475">
        <f>E1136/D1136*100</f>
        <v>0</v>
      </c>
      <c r="G1136" s="161"/>
      <c r="H1136" s="65"/>
      <c r="I1136" s="350"/>
      <c r="J1136" s="162"/>
      <c r="K1136" s="162"/>
      <c r="L1136" s="379"/>
      <c r="M1136" s="162">
        <v>500</v>
      </c>
      <c r="N1136" s="65"/>
      <c r="O1136" s="426">
        <f t="shared" si="136"/>
        <v>0</v>
      </c>
      <c r="P1136" s="65"/>
      <c r="Q1136" s="65"/>
      <c r="R1136" s="350"/>
    </row>
    <row r="1137" spans="1:18" s="12" customFormat="1" ht="51.75" customHeight="1">
      <c r="A1137" s="159">
        <v>4740</v>
      </c>
      <c r="B1137" s="193" t="s">
        <v>288</v>
      </c>
      <c r="C1137" s="161">
        <v>200</v>
      </c>
      <c r="D1137" s="65">
        <f t="shared" si="141"/>
        <v>200</v>
      </c>
      <c r="E1137" s="65">
        <f t="shared" si="138"/>
        <v>0</v>
      </c>
      <c r="F1137" s="475">
        <f t="shared" si="140"/>
        <v>0</v>
      </c>
      <c r="G1137" s="161"/>
      <c r="H1137" s="65"/>
      <c r="I1137" s="350"/>
      <c r="J1137" s="162"/>
      <c r="K1137" s="162"/>
      <c r="L1137" s="379"/>
      <c r="M1137" s="162">
        <v>200</v>
      </c>
      <c r="N1137" s="65"/>
      <c r="O1137" s="426">
        <f t="shared" si="136"/>
        <v>0</v>
      </c>
      <c r="P1137" s="65"/>
      <c r="Q1137" s="65"/>
      <c r="R1137" s="350"/>
    </row>
    <row r="1138" spans="1:18" s="12" customFormat="1" ht="36">
      <c r="A1138" s="184">
        <v>4750</v>
      </c>
      <c r="B1138" s="243" t="s">
        <v>289</v>
      </c>
      <c r="C1138" s="163">
        <v>400</v>
      </c>
      <c r="D1138" s="148">
        <f t="shared" si="141"/>
        <v>400</v>
      </c>
      <c r="E1138" s="148">
        <f t="shared" si="138"/>
        <v>0</v>
      </c>
      <c r="F1138" s="446">
        <f t="shared" si="140"/>
        <v>0</v>
      </c>
      <c r="G1138" s="163"/>
      <c r="H1138" s="148"/>
      <c r="I1138" s="354"/>
      <c r="J1138" s="164"/>
      <c r="K1138" s="164"/>
      <c r="L1138" s="404"/>
      <c r="M1138" s="164">
        <v>400</v>
      </c>
      <c r="N1138" s="148"/>
      <c r="O1138" s="446">
        <f t="shared" si="136"/>
        <v>0</v>
      </c>
      <c r="P1138" s="148"/>
      <c r="Q1138" s="148"/>
      <c r="R1138" s="354"/>
    </row>
    <row r="1139" spans="1:18" s="130" customFormat="1" ht="12" customHeight="1">
      <c r="A1139" s="188">
        <v>85202</v>
      </c>
      <c r="B1139" s="281" t="s">
        <v>67</v>
      </c>
      <c r="C1139" s="190">
        <f>SUM(C1140:C1141)</f>
        <v>1060800</v>
      </c>
      <c r="D1139" s="109">
        <f aca="true" t="shared" si="142" ref="D1139:E1141">G1139+J1139+M1139+P1139</f>
        <v>1060800</v>
      </c>
      <c r="E1139" s="109">
        <f t="shared" si="142"/>
        <v>580205</v>
      </c>
      <c r="F1139" s="510">
        <f t="shared" si="140"/>
        <v>54.69504147812971</v>
      </c>
      <c r="G1139" s="190">
        <f>SUM(G1140:G1141)</f>
        <v>1060800</v>
      </c>
      <c r="H1139" s="109">
        <f>SUM(H1140:H1141)</f>
        <v>580205</v>
      </c>
      <c r="I1139" s="416">
        <f>H1139/G1139*100</f>
        <v>54.69504147812971</v>
      </c>
      <c r="J1139" s="191"/>
      <c r="K1139" s="191"/>
      <c r="L1139" s="409"/>
      <c r="M1139" s="191"/>
      <c r="N1139" s="109"/>
      <c r="O1139" s="282"/>
      <c r="P1139" s="109"/>
      <c r="Q1139" s="109"/>
      <c r="R1139" s="359"/>
    </row>
    <row r="1140" spans="1:18" s="12" customFormat="1" ht="12" customHeight="1" hidden="1">
      <c r="A1140" s="159">
        <v>4300</v>
      </c>
      <c r="B1140" s="277" t="s">
        <v>502</v>
      </c>
      <c r="C1140" s="161"/>
      <c r="D1140" s="65">
        <f t="shared" si="142"/>
        <v>0</v>
      </c>
      <c r="E1140" s="65">
        <f t="shared" si="142"/>
        <v>0</v>
      </c>
      <c r="F1140" s="475"/>
      <c r="G1140" s="161"/>
      <c r="H1140" s="65"/>
      <c r="I1140" s="357"/>
      <c r="J1140" s="162"/>
      <c r="K1140" s="162"/>
      <c r="L1140" s="379"/>
      <c r="M1140" s="162"/>
      <c r="N1140" s="65"/>
      <c r="O1140" s="211"/>
      <c r="P1140" s="65"/>
      <c r="Q1140" s="65"/>
      <c r="R1140" s="350"/>
    </row>
    <row r="1141" spans="1:18" s="12" customFormat="1" ht="24">
      <c r="A1141" s="184">
        <v>4330</v>
      </c>
      <c r="B1141" s="283" t="s">
        <v>66</v>
      </c>
      <c r="C1141" s="163">
        <v>1060800</v>
      </c>
      <c r="D1141" s="65">
        <f t="shared" si="142"/>
        <v>1060800</v>
      </c>
      <c r="E1141" s="65">
        <f t="shared" si="142"/>
        <v>580205</v>
      </c>
      <c r="F1141" s="475">
        <f t="shared" si="140"/>
        <v>54.69504147812971</v>
      </c>
      <c r="G1141" s="163">
        <v>1060800</v>
      </c>
      <c r="H1141" s="148">
        <v>580205</v>
      </c>
      <c r="I1141" s="416">
        <f aca="true" t="shared" si="143" ref="I1141:I1147">H1141/G1141*100</f>
        <v>54.69504147812971</v>
      </c>
      <c r="J1141" s="164"/>
      <c r="K1141" s="164"/>
      <c r="L1141" s="404"/>
      <c r="M1141" s="164"/>
      <c r="N1141" s="148"/>
      <c r="O1141" s="259"/>
      <c r="P1141" s="148"/>
      <c r="Q1141" s="148"/>
      <c r="R1141" s="354"/>
    </row>
    <row r="1142" spans="1:18" s="12" customFormat="1" ht="12.75">
      <c r="A1142" s="137">
        <v>85203</v>
      </c>
      <c r="B1142" s="284" t="s">
        <v>68</v>
      </c>
      <c r="C1142" s="85">
        <f>C1149+C1169+C1195+C1172+C1216</f>
        <v>1212993</v>
      </c>
      <c r="D1142" s="86">
        <f>G1142+J1142+P1142+M1142</f>
        <v>1216893</v>
      </c>
      <c r="E1142" s="86">
        <f>H1142+K1142+Q1142+N1142</f>
        <v>620961</v>
      </c>
      <c r="F1142" s="506">
        <f t="shared" si="140"/>
        <v>51.02839773094266</v>
      </c>
      <c r="G1142" s="85">
        <f>G1149+G1169+G1195+G1148</f>
        <v>515893</v>
      </c>
      <c r="H1142" s="86">
        <f>H1149+H1169+H1195+H1148</f>
        <v>310455</v>
      </c>
      <c r="I1142" s="402">
        <f t="shared" si="143"/>
        <v>60.17817648233258</v>
      </c>
      <c r="J1142" s="158">
        <f>J1149+J1195+J1172+J1216</f>
        <v>701000</v>
      </c>
      <c r="K1142" s="158">
        <f>K1149+K1195+K1172+K1216</f>
        <v>310506</v>
      </c>
      <c r="L1142" s="301">
        <f aca="true" t="shared" si="144" ref="L1142:L1147">K1142/J1142*100</f>
        <v>44.29472182596291</v>
      </c>
      <c r="M1142" s="86"/>
      <c r="N1142" s="86"/>
      <c r="O1142" s="301"/>
      <c r="P1142" s="86"/>
      <c r="Q1142" s="86"/>
      <c r="R1142" s="360"/>
    </row>
    <row r="1143" spans="1:18" s="12" customFormat="1" ht="24" hidden="1">
      <c r="A1143" s="159">
        <v>4210</v>
      </c>
      <c r="B1143" s="262" t="s">
        <v>481</v>
      </c>
      <c r="C1143" s="161"/>
      <c r="D1143" s="65">
        <f>G1143+J1143+P1143+M1143</f>
        <v>0</v>
      </c>
      <c r="E1143" s="65">
        <f aca="true" t="shared" si="145" ref="D1143:E1159">H1143+K1143+Q1143+N1143</f>
        <v>0</v>
      </c>
      <c r="F1143" s="475" t="e">
        <f t="shared" si="140"/>
        <v>#DIV/0!</v>
      </c>
      <c r="G1143" s="161"/>
      <c r="H1143" s="65"/>
      <c r="I1143" s="265" t="e">
        <f t="shared" si="143"/>
        <v>#DIV/0!</v>
      </c>
      <c r="J1143" s="162"/>
      <c r="K1143" s="162"/>
      <c r="L1143" s="211" t="e">
        <f t="shared" si="144"/>
        <v>#DIV/0!</v>
      </c>
      <c r="M1143" s="65"/>
      <c r="N1143" s="65"/>
      <c r="O1143" s="211"/>
      <c r="P1143" s="65"/>
      <c r="Q1143" s="65"/>
      <c r="R1143" s="350"/>
    </row>
    <row r="1144" spans="1:18" s="12" customFormat="1" ht="24" hidden="1">
      <c r="A1144" s="159">
        <v>4270</v>
      </c>
      <c r="B1144" s="277" t="s">
        <v>144</v>
      </c>
      <c r="C1144" s="161"/>
      <c r="D1144" s="65">
        <f t="shared" si="145"/>
        <v>0</v>
      </c>
      <c r="E1144" s="65">
        <f t="shared" si="145"/>
        <v>0</v>
      </c>
      <c r="F1144" s="475" t="e">
        <f t="shared" si="140"/>
        <v>#DIV/0!</v>
      </c>
      <c r="G1144" s="161"/>
      <c r="H1144" s="65"/>
      <c r="I1144" s="265" t="e">
        <f t="shared" si="143"/>
        <v>#DIV/0!</v>
      </c>
      <c r="J1144" s="162"/>
      <c r="K1144" s="162"/>
      <c r="L1144" s="211" t="e">
        <f t="shared" si="144"/>
        <v>#DIV/0!</v>
      </c>
      <c r="M1144" s="65"/>
      <c r="N1144" s="65"/>
      <c r="O1144" s="211"/>
      <c r="P1144" s="65"/>
      <c r="Q1144" s="65"/>
      <c r="R1144" s="350"/>
    </row>
    <row r="1145" spans="1:18" s="12" customFormat="1" ht="24" hidden="1">
      <c r="A1145" s="159">
        <v>4300</v>
      </c>
      <c r="B1145" s="262" t="s">
        <v>489</v>
      </c>
      <c r="C1145" s="161"/>
      <c r="D1145" s="65">
        <f t="shared" si="145"/>
        <v>0</v>
      </c>
      <c r="E1145" s="65">
        <f t="shared" si="145"/>
        <v>0</v>
      </c>
      <c r="F1145" s="475" t="e">
        <f t="shared" si="140"/>
        <v>#DIV/0!</v>
      </c>
      <c r="G1145" s="161"/>
      <c r="H1145" s="65"/>
      <c r="I1145" s="265" t="e">
        <f t="shared" si="143"/>
        <v>#DIV/0!</v>
      </c>
      <c r="J1145" s="162"/>
      <c r="K1145" s="162"/>
      <c r="L1145" s="211" t="e">
        <f t="shared" si="144"/>
        <v>#DIV/0!</v>
      </c>
      <c r="M1145" s="65"/>
      <c r="N1145" s="65"/>
      <c r="O1145" s="211"/>
      <c r="P1145" s="65"/>
      <c r="Q1145" s="65"/>
      <c r="R1145" s="350"/>
    </row>
    <row r="1146" spans="1:18" s="12" customFormat="1" ht="24" hidden="1">
      <c r="A1146" s="159">
        <v>6050</v>
      </c>
      <c r="B1146" s="277" t="s">
        <v>549</v>
      </c>
      <c r="C1146" s="161"/>
      <c r="D1146" s="65">
        <f>G1146+J1146+P1146+M1146</f>
        <v>0</v>
      </c>
      <c r="E1146" s="65">
        <f t="shared" si="145"/>
        <v>0</v>
      </c>
      <c r="F1146" s="475" t="e">
        <f t="shared" si="140"/>
        <v>#DIV/0!</v>
      </c>
      <c r="G1146" s="161"/>
      <c r="H1146" s="65"/>
      <c r="I1146" s="265" t="e">
        <f t="shared" si="143"/>
        <v>#DIV/0!</v>
      </c>
      <c r="J1146" s="162"/>
      <c r="K1146" s="162"/>
      <c r="L1146" s="211" t="e">
        <f t="shared" si="144"/>
        <v>#DIV/0!</v>
      </c>
      <c r="M1146" s="65"/>
      <c r="N1146" s="65"/>
      <c r="O1146" s="211"/>
      <c r="P1146" s="65"/>
      <c r="Q1146" s="65"/>
      <c r="R1146" s="350"/>
    </row>
    <row r="1147" spans="1:18" s="12" customFormat="1" ht="36" hidden="1">
      <c r="A1147" s="159">
        <v>6060</v>
      </c>
      <c r="B1147" s="277" t="s">
        <v>429</v>
      </c>
      <c r="C1147" s="161"/>
      <c r="D1147" s="65">
        <f t="shared" si="145"/>
        <v>0</v>
      </c>
      <c r="E1147" s="65">
        <f t="shared" si="145"/>
        <v>0</v>
      </c>
      <c r="F1147" s="475" t="e">
        <f t="shared" si="140"/>
        <v>#DIV/0!</v>
      </c>
      <c r="G1147" s="161"/>
      <c r="H1147" s="65"/>
      <c r="I1147" s="265" t="e">
        <f t="shared" si="143"/>
        <v>#DIV/0!</v>
      </c>
      <c r="J1147" s="162">
        <f>10000-10000</f>
        <v>0</v>
      </c>
      <c r="K1147" s="162"/>
      <c r="L1147" s="211" t="e">
        <f t="shared" si="144"/>
        <v>#DIV/0!</v>
      </c>
      <c r="M1147" s="65"/>
      <c r="N1147" s="65"/>
      <c r="O1147" s="211"/>
      <c r="P1147" s="65"/>
      <c r="Q1147" s="65"/>
      <c r="R1147" s="350"/>
    </row>
    <row r="1148" spans="1:18" s="12" customFormat="1" ht="12.75" hidden="1">
      <c r="A1148" s="159">
        <v>4360</v>
      </c>
      <c r="B1148" s="277"/>
      <c r="C1148" s="161"/>
      <c r="D1148" s="65"/>
      <c r="E1148" s="65">
        <f t="shared" si="145"/>
        <v>0</v>
      </c>
      <c r="F1148" s="475"/>
      <c r="G1148" s="161"/>
      <c r="H1148" s="65"/>
      <c r="I1148" s="265"/>
      <c r="J1148" s="162"/>
      <c r="K1148" s="162"/>
      <c r="L1148" s="211"/>
      <c r="M1148" s="65"/>
      <c r="N1148" s="65"/>
      <c r="O1148" s="211"/>
      <c r="P1148" s="65"/>
      <c r="Q1148" s="65"/>
      <c r="R1148" s="350"/>
    </row>
    <row r="1149" spans="1:18" ht="12.75">
      <c r="A1149" s="175"/>
      <c r="B1149" s="285" t="s">
        <v>69</v>
      </c>
      <c r="C1149" s="177">
        <f>SUM(C1150:C1168)</f>
        <v>223793</v>
      </c>
      <c r="D1149" s="109">
        <f t="shared" si="145"/>
        <v>227693</v>
      </c>
      <c r="E1149" s="179">
        <f t="shared" si="145"/>
        <v>111605</v>
      </c>
      <c r="F1149" s="510">
        <f t="shared" si="140"/>
        <v>49.01556042566087</v>
      </c>
      <c r="G1149" s="190">
        <f>SUM(G1150:G1168)</f>
        <v>227693</v>
      </c>
      <c r="H1149" s="109">
        <f>SUM(H1150:H1168)</f>
        <v>111605</v>
      </c>
      <c r="I1149" s="312">
        <f>H1149/G1149*100</f>
        <v>49.01556042566087</v>
      </c>
      <c r="J1149" s="180"/>
      <c r="K1149" s="180"/>
      <c r="L1149" s="259"/>
      <c r="M1149" s="179"/>
      <c r="N1149" s="179"/>
      <c r="O1149" s="259"/>
      <c r="P1149" s="179"/>
      <c r="Q1149" s="179"/>
      <c r="R1149" s="354"/>
    </row>
    <row r="1150" spans="1:18" ht="36">
      <c r="A1150" s="111">
        <v>3020</v>
      </c>
      <c r="B1150" s="262" t="s">
        <v>538</v>
      </c>
      <c r="C1150" s="79">
        <v>400</v>
      </c>
      <c r="D1150" s="65">
        <f t="shared" si="145"/>
        <v>400</v>
      </c>
      <c r="E1150" s="80">
        <f>SUM(H1150+K1150+N1150+Q1150)</f>
        <v>0</v>
      </c>
      <c r="F1150" s="475">
        <f t="shared" si="140"/>
        <v>0</v>
      </c>
      <c r="G1150" s="79">
        <v>400</v>
      </c>
      <c r="H1150" s="65"/>
      <c r="I1150" s="265">
        <f aca="true" t="shared" si="146" ref="I1150:I1171">H1150/G1150*100</f>
        <v>0</v>
      </c>
      <c r="J1150" s="113"/>
      <c r="K1150" s="80"/>
      <c r="L1150" s="211"/>
      <c r="M1150" s="80"/>
      <c r="N1150" s="80"/>
      <c r="O1150" s="211"/>
      <c r="P1150" s="80"/>
      <c r="Q1150" s="80"/>
      <c r="R1150" s="350"/>
    </row>
    <row r="1151" spans="1:18" ht="24">
      <c r="A1151" s="111">
        <v>4010</v>
      </c>
      <c r="B1151" s="262" t="s">
        <v>471</v>
      </c>
      <c r="C1151" s="79">
        <v>109405</v>
      </c>
      <c r="D1151" s="65">
        <f t="shared" si="145"/>
        <v>109405</v>
      </c>
      <c r="E1151" s="80">
        <f>SUM(H1151+K1151+N1151+Q1151)</f>
        <v>51231</v>
      </c>
      <c r="F1151" s="475">
        <f>E1151/D1151*100</f>
        <v>46.82692747132215</v>
      </c>
      <c r="G1151" s="79">
        <v>109405</v>
      </c>
      <c r="H1151" s="65">
        <v>51231</v>
      </c>
      <c r="I1151" s="265">
        <f t="shared" si="146"/>
        <v>46.82692747132215</v>
      </c>
      <c r="J1151" s="113"/>
      <c r="K1151" s="80"/>
      <c r="L1151" s="211"/>
      <c r="M1151" s="80"/>
      <c r="N1151" s="80"/>
      <c r="O1151" s="211"/>
      <c r="P1151" s="80"/>
      <c r="Q1151" s="80"/>
      <c r="R1151" s="350"/>
    </row>
    <row r="1152" spans="1:18" ht="24">
      <c r="A1152" s="145">
        <v>4040</v>
      </c>
      <c r="B1152" s="263" t="s">
        <v>516</v>
      </c>
      <c r="C1152" s="147">
        <v>8782</v>
      </c>
      <c r="D1152" s="148">
        <f t="shared" si="145"/>
        <v>8782</v>
      </c>
      <c r="E1152" s="142">
        <f>SUM(H1152+K1152+N1152+Q1152)</f>
        <v>8496</v>
      </c>
      <c r="F1152" s="510">
        <f t="shared" si="140"/>
        <v>96.74333864723297</v>
      </c>
      <c r="G1152" s="147">
        <v>8782</v>
      </c>
      <c r="H1152" s="148">
        <v>8496</v>
      </c>
      <c r="I1152" s="453">
        <f t="shared" si="146"/>
        <v>96.74333864723297</v>
      </c>
      <c r="J1152" s="149"/>
      <c r="K1152" s="142"/>
      <c r="L1152" s="259"/>
      <c r="M1152" s="142"/>
      <c r="N1152" s="142"/>
      <c r="O1152" s="259"/>
      <c r="P1152" s="142"/>
      <c r="Q1152" s="142"/>
      <c r="R1152" s="354"/>
    </row>
    <row r="1153" spans="1:18" ht="24" customHeight="1">
      <c r="A1153" s="111">
        <v>4110</v>
      </c>
      <c r="B1153" s="262" t="s">
        <v>477</v>
      </c>
      <c r="C1153" s="79">
        <v>17959</v>
      </c>
      <c r="D1153" s="65">
        <f t="shared" si="145"/>
        <v>17959</v>
      </c>
      <c r="E1153" s="80">
        <f aca="true" t="shared" si="147" ref="E1153:E1168">SUM(H1153+K1153+N1153+Q1153)</f>
        <v>9248</v>
      </c>
      <c r="F1153" s="475">
        <f aca="true" t="shared" si="148" ref="F1153:F1176">E1153/D1153*100</f>
        <v>51.49507210869202</v>
      </c>
      <c r="G1153" s="79">
        <v>17959</v>
      </c>
      <c r="H1153" s="65">
        <v>9248</v>
      </c>
      <c r="I1153" s="265">
        <f t="shared" si="146"/>
        <v>51.49507210869202</v>
      </c>
      <c r="J1153" s="113"/>
      <c r="K1153" s="80"/>
      <c r="L1153" s="211"/>
      <c r="M1153" s="80"/>
      <c r="N1153" s="80"/>
      <c r="O1153" s="211"/>
      <c r="P1153" s="80"/>
      <c r="Q1153" s="80"/>
      <c r="R1153" s="350"/>
    </row>
    <row r="1154" spans="1:18" ht="11.25" customHeight="1">
      <c r="A1154" s="111">
        <v>4120</v>
      </c>
      <c r="B1154" s="262" t="s">
        <v>547</v>
      </c>
      <c r="C1154" s="79">
        <v>2747</v>
      </c>
      <c r="D1154" s="65">
        <f t="shared" si="145"/>
        <v>2747</v>
      </c>
      <c r="E1154" s="80">
        <f t="shared" si="147"/>
        <v>1400</v>
      </c>
      <c r="F1154" s="475">
        <f t="shared" si="148"/>
        <v>50.96468875136513</v>
      </c>
      <c r="G1154" s="79">
        <v>2747</v>
      </c>
      <c r="H1154" s="65">
        <v>1400</v>
      </c>
      <c r="I1154" s="265">
        <f t="shared" si="146"/>
        <v>50.96468875136513</v>
      </c>
      <c r="J1154" s="113"/>
      <c r="K1154" s="80"/>
      <c r="L1154" s="211"/>
      <c r="M1154" s="80"/>
      <c r="N1154" s="80"/>
      <c r="O1154" s="211"/>
      <c r="P1154" s="80"/>
      <c r="Q1154" s="80"/>
      <c r="R1154" s="350"/>
    </row>
    <row r="1155" spans="1:18" ht="24">
      <c r="A1155" s="111">
        <v>4210</v>
      </c>
      <c r="B1155" s="262" t="s">
        <v>481</v>
      </c>
      <c r="C1155" s="79">
        <v>4800</v>
      </c>
      <c r="D1155" s="65">
        <f t="shared" si="145"/>
        <v>4800</v>
      </c>
      <c r="E1155" s="80">
        <f t="shared" si="147"/>
        <v>2274</v>
      </c>
      <c r="F1155" s="475">
        <f t="shared" si="148"/>
        <v>47.375</v>
      </c>
      <c r="G1155" s="79">
        <v>4800</v>
      </c>
      <c r="H1155" s="65">
        <v>2274</v>
      </c>
      <c r="I1155" s="265">
        <f t="shared" si="146"/>
        <v>47.375</v>
      </c>
      <c r="J1155" s="113"/>
      <c r="K1155" s="80"/>
      <c r="L1155" s="211"/>
      <c r="M1155" s="80"/>
      <c r="N1155" s="80"/>
      <c r="O1155" s="211"/>
      <c r="P1155" s="80"/>
      <c r="Q1155" s="80"/>
      <c r="R1155" s="350"/>
    </row>
    <row r="1156" spans="1:18" ht="24">
      <c r="A1156" s="111">
        <v>4230</v>
      </c>
      <c r="B1156" s="262" t="s">
        <v>483</v>
      </c>
      <c r="C1156" s="79">
        <v>200</v>
      </c>
      <c r="D1156" s="65">
        <f t="shared" si="145"/>
        <v>200</v>
      </c>
      <c r="E1156" s="80">
        <f t="shared" si="147"/>
        <v>74</v>
      </c>
      <c r="F1156" s="475">
        <f t="shared" si="148"/>
        <v>37</v>
      </c>
      <c r="G1156" s="79">
        <v>200</v>
      </c>
      <c r="H1156" s="65">
        <v>74</v>
      </c>
      <c r="I1156" s="265">
        <f t="shared" si="146"/>
        <v>37</v>
      </c>
      <c r="J1156" s="113"/>
      <c r="K1156" s="80"/>
      <c r="L1156" s="211"/>
      <c r="M1156" s="80"/>
      <c r="N1156" s="80"/>
      <c r="O1156" s="211"/>
      <c r="P1156" s="80"/>
      <c r="Q1156" s="80"/>
      <c r="R1156" s="350"/>
    </row>
    <row r="1157" spans="1:18" ht="12.75">
      <c r="A1157" s="111">
        <v>4260</v>
      </c>
      <c r="B1157" s="262" t="s">
        <v>485</v>
      </c>
      <c r="C1157" s="79">
        <v>15800</v>
      </c>
      <c r="D1157" s="65">
        <f t="shared" si="145"/>
        <v>15800</v>
      </c>
      <c r="E1157" s="80">
        <f t="shared" si="147"/>
        <v>7573</v>
      </c>
      <c r="F1157" s="475">
        <f t="shared" si="148"/>
        <v>47.93037974683544</v>
      </c>
      <c r="G1157" s="79">
        <v>15800</v>
      </c>
      <c r="H1157" s="65">
        <f>7574-1</f>
        <v>7573</v>
      </c>
      <c r="I1157" s="265">
        <f t="shared" si="146"/>
        <v>47.93037974683544</v>
      </c>
      <c r="J1157" s="113"/>
      <c r="K1157" s="80"/>
      <c r="L1157" s="211"/>
      <c r="M1157" s="80"/>
      <c r="N1157" s="80"/>
      <c r="O1157" s="211"/>
      <c r="P1157" s="80"/>
      <c r="Q1157" s="80"/>
      <c r="R1157" s="350"/>
    </row>
    <row r="1158" spans="1:18" ht="18" customHeight="1">
      <c r="A1158" s="111">
        <v>4280</v>
      </c>
      <c r="B1158" s="262" t="s">
        <v>520</v>
      </c>
      <c r="C1158" s="79">
        <v>200</v>
      </c>
      <c r="D1158" s="65">
        <f t="shared" si="145"/>
        <v>200</v>
      </c>
      <c r="E1158" s="80">
        <f t="shared" si="147"/>
        <v>133</v>
      </c>
      <c r="F1158" s="475">
        <f t="shared" si="148"/>
        <v>66.5</v>
      </c>
      <c r="G1158" s="79">
        <v>200</v>
      </c>
      <c r="H1158" s="65">
        <v>133</v>
      </c>
      <c r="I1158" s="265">
        <f t="shared" si="146"/>
        <v>66.5</v>
      </c>
      <c r="J1158" s="113"/>
      <c r="K1158" s="80"/>
      <c r="L1158" s="211"/>
      <c r="M1158" s="80"/>
      <c r="N1158" s="80"/>
      <c r="O1158" s="211"/>
      <c r="P1158" s="80"/>
      <c r="Q1158" s="80"/>
      <c r="R1158" s="350"/>
    </row>
    <row r="1159" spans="1:18" ht="12.75" customHeight="1">
      <c r="A1159" s="111">
        <v>4300</v>
      </c>
      <c r="B1159" s="262" t="s">
        <v>489</v>
      </c>
      <c r="C1159" s="79">
        <v>43400</v>
      </c>
      <c r="D1159" s="65">
        <f t="shared" si="145"/>
        <v>47300</v>
      </c>
      <c r="E1159" s="80">
        <f t="shared" si="147"/>
        <v>19916</v>
      </c>
      <c r="F1159" s="475">
        <f t="shared" si="148"/>
        <v>42.10570824524313</v>
      </c>
      <c r="G1159" s="79">
        <f>43400+3900</f>
        <v>47300</v>
      </c>
      <c r="H1159" s="65">
        <v>19916</v>
      </c>
      <c r="I1159" s="265">
        <f t="shared" si="146"/>
        <v>42.10570824524313</v>
      </c>
      <c r="J1159" s="113"/>
      <c r="K1159" s="80"/>
      <c r="L1159" s="211"/>
      <c r="M1159" s="80"/>
      <c r="N1159" s="80"/>
      <c r="O1159" s="211"/>
      <c r="P1159" s="80"/>
      <c r="Q1159" s="80"/>
      <c r="R1159" s="350"/>
    </row>
    <row r="1160" spans="1:18" ht="24">
      <c r="A1160" s="111">
        <v>4350</v>
      </c>
      <c r="B1160" s="115" t="s">
        <v>7</v>
      </c>
      <c r="C1160" s="79">
        <v>1100</v>
      </c>
      <c r="D1160" s="65">
        <f aca="true" t="shared" si="149" ref="D1160:E1208">G1160+J1160+P1160+M1160</f>
        <v>1100</v>
      </c>
      <c r="E1160" s="80">
        <f>SUM(H1160+K1160+N1160+Q1160)</f>
        <v>516</v>
      </c>
      <c r="F1160" s="475">
        <f>E1160/D1160*100</f>
        <v>46.909090909090914</v>
      </c>
      <c r="G1160" s="79">
        <v>1100</v>
      </c>
      <c r="H1160" s="65">
        <v>516</v>
      </c>
      <c r="I1160" s="265">
        <f t="shared" si="146"/>
        <v>46.909090909090914</v>
      </c>
      <c r="J1160" s="113"/>
      <c r="K1160" s="80"/>
      <c r="L1160" s="211"/>
      <c r="M1160" s="80"/>
      <c r="N1160" s="80"/>
      <c r="O1160" s="211"/>
      <c r="P1160" s="80"/>
      <c r="Q1160" s="80"/>
      <c r="R1160" s="350"/>
    </row>
    <row r="1161" spans="1:18" ht="37.5" customHeight="1">
      <c r="A1161" s="159">
        <v>4370</v>
      </c>
      <c r="B1161" s="326" t="s">
        <v>296</v>
      </c>
      <c r="C1161" s="79">
        <v>1300</v>
      </c>
      <c r="D1161" s="65">
        <f t="shared" si="149"/>
        <v>1300</v>
      </c>
      <c r="E1161" s="80">
        <f>SUM(H1161+K1161+N1161+Q1161)</f>
        <v>502</v>
      </c>
      <c r="F1161" s="475">
        <f>E1161/D1161*100</f>
        <v>38.61538461538462</v>
      </c>
      <c r="G1161" s="79">
        <v>1300</v>
      </c>
      <c r="H1161" s="65">
        <v>502</v>
      </c>
      <c r="I1161" s="265">
        <f t="shared" si="146"/>
        <v>38.61538461538462</v>
      </c>
      <c r="J1161" s="113"/>
      <c r="K1161" s="80"/>
      <c r="L1161" s="211"/>
      <c r="M1161" s="80"/>
      <c r="N1161" s="80"/>
      <c r="O1161" s="211"/>
      <c r="P1161" s="80"/>
      <c r="Q1161" s="80"/>
      <c r="R1161" s="350"/>
    </row>
    <row r="1162" spans="1:18" ht="24">
      <c r="A1162" s="159">
        <v>4400</v>
      </c>
      <c r="B1162" s="326" t="s">
        <v>287</v>
      </c>
      <c r="C1162" s="79">
        <v>11000</v>
      </c>
      <c r="D1162" s="65">
        <f t="shared" si="149"/>
        <v>11000</v>
      </c>
      <c r="E1162" s="80">
        <f>SUM(H1162+K1162+N1162+Q1162)</f>
        <v>5245</v>
      </c>
      <c r="F1162" s="475">
        <f>E1162/D1162*100</f>
        <v>47.68181818181818</v>
      </c>
      <c r="G1162" s="79">
        <v>11000</v>
      </c>
      <c r="H1162" s="65">
        <v>5245</v>
      </c>
      <c r="I1162" s="265">
        <f t="shared" si="146"/>
        <v>47.68181818181818</v>
      </c>
      <c r="J1162" s="113"/>
      <c r="K1162" s="80"/>
      <c r="L1162" s="211"/>
      <c r="M1162" s="80"/>
      <c r="N1162" s="80"/>
      <c r="O1162" s="211"/>
      <c r="P1162" s="80"/>
      <c r="Q1162" s="80"/>
      <c r="R1162" s="350"/>
    </row>
    <row r="1163" spans="1:18" ht="12.75" customHeight="1">
      <c r="A1163" s="111">
        <v>4410</v>
      </c>
      <c r="B1163" s="262" t="s">
        <v>463</v>
      </c>
      <c r="C1163" s="79">
        <v>200</v>
      </c>
      <c r="D1163" s="65">
        <f t="shared" si="149"/>
        <v>200</v>
      </c>
      <c r="E1163" s="80">
        <f t="shared" si="147"/>
        <v>55</v>
      </c>
      <c r="F1163" s="475">
        <f t="shared" si="148"/>
        <v>27.500000000000004</v>
      </c>
      <c r="G1163" s="79">
        <v>200</v>
      </c>
      <c r="H1163" s="65">
        <v>55</v>
      </c>
      <c r="I1163" s="265">
        <f t="shared" si="146"/>
        <v>27.500000000000004</v>
      </c>
      <c r="J1163" s="113"/>
      <c r="K1163" s="80"/>
      <c r="L1163" s="211"/>
      <c r="M1163" s="80"/>
      <c r="N1163" s="80"/>
      <c r="O1163" s="211"/>
      <c r="P1163" s="80"/>
      <c r="Q1163" s="80"/>
      <c r="R1163" s="350"/>
    </row>
    <row r="1164" spans="1:18" ht="12.75" customHeight="1">
      <c r="A1164" s="111">
        <v>4430</v>
      </c>
      <c r="B1164" s="262" t="s">
        <v>491</v>
      </c>
      <c r="C1164" s="79">
        <v>100</v>
      </c>
      <c r="D1164" s="65">
        <f>G1164+J1164+P1164+M1164</f>
        <v>100</v>
      </c>
      <c r="E1164" s="80">
        <f>SUM(H1164+K1164+N1164+Q1164)</f>
        <v>0</v>
      </c>
      <c r="F1164" s="475">
        <f>E1164/D1164*100</f>
        <v>0</v>
      </c>
      <c r="G1164" s="79">
        <v>100</v>
      </c>
      <c r="H1164" s="65"/>
      <c r="I1164" s="265">
        <f t="shared" si="146"/>
        <v>0</v>
      </c>
      <c r="J1164" s="113"/>
      <c r="K1164" s="80"/>
      <c r="L1164" s="211"/>
      <c r="M1164" s="80"/>
      <c r="N1164" s="80"/>
      <c r="O1164" s="211"/>
      <c r="P1164" s="80"/>
      <c r="Q1164" s="80"/>
      <c r="R1164" s="350"/>
    </row>
    <row r="1165" spans="1:18" ht="12.75" customHeight="1">
      <c r="A1165" s="111">
        <v>4440</v>
      </c>
      <c r="B1165" s="276" t="s">
        <v>493</v>
      </c>
      <c r="C1165" s="79">
        <v>3900</v>
      </c>
      <c r="D1165" s="65">
        <f>G1165+J1165+P1165+M1165</f>
        <v>3900</v>
      </c>
      <c r="E1165" s="80">
        <f>SUM(H1165+K1165+N1165+Q1165)</f>
        <v>3900</v>
      </c>
      <c r="F1165" s="475">
        <f>E1165/D1165*100</f>
        <v>100</v>
      </c>
      <c r="G1165" s="79">
        <v>3900</v>
      </c>
      <c r="H1165" s="65">
        <v>3900</v>
      </c>
      <c r="I1165" s="452">
        <f t="shared" si="146"/>
        <v>100</v>
      </c>
      <c r="J1165" s="113"/>
      <c r="K1165" s="80"/>
      <c r="L1165" s="211"/>
      <c r="M1165" s="80"/>
      <c r="N1165" s="80"/>
      <c r="O1165" s="211"/>
      <c r="P1165" s="80"/>
      <c r="Q1165" s="80"/>
      <c r="R1165" s="350"/>
    </row>
    <row r="1166" spans="1:18" ht="12.75" customHeight="1">
      <c r="A1166" s="111">
        <v>4480</v>
      </c>
      <c r="B1166" s="262" t="s">
        <v>495</v>
      </c>
      <c r="C1166" s="79">
        <v>1500</v>
      </c>
      <c r="D1166" s="65">
        <f t="shared" si="149"/>
        <v>1500</v>
      </c>
      <c r="E1166" s="80">
        <f>SUM(H1166+K1166+N1166+Q1166)</f>
        <v>666</v>
      </c>
      <c r="F1166" s="475">
        <f t="shared" si="148"/>
        <v>44.4</v>
      </c>
      <c r="G1166" s="79">
        <v>1500</v>
      </c>
      <c r="H1166" s="65">
        <v>666</v>
      </c>
      <c r="I1166" s="265">
        <f t="shared" si="146"/>
        <v>44.4</v>
      </c>
      <c r="J1166" s="113"/>
      <c r="K1166" s="80"/>
      <c r="L1166" s="211"/>
      <c r="M1166" s="80"/>
      <c r="N1166" s="80"/>
      <c r="O1166" s="211"/>
      <c r="P1166" s="80"/>
      <c r="Q1166" s="80"/>
      <c r="R1166" s="350"/>
    </row>
    <row r="1167" spans="1:18" ht="51" customHeight="1">
      <c r="A1167" s="159">
        <v>4740</v>
      </c>
      <c r="B1167" s="326" t="s">
        <v>288</v>
      </c>
      <c r="C1167" s="79">
        <v>500</v>
      </c>
      <c r="D1167" s="65">
        <f t="shared" si="149"/>
        <v>500</v>
      </c>
      <c r="E1167" s="80">
        <f>SUM(H1167+K1167+N1167+Q1167)</f>
        <v>39</v>
      </c>
      <c r="F1167" s="475">
        <f t="shared" si="148"/>
        <v>7.8</v>
      </c>
      <c r="G1167" s="79">
        <v>500</v>
      </c>
      <c r="H1167" s="65">
        <v>39</v>
      </c>
      <c r="I1167" s="265">
        <f t="shared" si="146"/>
        <v>7.8</v>
      </c>
      <c r="J1167" s="113"/>
      <c r="K1167" s="80"/>
      <c r="L1167" s="211"/>
      <c r="M1167" s="80"/>
      <c r="N1167" s="80"/>
      <c r="O1167" s="211"/>
      <c r="P1167" s="80"/>
      <c r="Q1167" s="80"/>
      <c r="R1167" s="350"/>
    </row>
    <row r="1168" spans="1:18" s="105" customFormat="1" ht="36">
      <c r="A1168" s="184">
        <v>4750</v>
      </c>
      <c r="B1168" s="185" t="s">
        <v>289</v>
      </c>
      <c r="C1168" s="147">
        <v>500</v>
      </c>
      <c r="D1168" s="148">
        <f t="shared" si="149"/>
        <v>500</v>
      </c>
      <c r="E1168" s="142">
        <f t="shared" si="147"/>
        <v>337</v>
      </c>
      <c r="F1168" s="510">
        <f t="shared" si="148"/>
        <v>67.4</v>
      </c>
      <c r="G1168" s="147">
        <v>500</v>
      </c>
      <c r="H1168" s="148">
        <v>337</v>
      </c>
      <c r="I1168" s="453">
        <f t="shared" si="146"/>
        <v>67.4</v>
      </c>
      <c r="J1168" s="149"/>
      <c r="K1168" s="142"/>
      <c r="L1168" s="259"/>
      <c r="M1168" s="142"/>
      <c r="N1168" s="142"/>
      <c r="O1168" s="259"/>
      <c r="P1168" s="142"/>
      <c r="Q1168" s="142"/>
      <c r="R1168" s="354"/>
    </row>
    <row r="1169" spans="1:18" s="105" customFormat="1" ht="25.5" customHeight="1">
      <c r="A1169" s="145"/>
      <c r="B1169" s="285" t="s">
        <v>396</v>
      </c>
      <c r="C1169" s="108">
        <f>SUM(C1170:C1171)</f>
        <v>288200</v>
      </c>
      <c r="D1169" s="86">
        <f t="shared" si="149"/>
        <v>288200</v>
      </c>
      <c r="E1169" s="75">
        <f>H1169+K1169+Q1169+N1169</f>
        <v>198850</v>
      </c>
      <c r="F1169" s="506">
        <f t="shared" si="148"/>
        <v>68.99722414989591</v>
      </c>
      <c r="G1169" s="85">
        <f>SUM(G1170:G1171)</f>
        <v>288200</v>
      </c>
      <c r="H1169" s="109">
        <f>SUM(H1170:H1171)</f>
        <v>198850</v>
      </c>
      <c r="I1169" s="451">
        <f t="shared" si="146"/>
        <v>68.99722414989591</v>
      </c>
      <c r="J1169" s="180"/>
      <c r="K1169" s="179"/>
      <c r="L1169" s="406"/>
      <c r="M1169" s="75"/>
      <c r="N1169" s="75"/>
      <c r="O1169" s="369"/>
      <c r="P1169" s="179"/>
      <c r="Q1169" s="179"/>
      <c r="R1169" s="354"/>
    </row>
    <row r="1170" spans="1:18" s="105" customFormat="1" ht="72" hidden="1">
      <c r="A1170" s="111">
        <v>2820</v>
      </c>
      <c r="B1170" s="277" t="s">
        <v>54</v>
      </c>
      <c r="C1170" s="79"/>
      <c r="D1170" s="65">
        <f t="shared" si="149"/>
        <v>0</v>
      </c>
      <c r="E1170" s="80">
        <f>SUM(H1170+K1170+N1170+Q1170)</f>
        <v>0</v>
      </c>
      <c r="F1170" s="475" t="e">
        <f t="shared" si="148"/>
        <v>#DIV/0!</v>
      </c>
      <c r="G1170" s="79"/>
      <c r="H1170" s="65"/>
      <c r="I1170" s="452" t="e">
        <f>H1170/G1170*100</f>
        <v>#DIV/0!</v>
      </c>
      <c r="J1170" s="170"/>
      <c r="K1170" s="169"/>
      <c r="L1170" s="392"/>
      <c r="M1170" s="169"/>
      <c r="N1170" s="169"/>
      <c r="O1170" s="356"/>
      <c r="P1170" s="169"/>
      <c r="Q1170" s="169"/>
      <c r="R1170" s="350"/>
    </row>
    <row r="1171" spans="1:18" s="105" customFormat="1" ht="63.75" customHeight="1">
      <c r="A1171" s="145">
        <v>2820</v>
      </c>
      <c r="B1171" s="185" t="s">
        <v>54</v>
      </c>
      <c r="C1171" s="147">
        <v>288200</v>
      </c>
      <c r="D1171" s="148">
        <f t="shared" si="149"/>
        <v>288200</v>
      </c>
      <c r="E1171" s="142">
        <f aca="true" t="shared" si="150" ref="E1171:E1194">SUM(H1171+K1171+N1171+Q1171)</f>
        <v>198850</v>
      </c>
      <c r="F1171" s="510">
        <f t="shared" si="148"/>
        <v>68.99722414989591</v>
      </c>
      <c r="G1171" s="147">
        <v>288200</v>
      </c>
      <c r="H1171" s="148">
        <v>198850</v>
      </c>
      <c r="I1171" s="453">
        <f t="shared" si="146"/>
        <v>68.99722414989591</v>
      </c>
      <c r="J1171" s="149"/>
      <c r="K1171" s="142"/>
      <c r="L1171" s="404"/>
      <c r="M1171" s="142"/>
      <c r="N1171" s="142"/>
      <c r="O1171" s="375"/>
      <c r="P1171" s="142"/>
      <c r="Q1171" s="142"/>
      <c r="R1171" s="354"/>
    </row>
    <row r="1172" spans="1:18" s="130" customFormat="1" ht="14.25" customHeight="1">
      <c r="A1172" s="188"/>
      <c r="B1172" s="281" t="s">
        <v>70</v>
      </c>
      <c r="C1172" s="190">
        <f>SUM(C1173:C1194)</f>
        <v>242555</v>
      </c>
      <c r="D1172" s="109">
        <f t="shared" si="149"/>
        <v>242555</v>
      </c>
      <c r="E1172" s="109">
        <f t="shared" si="150"/>
        <v>129482</v>
      </c>
      <c r="F1172" s="510">
        <f t="shared" si="148"/>
        <v>53.38253179691203</v>
      </c>
      <c r="G1172" s="190"/>
      <c r="H1172" s="109"/>
      <c r="I1172" s="312"/>
      <c r="J1172" s="191">
        <f>SUM(J1173:J1194)</f>
        <v>242555</v>
      </c>
      <c r="K1172" s="191">
        <f>SUM(K1173:K1194)</f>
        <v>129482</v>
      </c>
      <c r="L1172" s="259">
        <f>K1172/J1172*100</f>
        <v>53.38253179691203</v>
      </c>
      <c r="M1172" s="109"/>
      <c r="N1172" s="109"/>
      <c r="O1172" s="377"/>
      <c r="P1172" s="109"/>
      <c r="Q1172" s="109"/>
      <c r="R1172" s="359"/>
    </row>
    <row r="1173" spans="1:18" s="12" customFormat="1" ht="36" customHeight="1">
      <c r="A1173" s="598">
        <v>3020</v>
      </c>
      <c r="B1173" s="599" t="s">
        <v>538</v>
      </c>
      <c r="C1173" s="600">
        <v>200</v>
      </c>
      <c r="D1173" s="134">
        <f t="shared" si="149"/>
        <v>200</v>
      </c>
      <c r="E1173" s="136">
        <f>SUM(H1173+K1173+N1173+Q1173)</f>
        <v>0</v>
      </c>
      <c r="F1173" s="451">
        <f>E1173/D1173*100</f>
        <v>0</v>
      </c>
      <c r="G1173" s="600"/>
      <c r="H1173" s="134"/>
      <c r="I1173" s="402"/>
      <c r="J1173" s="601">
        <v>200</v>
      </c>
      <c r="K1173" s="601"/>
      <c r="L1173" s="432">
        <f>K1173/J1173*100</f>
        <v>0</v>
      </c>
      <c r="M1173" s="134"/>
      <c r="N1173" s="134"/>
      <c r="O1173" s="369"/>
      <c r="P1173" s="134"/>
      <c r="Q1173" s="134"/>
      <c r="R1173" s="360"/>
    </row>
    <row r="1174" spans="1:18" s="12" customFormat="1" ht="24">
      <c r="A1174" s="111">
        <v>4010</v>
      </c>
      <c r="B1174" s="262" t="s">
        <v>471</v>
      </c>
      <c r="C1174" s="161">
        <v>143318</v>
      </c>
      <c r="D1174" s="65">
        <f t="shared" si="149"/>
        <v>143318</v>
      </c>
      <c r="E1174" s="80">
        <f t="shared" si="150"/>
        <v>73517</v>
      </c>
      <c r="F1174" s="452">
        <f t="shared" si="148"/>
        <v>51.296417756318114</v>
      </c>
      <c r="G1174" s="161"/>
      <c r="H1174" s="65"/>
      <c r="I1174" s="265"/>
      <c r="J1174" s="161">
        <v>143318</v>
      </c>
      <c r="K1174" s="162">
        <v>73517</v>
      </c>
      <c r="L1174" s="426">
        <f>K1174/J1174*100</f>
        <v>51.296417756318114</v>
      </c>
      <c r="M1174" s="65"/>
      <c r="N1174" s="65"/>
      <c r="O1174" s="356"/>
      <c r="P1174" s="65"/>
      <c r="Q1174" s="65"/>
      <c r="R1174" s="350"/>
    </row>
    <row r="1175" spans="1:18" s="12" customFormat="1" ht="24">
      <c r="A1175" s="111">
        <v>4040</v>
      </c>
      <c r="B1175" s="262" t="s">
        <v>516</v>
      </c>
      <c r="C1175" s="161">
        <v>11236</v>
      </c>
      <c r="D1175" s="65">
        <f t="shared" si="149"/>
        <v>11236</v>
      </c>
      <c r="E1175" s="80">
        <f t="shared" si="150"/>
        <v>10965</v>
      </c>
      <c r="F1175" s="452">
        <f t="shared" si="148"/>
        <v>97.58810964756141</v>
      </c>
      <c r="G1175" s="161"/>
      <c r="H1175" s="65"/>
      <c r="I1175" s="265"/>
      <c r="J1175" s="161">
        <v>11236</v>
      </c>
      <c r="K1175" s="162">
        <v>10965</v>
      </c>
      <c r="L1175" s="426">
        <f aca="true" t="shared" si="151" ref="L1175:L1194">K1175/J1175*100</f>
        <v>97.58810964756141</v>
      </c>
      <c r="M1175" s="65"/>
      <c r="N1175" s="65"/>
      <c r="O1175" s="356"/>
      <c r="P1175" s="65"/>
      <c r="Q1175" s="65"/>
      <c r="R1175" s="350"/>
    </row>
    <row r="1176" spans="1:18" s="12" customFormat="1" ht="24">
      <c r="A1176" s="111">
        <v>4110</v>
      </c>
      <c r="B1176" s="262" t="s">
        <v>477</v>
      </c>
      <c r="C1176" s="161">
        <v>21000</v>
      </c>
      <c r="D1176" s="65">
        <f t="shared" si="149"/>
        <v>21000</v>
      </c>
      <c r="E1176" s="80">
        <f t="shared" si="150"/>
        <v>12942</v>
      </c>
      <c r="F1176" s="452">
        <f t="shared" si="148"/>
        <v>61.62857142857143</v>
      </c>
      <c r="G1176" s="161"/>
      <c r="H1176" s="65"/>
      <c r="I1176" s="265"/>
      <c r="J1176" s="161">
        <v>21000</v>
      </c>
      <c r="K1176" s="162">
        <v>12942</v>
      </c>
      <c r="L1176" s="426">
        <f t="shared" si="151"/>
        <v>61.62857142857143</v>
      </c>
      <c r="M1176" s="65"/>
      <c r="N1176" s="65"/>
      <c r="O1176" s="356"/>
      <c r="P1176" s="65"/>
      <c r="Q1176" s="65"/>
      <c r="R1176" s="350"/>
    </row>
    <row r="1177" spans="1:18" s="12" customFormat="1" ht="14.25" customHeight="1">
      <c r="A1177" s="111">
        <v>4120</v>
      </c>
      <c r="B1177" s="262" t="s">
        <v>547</v>
      </c>
      <c r="C1177" s="161">
        <v>3415</v>
      </c>
      <c r="D1177" s="65">
        <f t="shared" si="149"/>
        <v>3415</v>
      </c>
      <c r="E1177" s="80">
        <f t="shared" si="150"/>
        <v>1955</v>
      </c>
      <c r="F1177" s="452">
        <f>E1177/D1177*100</f>
        <v>57.24743777452416</v>
      </c>
      <c r="G1177" s="161"/>
      <c r="H1177" s="65"/>
      <c r="I1177" s="265"/>
      <c r="J1177" s="161">
        <v>3415</v>
      </c>
      <c r="K1177" s="162">
        <v>1955</v>
      </c>
      <c r="L1177" s="426">
        <f t="shared" si="151"/>
        <v>57.24743777452416</v>
      </c>
      <c r="M1177" s="65"/>
      <c r="N1177" s="65"/>
      <c r="O1177" s="356"/>
      <c r="P1177" s="65"/>
      <c r="Q1177" s="65"/>
      <c r="R1177" s="350"/>
    </row>
    <row r="1178" spans="1:18" s="12" customFormat="1" ht="24" hidden="1">
      <c r="A1178" s="111">
        <v>4170</v>
      </c>
      <c r="B1178" s="262" t="s">
        <v>511</v>
      </c>
      <c r="C1178" s="161"/>
      <c r="D1178" s="65">
        <f t="shared" si="149"/>
        <v>0</v>
      </c>
      <c r="E1178" s="80">
        <f>SUM(H1178+K1178+N1178+Q1178)</f>
        <v>0</v>
      </c>
      <c r="F1178" s="452" t="e">
        <f>E1178/D1178*100</f>
        <v>#DIV/0!</v>
      </c>
      <c r="G1178" s="161"/>
      <c r="H1178" s="65"/>
      <c r="I1178" s="265"/>
      <c r="J1178" s="161"/>
      <c r="K1178" s="162"/>
      <c r="L1178" s="426" t="e">
        <f t="shared" si="151"/>
        <v>#DIV/0!</v>
      </c>
      <c r="M1178" s="65"/>
      <c r="N1178" s="65"/>
      <c r="O1178" s="356"/>
      <c r="P1178" s="65"/>
      <c r="Q1178" s="65"/>
      <c r="R1178" s="350"/>
    </row>
    <row r="1179" spans="1:18" s="12" customFormat="1" ht="24">
      <c r="A1179" s="111">
        <v>4210</v>
      </c>
      <c r="B1179" s="262" t="s">
        <v>481</v>
      </c>
      <c r="C1179" s="161">
        <v>3900</v>
      </c>
      <c r="D1179" s="65">
        <f t="shared" si="149"/>
        <v>3900</v>
      </c>
      <c r="E1179" s="80">
        <f t="shared" si="150"/>
        <v>807</v>
      </c>
      <c r="F1179" s="452">
        <f aca="true" t="shared" si="152" ref="F1179:F1224">E1179/D1179*100</f>
        <v>20.692307692307693</v>
      </c>
      <c r="G1179" s="161"/>
      <c r="H1179" s="65"/>
      <c r="I1179" s="265"/>
      <c r="J1179" s="161">
        <v>3900</v>
      </c>
      <c r="K1179" s="162">
        <v>807</v>
      </c>
      <c r="L1179" s="426">
        <f t="shared" si="151"/>
        <v>20.692307692307693</v>
      </c>
      <c r="M1179" s="65"/>
      <c r="N1179" s="65"/>
      <c r="O1179" s="356"/>
      <c r="P1179" s="65"/>
      <c r="Q1179" s="65"/>
      <c r="R1179" s="350"/>
    </row>
    <row r="1180" spans="1:18" s="12" customFormat="1" ht="18.75" customHeight="1">
      <c r="A1180" s="111">
        <v>4220</v>
      </c>
      <c r="B1180" s="262" t="s">
        <v>650</v>
      </c>
      <c r="C1180" s="161">
        <v>7000</v>
      </c>
      <c r="D1180" s="65">
        <f t="shared" si="149"/>
        <v>7000</v>
      </c>
      <c r="E1180" s="80">
        <f t="shared" si="150"/>
        <v>4036</v>
      </c>
      <c r="F1180" s="452">
        <f t="shared" si="152"/>
        <v>57.657142857142865</v>
      </c>
      <c r="G1180" s="161"/>
      <c r="H1180" s="65"/>
      <c r="I1180" s="265"/>
      <c r="J1180" s="161">
        <v>7000</v>
      </c>
      <c r="K1180" s="162">
        <v>4036</v>
      </c>
      <c r="L1180" s="426">
        <f t="shared" si="151"/>
        <v>57.657142857142865</v>
      </c>
      <c r="M1180" s="65"/>
      <c r="N1180" s="65"/>
      <c r="O1180" s="356"/>
      <c r="P1180" s="65"/>
      <c r="Q1180" s="65"/>
      <c r="R1180" s="350"/>
    </row>
    <row r="1181" spans="1:18" s="12" customFormat="1" ht="24">
      <c r="A1181" s="111">
        <v>4230</v>
      </c>
      <c r="B1181" s="262" t="s">
        <v>483</v>
      </c>
      <c r="C1181" s="161">
        <v>100</v>
      </c>
      <c r="D1181" s="65">
        <f t="shared" si="149"/>
        <v>100</v>
      </c>
      <c r="E1181" s="80">
        <f t="shared" si="150"/>
        <v>0</v>
      </c>
      <c r="F1181" s="452">
        <f t="shared" si="152"/>
        <v>0</v>
      </c>
      <c r="G1181" s="161"/>
      <c r="H1181" s="65"/>
      <c r="I1181" s="265"/>
      <c r="J1181" s="161">
        <v>100</v>
      </c>
      <c r="K1181" s="162"/>
      <c r="L1181" s="426">
        <f t="shared" si="151"/>
        <v>0</v>
      </c>
      <c r="M1181" s="65"/>
      <c r="N1181" s="65"/>
      <c r="O1181" s="356"/>
      <c r="P1181" s="65"/>
      <c r="Q1181" s="65"/>
      <c r="R1181" s="350"/>
    </row>
    <row r="1182" spans="1:18" s="12" customFormat="1" ht="14.25" customHeight="1">
      <c r="A1182" s="111">
        <v>4260</v>
      </c>
      <c r="B1182" s="262" t="s">
        <v>485</v>
      </c>
      <c r="C1182" s="161">
        <v>12880</v>
      </c>
      <c r="D1182" s="65">
        <f t="shared" si="149"/>
        <v>12880</v>
      </c>
      <c r="E1182" s="80">
        <f t="shared" si="150"/>
        <v>7372</v>
      </c>
      <c r="F1182" s="452">
        <f t="shared" si="152"/>
        <v>57.236024844720504</v>
      </c>
      <c r="G1182" s="161"/>
      <c r="H1182" s="65"/>
      <c r="I1182" s="265"/>
      <c r="J1182" s="161">
        <v>12880</v>
      </c>
      <c r="K1182" s="162">
        <f>7372+1-1</f>
        <v>7372</v>
      </c>
      <c r="L1182" s="426">
        <f t="shared" si="151"/>
        <v>57.236024844720504</v>
      </c>
      <c r="M1182" s="65"/>
      <c r="N1182" s="65"/>
      <c r="O1182" s="356"/>
      <c r="P1182" s="65"/>
      <c r="Q1182" s="65"/>
      <c r="R1182" s="350"/>
    </row>
    <row r="1183" spans="1:18" s="12" customFormat="1" ht="14.25" customHeight="1" hidden="1">
      <c r="A1183" s="111">
        <v>4270</v>
      </c>
      <c r="B1183" s="262" t="s">
        <v>487</v>
      </c>
      <c r="C1183" s="161"/>
      <c r="D1183" s="65">
        <f t="shared" si="149"/>
        <v>0</v>
      </c>
      <c r="E1183" s="80">
        <f>SUM(H1183+K1183+N1183+Q1183)</f>
        <v>0</v>
      </c>
      <c r="F1183" s="452" t="e">
        <f>E1183/D1183*100</f>
        <v>#DIV/0!</v>
      </c>
      <c r="G1183" s="161"/>
      <c r="H1183" s="65"/>
      <c r="I1183" s="265"/>
      <c r="J1183" s="161"/>
      <c r="K1183" s="162"/>
      <c r="L1183" s="426" t="e">
        <f t="shared" si="151"/>
        <v>#DIV/0!</v>
      </c>
      <c r="M1183" s="65"/>
      <c r="N1183" s="65"/>
      <c r="O1183" s="356"/>
      <c r="P1183" s="65"/>
      <c r="Q1183" s="65"/>
      <c r="R1183" s="350"/>
    </row>
    <row r="1184" spans="1:18" s="12" customFormat="1" ht="14.25" customHeight="1">
      <c r="A1184" s="111">
        <v>4280</v>
      </c>
      <c r="B1184" s="262" t="s">
        <v>520</v>
      </c>
      <c r="C1184" s="161">
        <v>200</v>
      </c>
      <c r="D1184" s="65">
        <f t="shared" si="149"/>
        <v>200</v>
      </c>
      <c r="E1184" s="80">
        <f>SUM(H1184+K1184+N1184+Q1184)</f>
        <v>60</v>
      </c>
      <c r="F1184" s="452">
        <f>E1184/D1184*100</f>
        <v>30</v>
      </c>
      <c r="G1184" s="161"/>
      <c r="H1184" s="65"/>
      <c r="I1184" s="265"/>
      <c r="J1184" s="161">
        <v>200</v>
      </c>
      <c r="K1184" s="162">
        <v>60</v>
      </c>
      <c r="L1184" s="426">
        <f t="shared" si="151"/>
        <v>30</v>
      </c>
      <c r="M1184" s="65"/>
      <c r="N1184" s="65"/>
      <c r="O1184" s="356"/>
      <c r="P1184" s="65"/>
      <c r="Q1184" s="65"/>
      <c r="R1184" s="350"/>
    </row>
    <row r="1185" spans="1:18" s="12" customFormat="1" ht="14.25" customHeight="1">
      <c r="A1185" s="111">
        <v>4300</v>
      </c>
      <c r="B1185" s="262" t="s">
        <v>522</v>
      </c>
      <c r="C1185" s="161">
        <v>10126</v>
      </c>
      <c r="D1185" s="65">
        <f t="shared" si="149"/>
        <v>10126</v>
      </c>
      <c r="E1185" s="80">
        <f t="shared" si="150"/>
        <v>2231</v>
      </c>
      <c r="F1185" s="452">
        <f t="shared" si="152"/>
        <v>22.032391862532098</v>
      </c>
      <c r="G1185" s="161"/>
      <c r="H1185" s="65"/>
      <c r="I1185" s="265"/>
      <c r="J1185" s="161">
        <v>10126</v>
      </c>
      <c r="K1185" s="162">
        <v>2231</v>
      </c>
      <c r="L1185" s="426">
        <f t="shared" si="151"/>
        <v>22.032391862532098</v>
      </c>
      <c r="M1185" s="65"/>
      <c r="N1185" s="65"/>
      <c r="O1185" s="356"/>
      <c r="P1185" s="65"/>
      <c r="Q1185" s="65"/>
      <c r="R1185" s="350"/>
    </row>
    <row r="1186" spans="1:18" s="12" customFormat="1" ht="24">
      <c r="A1186" s="111">
        <v>4350</v>
      </c>
      <c r="B1186" s="115" t="s">
        <v>7</v>
      </c>
      <c r="C1186" s="161">
        <v>1080</v>
      </c>
      <c r="D1186" s="65">
        <f t="shared" si="149"/>
        <v>1080</v>
      </c>
      <c r="E1186" s="80">
        <f>SUM(H1186+K1186+N1186+Q1186)</f>
        <v>516</v>
      </c>
      <c r="F1186" s="452">
        <f>E1186/D1186*100</f>
        <v>47.77777777777778</v>
      </c>
      <c r="G1186" s="161"/>
      <c r="H1186" s="65"/>
      <c r="I1186" s="265"/>
      <c r="J1186" s="161">
        <v>1080</v>
      </c>
      <c r="K1186" s="162">
        <v>516</v>
      </c>
      <c r="L1186" s="426">
        <f t="shared" si="151"/>
        <v>47.77777777777778</v>
      </c>
      <c r="M1186" s="65"/>
      <c r="N1186" s="65"/>
      <c r="O1186" s="356"/>
      <c r="P1186" s="65"/>
      <c r="Q1186" s="65"/>
      <c r="R1186" s="350"/>
    </row>
    <row r="1187" spans="1:18" s="12" customFormat="1" ht="39" customHeight="1">
      <c r="A1187" s="159">
        <v>4370</v>
      </c>
      <c r="B1187" s="326" t="s">
        <v>296</v>
      </c>
      <c r="C1187" s="161">
        <v>2400</v>
      </c>
      <c r="D1187" s="65">
        <f t="shared" si="149"/>
        <v>2400</v>
      </c>
      <c r="E1187" s="80">
        <f>SUM(H1187+K1187+N1187+Q1187)</f>
        <v>738</v>
      </c>
      <c r="F1187" s="452">
        <f>E1187/D1187*100</f>
        <v>30.75</v>
      </c>
      <c r="G1187" s="161"/>
      <c r="H1187" s="65"/>
      <c r="I1187" s="265"/>
      <c r="J1187" s="161">
        <v>2400</v>
      </c>
      <c r="K1187" s="162">
        <v>738</v>
      </c>
      <c r="L1187" s="426">
        <f t="shared" si="151"/>
        <v>30.75</v>
      </c>
      <c r="M1187" s="65"/>
      <c r="N1187" s="65"/>
      <c r="O1187" s="356"/>
      <c r="P1187" s="65"/>
      <c r="Q1187" s="65"/>
      <c r="R1187" s="350"/>
    </row>
    <row r="1188" spans="1:18" s="12" customFormat="1" ht="24">
      <c r="A1188" s="159">
        <v>4400</v>
      </c>
      <c r="B1188" s="326" t="s">
        <v>287</v>
      </c>
      <c r="C1188" s="161">
        <v>17600</v>
      </c>
      <c r="D1188" s="65">
        <f t="shared" si="149"/>
        <v>17600</v>
      </c>
      <c r="E1188" s="80">
        <f>SUM(H1188+K1188+N1188+Q1188)</f>
        <v>8513</v>
      </c>
      <c r="F1188" s="452">
        <f>E1188/D1188*100</f>
        <v>48.36931818181818</v>
      </c>
      <c r="G1188" s="161"/>
      <c r="H1188" s="65"/>
      <c r="I1188" s="265"/>
      <c r="J1188" s="161">
        <v>17600</v>
      </c>
      <c r="K1188" s="162">
        <v>8513</v>
      </c>
      <c r="L1188" s="426">
        <f t="shared" si="151"/>
        <v>48.36931818181818</v>
      </c>
      <c r="M1188" s="65"/>
      <c r="N1188" s="65"/>
      <c r="O1188" s="356"/>
      <c r="P1188" s="65"/>
      <c r="Q1188" s="65"/>
      <c r="R1188" s="350"/>
    </row>
    <row r="1189" spans="1:18" s="12" customFormat="1" ht="12" customHeight="1">
      <c r="A1189" s="159">
        <v>4410</v>
      </c>
      <c r="B1189" s="193" t="s">
        <v>463</v>
      </c>
      <c r="C1189" s="161">
        <v>200</v>
      </c>
      <c r="D1189" s="65">
        <f t="shared" si="149"/>
        <v>200</v>
      </c>
      <c r="E1189" s="80">
        <f>SUM(H1189+K1189+N1189+Q1189)</f>
        <v>0</v>
      </c>
      <c r="F1189" s="452">
        <f>E1189/D1189*100</f>
        <v>0</v>
      </c>
      <c r="G1189" s="161"/>
      <c r="H1189" s="65"/>
      <c r="I1189" s="265"/>
      <c r="J1189" s="161">
        <v>200</v>
      </c>
      <c r="K1189" s="162"/>
      <c r="L1189" s="426">
        <f t="shared" si="151"/>
        <v>0</v>
      </c>
      <c r="M1189" s="65"/>
      <c r="N1189" s="65"/>
      <c r="O1189" s="356"/>
      <c r="P1189" s="65"/>
      <c r="Q1189" s="65"/>
      <c r="R1189" s="350"/>
    </row>
    <row r="1190" spans="1:18" s="12" customFormat="1" ht="14.25" customHeight="1">
      <c r="A1190" s="111">
        <v>4430</v>
      </c>
      <c r="B1190" s="262" t="s">
        <v>491</v>
      </c>
      <c r="C1190" s="161">
        <v>100</v>
      </c>
      <c r="D1190" s="65">
        <f t="shared" si="149"/>
        <v>100</v>
      </c>
      <c r="E1190" s="80">
        <f t="shared" si="150"/>
        <v>0</v>
      </c>
      <c r="F1190" s="452"/>
      <c r="G1190" s="161"/>
      <c r="H1190" s="65"/>
      <c r="I1190" s="265"/>
      <c r="J1190" s="161">
        <v>100</v>
      </c>
      <c r="K1190" s="162"/>
      <c r="L1190" s="211">
        <f t="shared" si="151"/>
        <v>0</v>
      </c>
      <c r="M1190" s="65"/>
      <c r="N1190" s="65"/>
      <c r="O1190" s="356"/>
      <c r="P1190" s="65"/>
      <c r="Q1190" s="65"/>
      <c r="R1190" s="350"/>
    </row>
    <row r="1191" spans="1:18" s="12" customFormat="1" ht="14.25" customHeight="1">
      <c r="A1191" s="111">
        <v>4440</v>
      </c>
      <c r="B1191" s="262" t="s">
        <v>493</v>
      </c>
      <c r="C1191" s="161">
        <v>4800</v>
      </c>
      <c r="D1191" s="65">
        <f t="shared" si="149"/>
        <v>4800</v>
      </c>
      <c r="E1191" s="80">
        <f t="shared" si="150"/>
        <v>4800</v>
      </c>
      <c r="F1191" s="452">
        <f t="shared" si="152"/>
        <v>100</v>
      </c>
      <c r="G1191" s="161"/>
      <c r="H1191" s="65"/>
      <c r="I1191" s="265"/>
      <c r="J1191" s="161">
        <v>4800</v>
      </c>
      <c r="K1191" s="162">
        <v>4800</v>
      </c>
      <c r="L1191" s="426">
        <f t="shared" si="151"/>
        <v>100</v>
      </c>
      <c r="M1191" s="65"/>
      <c r="N1191" s="65"/>
      <c r="O1191" s="356"/>
      <c r="P1191" s="65"/>
      <c r="Q1191" s="65"/>
      <c r="R1191" s="350"/>
    </row>
    <row r="1192" spans="1:18" s="12" customFormat="1" ht="13.5" customHeight="1">
      <c r="A1192" s="111">
        <v>4480</v>
      </c>
      <c r="B1192" s="276" t="s">
        <v>495</v>
      </c>
      <c r="C1192" s="161">
        <v>2100</v>
      </c>
      <c r="D1192" s="65">
        <f t="shared" si="149"/>
        <v>2100</v>
      </c>
      <c r="E1192" s="80">
        <f t="shared" si="150"/>
        <v>1030</v>
      </c>
      <c r="F1192" s="452">
        <f t="shared" si="152"/>
        <v>49.047619047619044</v>
      </c>
      <c r="G1192" s="161"/>
      <c r="H1192" s="65"/>
      <c r="I1192" s="265"/>
      <c r="J1192" s="161">
        <v>2100</v>
      </c>
      <c r="K1192" s="162">
        <v>1030</v>
      </c>
      <c r="L1192" s="426">
        <f t="shared" si="151"/>
        <v>49.047619047619044</v>
      </c>
      <c r="M1192" s="65"/>
      <c r="N1192" s="65"/>
      <c r="O1192" s="356"/>
      <c r="P1192" s="65"/>
      <c r="Q1192" s="65"/>
      <c r="R1192" s="350"/>
    </row>
    <row r="1193" spans="1:18" s="12" customFormat="1" ht="51" customHeight="1">
      <c r="A1193" s="159">
        <v>4740</v>
      </c>
      <c r="B1193" s="326" t="s">
        <v>288</v>
      </c>
      <c r="C1193" s="161">
        <v>300</v>
      </c>
      <c r="D1193" s="65">
        <f t="shared" si="149"/>
        <v>300</v>
      </c>
      <c r="E1193" s="80">
        <f>SUM(H1193+K1193+N1193+Q1193)</f>
        <v>0</v>
      </c>
      <c r="F1193" s="452">
        <f>E1193/D1193*100</f>
        <v>0</v>
      </c>
      <c r="G1193" s="161"/>
      <c r="H1193" s="65"/>
      <c r="I1193" s="265"/>
      <c r="J1193" s="161">
        <v>300</v>
      </c>
      <c r="K1193" s="162"/>
      <c r="L1193" s="426">
        <f t="shared" si="151"/>
        <v>0</v>
      </c>
      <c r="M1193" s="65"/>
      <c r="N1193" s="65"/>
      <c r="O1193" s="356"/>
      <c r="P1193" s="65"/>
      <c r="Q1193" s="65"/>
      <c r="R1193" s="350"/>
    </row>
    <row r="1194" spans="1:18" s="12" customFormat="1" ht="36">
      <c r="A1194" s="184">
        <v>4750</v>
      </c>
      <c r="B1194" s="185" t="s">
        <v>289</v>
      </c>
      <c r="C1194" s="163">
        <v>600</v>
      </c>
      <c r="D1194" s="148">
        <f t="shared" si="149"/>
        <v>600</v>
      </c>
      <c r="E1194" s="142">
        <f t="shared" si="150"/>
        <v>0</v>
      </c>
      <c r="F1194" s="453">
        <f t="shared" si="152"/>
        <v>0</v>
      </c>
      <c r="G1194" s="163"/>
      <c r="H1194" s="148"/>
      <c r="I1194" s="312"/>
      <c r="J1194" s="163">
        <v>600</v>
      </c>
      <c r="K1194" s="164"/>
      <c r="L1194" s="426">
        <f t="shared" si="151"/>
        <v>0</v>
      </c>
      <c r="M1194" s="148"/>
      <c r="N1194" s="148"/>
      <c r="O1194" s="375"/>
      <c r="P1194" s="148"/>
      <c r="Q1194" s="148"/>
      <c r="R1194" s="354"/>
    </row>
    <row r="1195" spans="1:18" s="130" customFormat="1" ht="24">
      <c r="A1195" s="137"/>
      <c r="B1195" s="284" t="s">
        <v>222</v>
      </c>
      <c r="C1195" s="85">
        <f>SUM(C1196:C1215)</f>
        <v>239445</v>
      </c>
      <c r="D1195" s="86">
        <f t="shared" si="149"/>
        <v>239445</v>
      </c>
      <c r="E1195" s="86">
        <f>H1195+K1195+Q1195+N1195</f>
        <v>126274</v>
      </c>
      <c r="F1195" s="506">
        <f t="shared" si="152"/>
        <v>52.73611894171939</v>
      </c>
      <c r="G1195" s="85"/>
      <c r="H1195" s="86"/>
      <c r="I1195" s="402"/>
      <c r="J1195" s="158">
        <f>SUM(J1196:J1215)</f>
        <v>239445</v>
      </c>
      <c r="K1195" s="158">
        <f>SUM(K1196:K1215)</f>
        <v>126274</v>
      </c>
      <c r="L1195" s="301">
        <f>K1195/J1195*100</f>
        <v>52.73611894171939</v>
      </c>
      <c r="M1195" s="86"/>
      <c r="N1195" s="86"/>
      <c r="O1195" s="391"/>
      <c r="P1195" s="86"/>
      <c r="Q1195" s="86"/>
      <c r="R1195" s="358"/>
    </row>
    <row r="1196" spans="1:18" s="12" customFormat="1" ht="36" customHeight="1">
      <c r="A1196" s="598">
        <v>3020</v>
      </c>
      <c r="B1196" s="599" t="s">
        <v>538</v>
      </c>
      <c r="C1196" s="600">
        <v>200</v>
      </c>
      <c r="D1196" s="134">
        <f t="shared" si="149"/>
        <v>200</v>
      </c>
      <c r="E1196" s="136">
        <f>SUM(H1196+K1196+N1196+Q1196)</f>
        <v>0</v>
      </c>
      <c r="F1196" s="451">
        <f t="shared" si="152"/>
        <v>0</v>
      </c>
      <c r="G1196" s="600"/>
      <c r="H1196" s="134"/>
      <c r="I1196" s="402"/>
      <c r="J1196" s="601">
        <v>200</v>
      </c>
      <c r="K1196" s="601"/>
      <c r="L1196" s="432">
        <f aca="true" t="shared" si="153" ref="L1196:L1217">K1196/J1196*100</f>
        <v>0</v>
      </c>
      <c r="M1196" s="134"/>
      <c r="N1196" s="134"/>
      <c r="O1196" s="369"/>
      <c r="P1196" s="134"/>
      <c r="Q1196" s="134"/>
      <c r="R1196" s="360"/>
    </row>
    <row r="1197" spans="1:18" s="105" customFormat="1" ht="24.75" customHeight="1">
      <c r="A1197" s="111">
        <v>4010</v>
      </c>
      <c r="B1197" s="262" t="s">
        <v>471</v>
      </c>
      <c r="C1197" s="79">
        <v>137686</v>
      </c>
      <c r="D1197" s="65">
        <f t="shared" si="149"/>
        <v>137686</v>
      </c>
      <c r="E1197" s="65">
        <f>H1197+K1197+Q1197+N1197</f>
        <v>68897</v>
      </c>
      <c r="F1197" s="475">
        <f t="shared" si="152"/>
        <v>50.03921967375041</v>
      </c>
      <c r="G1197" s="161"/>
      <c r="H1197" s="65"/>
      <c r="I1197" s="265"/>
      <c r="J1197" s="79">
        <v>137686</v>
      </c>
      <c r="K1197" s="80">
        <v>68897</v>
      </c>
      <c r="L1197" s="426">
        <f t="shared" si="153"/>
        <v>50.03921967375041</v>
      </c>
      <c r="M1197" s="80"/>
      <c r="N1197" s="80"/>
      <c r="O1197" s="356"/>
      <c r="P1197" s="80"/>
      <c r="Q1197" s="80"/>
      <c r="R1197" s="350"/>
    </row>
    <row r="1198" spans="1:18" s="105" customFormat="1" ht="27" customHeight="1">
      <c r="A1198" s="111">
        <v>4040</v>
      </c>
      <c r="B1198" s="262" t="s">
        <v>516</v>
      </c>
      <c r="C1198" s="79">
        <v>11201</v>
      </c>
      <c r="D1198" s="65">
        <f t="shared" si="149"/>
        <v>11201</v>
      </c>
      <c r="E1198" s="65">
        <f>H1198+K1198+Q1198+N1198</f>
        <v>11113</v>
      </c>
      <c r="F1198" s="475">
        <f t="shared" si="152"/>
        <v>99.21435586108383</v>
      </c>
      <c r="G1198" s="161"/>
      <c r="H1198" s="65"/>
      <c r="I1198" s="265"/>
      <c r="J1198" s="79">
        <v>11201</v>
      </c>
      <c r="K1198" s="80">
        <f>11113</f>
        <v>11113</v>
      </c>
      <c r="L1198" s="426">
        <f t="shared" si="153"/>
        <v>99.21435586108383</v>
      </c>
      <c r="M1198" s="80"/>
      <c r="N1198" s="80"/>
      <c r="O1198" s="356"/>
      <c r="P1198" s="80"/>
      <c r="Q1198" s="80"/>
      <c r="R1198" s="350"/>
    </row>
    <row r="1199" spans="1:18" s="105" customFormat="1" ht="24" customHeight="1">
      <c r="A1199" s="111">
        <v>4110</v>
      </c>
      <c r="B1199" s="262" t="s">
        <v>477</v>
      </c>
      <c r="C1199" s="79">
        <v>21000</v>
      </c>
      <c r="D1199" s="65">
        <f t="shared" si="149"/>
        <v>21000</v>
      </c>
      <c r="E1199" s="65">
        <f t="shared" si="149"/>
        <v>12930</v>
      </c>
      <c r="F1199" s="475">
        <f t="shared" si="152"/>
        <v>61.57142857142858</v>
      </c>
      <c r="G1199" s="161"/>
      <c r="H1199" s="65"/>
      <c r="I1199" s="265"/>
      <c r="J1199" s="79">
        <v>21000</v>
      </c>
      <c r="K1199" s="80">
        <v>12930</v>
      </c>
      <c r="L1199" s="426">
        <f t="shared" si="153"/>
        <v>61.57142857142858</v>
      </c>
      <c r="M1199" s="80"/>
      <c r="N1199" s="80"/>
      <c r="O1199" s="356"/>
      <c r="P1199" s="80"/>
      <c r="Q1199" s="80"/>
      <c r="R1199" s="350"/>
    </row>
    <row r="1200" spans="1:18" s="105" customFormat="1" ht="14.25" customHeight="1">
      <c r="A1200" s="111">
        <v>4120</v>
      </c>
      <c r="B1200" s="262" t="s">
        <v>547</v>
      </c>
      <c r="C1200" s="79">
        <v>3503</v>
      </c>
      <c r="D1200" s="65">
        <f t="shared" si="149"/>
        <v>3503</v>
      </c>
      <c r="E1200" s="65">
        <f t="shared" si="149"/>
        <v>1954</v>
      </c>
      <c r="F1200" s="475">
        <f t="shared" si="152"/>
        <v>55.78075934912932</v>
      </c>
      <c r="G1200" s="161"/>
      <c r="H1200" s="65"/>
      <c r="I1200" s="265"/>
      <c r="J1200" s="79">
        <v>3503</v>
      </c>
      <c r="K1200" s="80">
        <v>1954</v>
      </c>
      <c r="L1200" s="426">
        <f t="shared" si="153"/>
        <v>55.78075934912932</v>
      </c>
      <c r="M1200" s="80"/>
      <c r="N1200" s="80"/>
      <c r="O1200" s="356"/>
      <c r="P1200" s="80"/>
      <c r="Q1200" s="80"/>
      <c r="R1200" s="350"/>
    </row>
    <row r="1201" spans="1:18" s="105" customFormat="1" ht="24" hidden="1">
      <c r="A1201" s="111">
        <v>4170</v>
      </c>
      <c r="B1201" s="262" t="s">
        <v>511</v>
      </c>
      <c r="C1201" s="79"/>
      <c r="D1201" s="65">
        <f>G1201+J1201+P1201+M1201</f>
        <v>0</v>
      </c>
      <c r="E1201" s="65">
        <f>H1201+K1201+Q1201+N1201</f>
        <v>0</v>
      </c>
      <c r="F1201" s="475" t="e">
        <f>E1201/D1201*100</f>
        <v>#DIV/0!</v>
      </c>
      <c r="G1201" s="161"/>
      <c r="H1201" s="65"/>
      <c r="I1201" s="265"/>
      <c r="J1201" s="79"/>
      <c r="K1201" s="80"/>
      <c r="L1201" s="426" t="e">
        <f t="shared" si="153"/>
        <v>#DIV/0!</v>
      </c>
      <c r="M1201" s="80"/>
      <c r="N1201" s="80"/>
      <c r="O1201" s="356"/>
      <c r="P1201" s="80"/>
      <c r="Q1201" s="80"/>
      <c r="R1201" s="350"/>
    </row>
    <row r="1202" spans="1:18" s="105" customFormat="1" ht="24" customHeight="1">
      <c r="A1202" s="111">
        <v>4210</v>
      </c>
      <c r="B1202" s="262" t="s">
        <v>481</v>
      </c>
      <c r="C1202" s="79">
        <v>3000</v>
      </c>
      <c r="D1202" s="65">
        <f t="shared" si="149"/>
        <v>3000</v>
      </c>
      <c r="E1202" s="65">
        <f t="shared" si="149"/>
        <v>211</v>
      </c>
      <c r="F1202" s="475">
        <f t="shared" si="152"/>
        <v>7.033333333333333</v>
      </c>
      <c r="G1202" s="161"/>
      <c r="H1202" s="65"/>
      <c r="I1202" s="265"/>
      <c r="J1202" s="79">
        <v>3000</v>
      </c>
      <c r="K1202" s="80">
        <v>211</v>
      </c>
      <c r="L1202" s="426">
        <f t="shared" si="153"/>
        <v>7.033333333333333</v>
      </c>
      <c r="M1202" s="80"/>
      <c r="N1202" s="80"/>
      <c r="O1202" s="356"/>
      <c r="P1202" s="80"/>
      <c r="Q1202" s="80"/>
      <c r="R1202" s="350"/>
    </row>
    <row r="1203" spans="1:18" s="105" customFormat="1" ht="15.75" customHeight="1">
      <c r="A1203" s="111">
        <v>4220</v>
      </c>
      <c r="B1203" s="262" t="s">
        <v>650</v>
      </c>
      <c r="C1203" s="79">
        <v>6100</v>
      </c>
      <c r="D1203" s="65">
        <f t="shared" si="149"/>
        <v>6100</v>
      </c>
      <c r="E1203" s="65">
        <f t="shared" si="149"/>
        <v>2668</v>
      </c>
      <c r="F1203" s="475">
        <f t="shared" si="152"/>
        <v>43.73770491803279</v>
      </c>
      <c r="G1203" s="161"/>
      <c r="H1203" s="65"/>
      <c r="I1203" s="265"/>
      <c r="J1203" s="79">
        <v>6100</v>
      </c>
      <c r="K1203" s="80">
        <v>2668</v>
      </c>
      <c r="L1203" s="426">
        <f t="shared" si="153"/>
        <v>43.73770491803279</v>
      </c>
      <c r="M1203" s="80"/>
      <c r="N1203" s="80"/>
      <c r="O1203" s="356"/>
      <c r="P1203" s="80"/>
      <c r="Q1203" s="80"/>
      <c r="R1203" s="350"/>
    </row>
    <row r="1204" spans="1:18" s="105" customFormat="1" ht="23.25" customHeight="1">
      <c r="A1204" s="111">
        <v>4230</v>
      </c>
      <c r="B1204" s="262" t="s">
        <v>483</v>
      </c>
      <c r="C1204" s="79">
        <v>250</v>
      </c>
      <c r="D1204" s="65">
        <f t="shared" si="149"/>
        <v>250</v>
      </c>
      <c r="E1204" s="65">
        <f t="shared" si="149"/>
        <v>0</v>
      </c>
      <c r="F1204" s="475">
        <f t="shared" si="152"/>
        <v>0</v>
      </c>
      <c r="G1204" s="161"/>
      <c r="H1204" s="65"/>
      <c r="I1204" s="265"/>
      <c r="J1204" s="79">
        <v>250</v>
      </c>
      <c r="K1204" s="80"/>
      <c r="L1204" s="426">
        <f t="shared" si="153"/>
        <v>0</v>
      </c>
      <c r="M1204" s="80"/>
      <c r="N1204" s="80"/>
      <c r="O1204" s="356"/>
      <c r="P1204" s="80"/>
      <c r="Q1204" s="80"/>
      <c r="R1204" s="350"/>
    </row>
    <row r="1205" spans="1:18" s="105" customFormat="1" ht="13.5" customHeight="1">
      <c r="A1205" s="111">
        <v>4260</v>
      </c>
      <c r="B1205" s="262" t="s">
        <v>485</v>
      </c>
      <c r="C1205" s="79">
        <v>21000</v>
      </c>
      <c r="D1205" s="65">
        <f t="shared" si="149"/>
        <v>21000</v>
      </c>
      <c r="E1205" s="65">
        <f t="shared" si="149"/>
        <v>12347</v>
      </c>
      <c r="F1205" s="475">
        <f t="shared" si="152"/>
        <v>58.7952380952381</v>
      </c>
      <c r="G1205" s="161"/>
      <c r="H1205" s="65"/>
      <c r="I1205" s="265"/>
      <c r="J1205" s="79">
        <v>21000</v>
      </c>
      <c r="K1205" s="80">
        <v>12347</v>
      </c>
      <c r="L1205" s="426">
        <f t="shared" si="153"/>
        <v>58.7952380952381</v>
      </c>
      <c r="M1205" s="80"/>
      <c r="N1205" s="80"/>
      <c r="O1205" s="356"/>
      <c r="P1205" s="80"/>
      <c r="Q1205" s="80"/>
      <c r="R1205" s="350"/>
    </row>
    <row r="1206" spans="1:18" s="12" customFormat="1" ht="14.25" customHeight="1">
      <c r="A1206" s="111">
        <v>4280</v>
      </c>
      <c r="B1206" s="262" t="s">
        <v>520</v>
      </c>
      <c r="C1206" s="161">
        <v>230</v>
      </c>
      <c r="D1206" s="65">
        <f t="shared" si="149"/>
        <v>230</v>
      </c>
      <c r="E1206" s="80">
        <f>SUM(H1206+K1206+N1206+Q1206)</f>
        <v>0</v>
      </c>
      <c r="F1206" s="452">
        <f t="shared" si="152"/>
        <v>0</v>
      </c>
      <c r="G1206" s="161"/>
      <c r="H1206" s="65"/>
      <c r="I1206" s="265"/>
      <c r="J1206" s="161">
        <v>230</v>
      </c>
      <c r="K1206" s="162"/>
      <c r="L1206" s="426">
        <f t="shared" si="153"/>
        <v>0</v>
      </c>
      <c r="M1206" s="65"/>
      <c r="N1206" s="65"/>
      <c r="O1206" s="356"/>
      <c r="P1206" s="65"/>
      <c r="Q1206" s="65"/>
      <c r="R1206" s="350"/>
    </row>
    <row r="1207" spans="1:18" s="105" customFormat="1" ht="13.5" customHeight="1">
      <c r="A1207" s="111">
        <v>4300</v>
      </c>
      <c r="B1207" s="262" t="s">
        <v>522</v>
      </c>
      <c r="C1207" s="79">
        <v>11600</v>
      </c>
      <c r="D1207" s="65">
        <f t="shared" si="149"/>
        <v>11600</v>
      </c>
      <c r="E1207" s="65">
        <f t="shared" si="149"/>
        <v>2557</v>
      </c>
      <c r="F1207" s="475">
        <f t="shared" si="152"/>
        <v>22.04310344827586</v>
      </c>
      <c r="G1207" s="161"/>
      <c r="H1207" s="65"/>
      <c r="I1207" s="265"/>
      <c r="J1207" s="79">
        <v>11600</v>
      </c>
      <c r="K1207" s="80">
        <v>2557</v>
      </c>
      <c r="L1207" s="426">
        <f t="shared" si="153"/>
        <v>22.04310344827586</v>
      </c>
      <c r="M1207" s="80"/>
      <c r="N1207" s="80"/>
      <c r="O1207" s="356"/>
      <c r="P1207" s="80"/>
      <c r="Q1207" s="80"/>
      <c r="R1207" s="350"/>
    </row>
    <row r="1208" spans="1:18" s="105" customFormat="1" ht="24">
      <c r="A1208" s="111">
        <v>4350</v>
      </c>
      <c r="B1208" s="262" t="s">
        <v>7</v>
      </c>
      <c r="C1208" s="79">
        <v>700</v>
      </c>
      <c r="D1208" s="65">
        <f t="shared" si="149"/>
        <v>700</v>
      </c>
      <c r="E1208" s="65">
        <f t="shared" si="149"/>
        <v>359</v>
      </c>
      <c r="F1208" s="475">
        <f t="shared" si="152"/>
        <v>51.28571428571429</v>
      </c>
      <c r="G1208" s="161"/>
      <c r="H1208" s="65"/>
      <c r="I1208" s="265"/>
      <c r="J1208" s="79">
        <v>700</v>
      </c>
      <c r="K1208" s="80">
        <v>359</v>
      </c>
      <c r="L1208" s="426">
        <f t="shared" si="153"/>
        <v>51.28571428571429</v>
      </c>
      <c r="M1208" s="80"/>
      <c r="N1208" s="80"/>
      <c r="O1208" s="356"/>
      <c r="P1208" s="80"/>
      <c r="Q1208" s="80"/>
      <c r="R1208" s="350"/>
    </row>
    <row r="1209" spans="1:18" s="105" customFormat="1" ht="37.5" customHeight="1">
      <c r="A1209" s="159">
        <v>4370</v>
      </c>
      <c r="B1209" s="326" t="s">
        <v>296</v>
      </c>
      <c r="C1209" s="79">
        <v>1800</v>
      </c>
      <c r="D1209" s="65">
        <f aca="true" t="shared" si="154" ref="D1209:E1226">G1209+J1209+P1209+M1209</f>
        <v>1800</v>
      </c>
      <c r="E1209" s="65">
        <f t="shared" si="154"/>
        <v>768</v>
      </c>
      <c r="F1209" s="475">
        <f>E1209/D1209*100</f>
        <v>42.66666666666667</v>
      </c>
      <c r="G1209" s="161"/>
      <c r="H1209" s="65"/>
      <c r="I1209" s="265"/>
      <c r="J1209" s="79">
        <v>1800</v>
      </c>
      <c r="K1209" s="80">
        <v>768</v>
      </c>
      <c r="L1209" s="426">
        <f t="shared" si="153"/>
        <v>42.66666666666667</v>
      </c>
      <c r="M1209" s="80"/>
      <c r="N1209" s="80"/>
      <c r="O1209" s="356"/>
      <c r="P1209" s="80"/>
      <c r="Q1209" s="80"/>
      <c r="R1209" s="350"/>
    </row>
    <row r="1210" spans="1:18" s="105" customFormat="1" ht="24">
      <c r="A1210" s="159">
        <v>4400</v>
      </c>
      <c r="B1210" s="326" t="s">
        <v>287</v>
      </c>
      <c r="C1210" s="79">
        <v>14700</v>
      </c>
      <c r="D1210" s="65">
        <f t="shared" si="154"/>
        <v>14700</v>
      </c>
      <c r="E1210" s="65">
        <f t="shared" si="154"/>
        <v>7320</v>
      </c>
      <c r="F1210" s="475">
        <f>E1210/D1210*100</f>
        <v>49.795918367346935</v>
      </c>
      <c r="G1210" s="161"/>
      <c r="H1210" s="65"/>
      <c r="I1210" s="265"/>
      <c r="J1210" s="79">
        <v>14700</v>
      </c>
      <c r="K1210" s="80">
        <v>7320</v>
      </c>
      <c r="L1210" s="426">
        <f t="shared" si="153"/>
        <v>49.795918367346935</v>
      </c>
      <c r="M1210" s="80"/>
      <c r="N1210" s="80"/>
      <c r="O1210" s="356"/>
      <c r="P1210" s="80"/>
      <c r="Q1210" s="80"/>
      <c r="R1210" s="350"/>
    </row>
    <row r="1211" spans="1:18" s="105" customFormat="1" ht="13.5" customHeight="1">
      <c r="A1211" s="111">
        <v>4410</v>
      </c>
      <c r="B1211" s="262" t="s">
        <v>463</v>
      </c>
      <c r="C1211" s="79">
        <v>800</v>
      </c>
      <c r="D1211" s="65">
        <f t="shared" si="154"/>
        <v>800</v>
      </c>
      <c r="E1211" s="65">
        <f t="shared" si="154"/>
        <v>222</v>
      </c>
      <c r="F1211" s="475">
        <f>E1211/D1211*100</f>
        <v>27.750000000000004</v>
      </c>
      <c r="G1211" s="161"/>
      <c r="H1211" s="65"/>
      <c r="I1211" s="265"/>
      <c r="J1211" s="79">
        <v>800</v>
      </c>
      <c r="K1211" s="80">
        <v>222</v>
      </c>
      <c r="L1211" s="426">
        <f t="shared" si="153"/>
        <v>27.750000000000004</v>
      </c>
      <c r="M1211" s="80"/>
      <c r="N1211" s="80"/>
      <c r="O1211" s="356"/>
      <c r="P1211" s="80"/>
      <c r="Q1211" s="80"/>
      <c r="R1211" s="350"/>
    </row>
    <row r="1212" spans="1:18" s="105" customFormat="1" ht="13.5" customHeight="1" hidden="1">
      <c r="A1212" s="111">
        <v>4430</v>
      </c>
      <c r="B1212" s="262" t="s">
        <v>491</v>
      </c>
      <c r="C1212" s="79"/>
      <c r="D1212" s="65">
        <f t="shared" si="154"/>
        <v>0</v>
      </c>
      <c r="E1212" s="65">
        <f t="shared" si="154"/>
        <v>0</v>
      </c>
      <c r="F1212" s="475" t="e">
        <f t="shared" si="152"/>
        <v>#DIV/0!</v>
      </c>
      <c r="G1212" s="161"/>
      <c r="H1212" s="65"/>
      <c r="I1212" s="265"/>
      <c r="J1212" s="79"/>
      <c r="K1212" s="80"/>
      <c r="L1212" s="426" t="e">
        <f t="shared" si="153"/>
        <v>#DIV/0!</v>
      </c>
      <c r="M1212" s="80"/>
      <c r="N1212" s="80"/>
      <c r="O1212" s="356"/>
      <c r="P1212" s="80"/>
      <c r="Q1212" s="80"/>
      <c r="R1212" s="350"/>
    </row>
    <row r="1213" spans="1:18" s="105" customFormat="1" ht="13.5" customHeight="1">
      <c r="A1213" s="111">
        <v>4440</v>
      </c>
      <c r="B1213" s="262" t="s">
        <v>493</v>
      </c>
      <c r="C1213" s="79">
        <v>4875</v>
      </c>
      <c r="D1213" s="65">
        <f t="shared" si="154"/>
        <v>4875</v>
      </c>
      <c r="E1213" s="65">
        <f t="shared" si="154"/>
        <v>4875</v>
      </c>
      <c r="F1213" s="475">
        <f t="shared" si="152"/>
        <v>100</v>
      </c>
      <c r="G1213" s="161"/>
      <c r="H1213" s="65"/>
      <c r="I1213" s="265"/>
      <c r="J1213" s="79">
        <v>4875</v>
      </c>
      <c r="K1213" s="80">
        <v>4875</v>
      </c>
      <c r="L1213" s="426">
        <f t="shared" si="153"/>
        <v>100</v>
      </c>
      <c r="M1213" s="80"/>
      <c r="N1213" s="80"/>
      <c r="O1213" s="356"/>
      <c r="P1213" s="80"/>
      <c r="Q1213" s="80"/>
      <c r="R1213" s="350"/>
    </row>
    <row r="1214" spans="1:18" s="105" customFormat="1" ht="49.5" customHeight="1">
      <c r="A1214" s="159">
        <v>4740</v>
      </c>
      <c r="B1214" s="326" t="s">
        <v>288</v>
      </c>
      <c r="C1214" s="113">
        <v>300</v>
      </c>
      <c r="D1214" s="65">
        <f t="shared" si="154"/>
        <v>300</v>
      </c>
      <c r="E1214" s="65">
        <f t="shared" si="154"/>
        <v>0</v>
      </c>
      <c r="F1214" s="475">
        <f>E1214/D1214*100</f>
        <v>0</v>
      </c>
      <c r="G1214" s="161"/>
      <c r="H1214" s="65"/>
      <c r="I1214" s="265"/>
      <c r="J1214" s="113">
        <v>300</v>
      </c>
      <c r="K1214" s="80"/>
      <c r="L1214" s="211">
        <f t="shared" si="153"/>
        <v>0</v>
      </c>
      <c r="M1214" s="80"/>
      <c r="N1214" s="80"/>
      <c r="O1214" s="356"/>
      <c r="P1214" s="80"/>
      <c r="Q1214" s="80"/>
      <c r="R1214" s="350"/>
    </row>
    <row r="1215" spans="1:18" s="105" customFormat="1" ht="36">
      <c r="A1215" s="159">
        <v>4750</v>
      </c>
      <c r="B1215" s="326" t="s">
        <v>289</v>
      </c>
      <c r="C1215" s="113">
        <v>500</v>
      </c>
      <c r="D1215" s="65">
        <f t="shared" si="154"/>
        <v>500</v>
      </c>
      <c r="E1215" s="65">
        <f t="shared" si="154"/>
        <v>53</v>
      </c>
      <c r="F1215" s="475">
        <f>E1215/D1215*100</f>
        <v>10.6</v>
      </c>
      <c r="G1215" s="161"/>
      <c r="H1215" s="65"/>
      <c r="I1215" s="265"/>
      <c r="J1215" s="113">
        <v>500</v>
      </c>
      <c r="K1215" s="80">
        <v>53</v>
      </c>
      <c r="L1215" s="211">
        <f t="shared" si="153"/>
        <v>10.6</v>
      </c>
      <c r="M1215" s="80"/>
      <c r="N1215" s="80"/>
      <c r="O1215" s="356"/>
      <c r="P1215" s="80"/>
      <c r="Q1215" s="80"/>
      <c r="R1215" s="350"/>
    </row>
    <row r="1216" spans="1:18" s="105" customFormat="1" ht="36">
      <c r="A1216" s="137"/>
      <c r="B1216" s="284" t="s">
        <v>145</v>
      </c>
      <c r="C1216" s="85">
        <f>SUM(C1217)</f>
        <v>219000</v>
      </c>
      <c r="D1216" s="86">
        <f t="shared" si="154"/>
        <v>219000</v>
      </c>
      <c r="E1216" s="86">
        <f t="shared" si="154"/>
        <v>54750</v>
      </c>
      <c r="F1216" s="460">
        <f>E1216/D1216*100</f>
        <v>25</v>
      </c>
      <c r="G1216" s="85"/>
      <c r="H1216" s="86"/>
      <c r="I1216" s="345"/>
      <c r="J1216" s="158">
        <f>SUM(J1217)</f>
        <v>219000</v>
      </c>
      <c r="K1216" s="86">
        <f>SUM(K1217)</f>
        <v>54750</v>
      </c>
      <c r="L1216" s="256">
        <f t="shared" si="153"/>
        <v>25</v>
      </c>
      <c r="M1216" s="86"/>
      <c r="N1216" s="86"/>
      <c r="O1216" s="391"/>
      <c r="P1216" s="86"/>
      <c r="Q1216" s="86"/>
      <c r="R1216" s="358"/>
    </row>
    <row r="1217" spans="1:18" s="105" customFormat="1" ht="66.75" customHeight="1">
      <c r="A1217" s="131">
        <v>2820</v>
      </c>
      <c r="B1217" s="611" t="s">
        <v>54</v>
      </c>
      <c r="C1217" s="135">
        <v>219000</v>
      </c>
      <c r="D1217" s="134">
        <f t="shared" si="154"/>
        <v>219000</v>
      </c>
      <c r="E1217" s="134">
        <f t="shared" si="154"/>
        <v>54750</v>
      </c>
      <c r="F1217" s="506">
        <f>E1217/D1217*100</f>
        <v>25</v>
      </c>
      <c r="G1217" s="600"/>
      <c r="H1217" s="134"/>
      <c r="I1217" s="402"/>
      <c r="J1217" s="135">
        <v>219000</v>
      </c>
      <c r="K1217" s="136">
        <v>54750</v>
      </c>
      <c r="L1217" s="301">
        <f t="shared" si="153"/>
        <v>25</v>
      </c>
      <c r="M1217" s="136"/>
      <c r="N1217" s="136"/>
      <c r="O1217" s="369"/>
      <c r="P1217" s="136"/>
      <c r="Q1217" s="136"/>
      <c r="R1217" s="360"/>
    </row>
    <row r="1218" spans="1:18" s="105" customFormat="1" ht="15.75" customHeight="1">
      <c r="A1218" s="106">
        <v>85204</v>
      </c>
      <c r="B1218" s="261" t="s">
        <v>71</v>
      </c>
      <c r="C1218" s="108">
        <f>SUM(C1219:C1225)</f>
        <v>3640252</v>
      </c>
      <c r="D1218" s="86">
        <f t="shared" si="154"/>
        <v>3630252</v>
      </c>
      <c r="E1218" s="75">
        <f t="shared" si="154"/>
        <v>1480708</v>
      </c>
      <c r="F1218" s="506">
        <f t="shared" si="152"/>
        <v>40.78802242929692</v>
      </c>
      <c r="G1218" s="85"/>
      <c r="H1218" s="86"/>
      <c r="I1218" s="360"/>
      <c r="J1218" s="110"/>
      <c r="K1218" s="75"/>
      <c r="L1218" s="406"/>
      <c r="M1218" s="75">
        <f>SUM(M1219:M1225)</f>
        <v>3630252</v>
      </c>
      <c r="N1218" s="75">
        <f>SUM(N1219:N1225)</f>
        <v>1480708</v>
      </c>
      <c r="O1218" s="301">
        <f>N1218/M1218*100</f>
        <v>40.78802242929692</v>
      </c>
      <c r="P1218" s="75"/>
      <c r="Q1218" s="75"/>
      <c r="R1218" s="360"/>
    </row>
    <row r="1219" spans="1:18" s="12" customFormat="1" ht="60.75" customHeight="1">
      <c r="A1219" s="159">
        <v>2320</v>
      </c>
      <c r="B1219" s="277" t="s">
        <v>569</v>
      </c>
      <c r="C1219" s="161">
        <v>123500</v>
      </c>
      <c r="D1219" s="65">
        <f t="shared" si="154"/>
        <v>123500</v>
      </c>
      <c r="E1219" s="80">
        <f aca="true" t="shared" si="155" ref="E1219:E1248">SUM(H1219+K1219+N1219+Q1219)</f>
        <v>70311</v>
      </c>
      <c r="F1219" s="475">
        <f t="shared" si="152"/>
        <v>56.93198380566802</v>
      </c>
      <c r="G1219" s="161"/>
      <c r="H1219" s="65"/>
      <c r="I1219" s="350"/>
      <c r="J1219" s="162"/>
      <c r="K1219" s="65"/>
      <c r="L1219" s="379"/>
      <c r="M1219" s="161">
        <v>123500</v>
      </c>
      <c r="N1219" s="95">
        <v>70311</v>
      </c>
      <c r="O1219" s="211">
        <f aca="true" t="shared" si="156" ref="O1219:O1225">N1219/M1219*100</f>
        <v>56.93198380566802</v>
      </c>
      <c r="P1219" s="65"/>
      <c r="Q1219" s="65"/>
      <c r="R1219" s="350"/>
    </row>
    <row r="1220" spans="1:18" s="105" customFormat="1" ht="13.5" customHeight="1">
      <c r="A1220" s="111">
        <v>3110</v>
      </c>
      <c r="B1220" s="262" t="s">
        <v>65</v>
      </c>
      <c r="C1220" s="79">
        <v>3047578</v>
      </c>
      <c r="D1220" s="65">
        <f t="shared" si="154"/>
        <v>3037578</v>
      </c>
      <c r="E1220" s="80">
        <f t="shared" si="155"/>
        <v>1199017</v>
      </c>
      <c r="F1220" s="475">
        <f t="shared" si="152"/>
        <v>39.47279707714502</v>
      </c>
      <c r="G1220" s="161"/>
      <c r="H1220" s="65"/>
      <c r="I1220" s="350"/>
      <c r="J1220" s="113"/>
      <c r="K1220" s="80"/>
      <c r="L1220" s="379"/>
      <c r="M1220" s="79">
        <f>3047578-10000</f>
        <v>3037578</v>
      </c>
      <c r="N1220" s="80">
        <f>1199016+1</f>
        <v>1199017</v>
      </c>
      <c r="O1220" s="211">
        <f t="shared" si="156"/>
        <v>39.47279707714502</v>
      </c>
      <c r="P1220" s="80"/>
      <c r="Q1220" s="80"/>
      <c r="R1220" s="350"/>
    </row>
    <row r="1221" spans="1:18" s="105" customFormat="1" ht="27" customHeight="1">
      <c r="A1221" s="111">
        <v>4110</v>
      </c>
      <c r="B1221" s="262" t="s">
        <v>477</v>
      </c>
      <c r="C1221" s="79">
        <v>57325</v>
      </c>
      <c r="D1221" s="65">
        <f t="shared" si="154"/>
        <v>57325</v>
      </c>
      <c r="E1221" s="80">
        <f t="shared" si="155"/>
        <v>25151</v>
      </c>
      <c r="F1221" s="475">
        <f t="shared" si="152"/>
        <v>43.87440034888792</v>
      </c>
      <c r="G1221" s="161"/>
      <c r="H1221" s="65"/>
      <c r="I1221" s="350"/>
      <c r="J1221" s="113"/>
      <c r="K1221" s="80"/>
      <c r="L1221" s="379"/>
      <c r="M1221" s="79">
        <v>57325</v>
      </c>
      <c r="N1221" s="80">
        <v>25151</v>
      </c>
      <c r="O1221" s="211">
        <f t="shared" si="156"/>
        <v>43.87440034888792</v>
      </c>
      <c r="P1221" s="80"/>
      <c r="Q1221" s="80"/>
      <c r="R1221" s="350"/>
    </row>
    <row r="1222" spans="1:18" s="105" customFormat="1" ht="15" customHeight="1">
      <c r="A1222" s="111">
        <v>4120</v>
      </c>
      <c r="B1222" s="262" t="s">
        <v>553</v>
      </c>
      <c r="C1222" s="79">
        <v>9849</v>
      </c>
      <c r="D1222" s="65">
        <f t="shared" si="154"/>
        <v>9849</v>
      </c>
      <c r="E1222" s="80">
        <f t="shared" si="155"/>
        <v>4321</v>
      </c>
      <c r="F1222" s="475">
        <f t="shared" si="152"/>
        <v>43.87247436287948</v>
      </c>
      <c r="G1222" s="161"/>
      <c r="H1222" s="65"/>
      <c r="I1222" s="350"/>
      <c r="J1222" s="113"/>
      <c r="K1222" s="80"/>
      <c r="L1222" s="379"/>
      <c r="M1222" s="79">
        <v>9849</v>
      </c>
      <c r="N1222" s="80">
        <v>4321</v>
      </c>
      <c r="O1222" s="211">
        <f t="shared" si="156"/>
        <v>43.87247436287948</v>
      </c>
      <c r="P1222" s="80"/>
      <c r="Q1222" s="80"/>
      <c r="R1222" s="350"/>
    </row>
    <row r="1223" spans="1:18" s="105" customFormat="1" ht="24">
      <c r="A1223" s="111">
        <v>4170</v>
      </c>
      <c r="B1223" s="262" t="s">
        <v>511</v>
      </c>
      <c r="C1223" s="79">
        <v>402000</v>
      </c>
      <c r="D1223" s="65">
        <f t="shared" si="154"/>
        <v>402000</v>
      </c>
      <c r="E1223" s="80">
        <f t="shared" si="155"/>
        <v>181908</v>
      </c>
      <c r="F1223" s="452">
        <f t="shared" si="152"/>
        <v>45.25074626865672</v>
      </c>
      <c r="G1223" s="161"/>
      <c r="H1223" s="65"/>
      <c r="I1223" s="350"/>
      <c r="J1223" s="113"/>
      <c r="K1223" s="80"/>
      <c r="L1223" s="379"/>
      <c r="M1223" s="79">
        <v>402000</v>
      </c>
      <c r="N1223" s="80">
        <v>181908</v>
      </c>
      <c r="O1223" s="211">
        <f t="shared" si="156"/>
        <v>45.25074626865672</v>
      </c>
      <c r="P1223" s="80"/>
      <c r="Q1223" s="80"/>
      <c r="R1223" s="350"/>
    </row>
    <row r="1224" spans="1:18" s="105" customFormat="1" ht="12.75" hidden="1">
      <c r="A1224" s="111">
        <v>4580</v>
      </c>
      <c r="B1224" s="276" t="s">
        <v>525</v>
      </c>
      <c r="C1224" s="79"/>
      <c r="D1224" s="148">
        <f t="shared" si="154"/>
        <v>0</v>
      </c>
      <c r="E1224" s="142">
        <f t="shared" si="155"/>
        <v>0</v>
      </c>
      <c r="F1224" s="446" t="e">
        <f t="shared" si="152"/>
        <v>#DIV/0!</v>
      </c>
      <c r="G1224" s="161"/>
      <c r="H1224" s="65"/>
      <c r="I1224" s="350"/>
      <c r="J1224" s="113"/>
      <c r="K1224" s="80"/>
      <c r="L1224" s="379"/>
      <c r="M1224" s="79"/>
      <c r="N1224" s="80"/>
      <c r="O1224" s="211" t="e">
        <f t="shared" si="156"/>
        <v>#DIV/0!</v>
      </c>
      <c r="P1224" s="80"/>
      <c r="Q1224" s="80"/>
      <c r="R1224" s="350"/>
    </row>
    <row r="1225" spans="1:18" s="105" customFormat="1" ht="24" hidden="1">
      <c r="A1225" s="145">
        <v>4330</v>
      </c>
      <c r="B1225" s="263" t="s">
        <v>66</v>
      </c>
      <c r="C1225" s="147"/>
      <c r="D1225" s="148">
        <f t="shared" si="154"/>
        <v>0</v>
      </c>
      <c r="E1225" s="142">
        <f t="shared" si="155"/>
        <v>0</v>
      </c>
      <c r="F1225" s="512" t="e">
        <f>E1225/D1225*100</f>
        <v>#DIV/0!</v>
      </c>
      <c r="G1225" s="163"/>
      <c r="H1225" s="148"/>
      <c r="I1225" s="354"/>
      <c r="J1225" s="149"/>
      <c r="K1225" s="142"/>
      <c r="L1225" s="404"/>
      <c r="M1225" s="147"/>
      <c r="N1225" s="142"/>
      <c r="O1225" s="211" t="e">
        <f t="shared" si="156"/>
        <v>#DIV/0!</v>
      </c>
      <c r="P1225" s="142"/>
      <c r="Q1225" s="142"/>
      <c r="R1225" s="354"/>
    </row>
    <row r="1226" spans="1:18" ht="108">
      <c r="A1226" s="106">
        <v>85212</v>
      </c>
      <c r="B1226" s="261" t="s">
        <v>265</v>
      </c>
      <c r="C1226" s="108">
        <f>SUM(C1227:C1248)</f>
        <v>20236635</v>
      </c>
      <c r="D1226" s="86">
        <f t="shared" si="154"/>
        <v>20236635</v>
      </c>
      <c r="E1226" s="86">
        <f t="shared" si="155"/>
        <v>8575216</v>
      </c>
      <c r="F1226" s="515">
        <f aca="true" t="shared" si="157" ref="F1226:F1254">E1226/D1226*100</f>
        <v>42.374712989585475</v>
      </c>
      <c r="G1226" s="108">
        <f>SUM(G1227:G1248)</f>
        <v>311635</v>
      </c>
      <c r="H1226" s="75">
        <f>SUM(H1227:H1248)</f>
        <v>73413</v>
      </c>
      <c r="I1226" s="402">
        <f>H1226/G1226*100</f>
        <v>23.55736679127826</v>
      </c>
      <c r="J1226" s="110">
        <f>SUM(J1227:J1248)</f>
        <v>19925000</v>
      </c>
      <c r="K1226" s="75">
        <f>SUM(K1227:K1248)</f>
        <v>8501803</v>
      </c>
      <c r="L1226" s="478">
        <f>K1226/J1226*100</f>
        <v>42.66902383939774</v>
      </c>
      <c r="M1226" s="75"/>
      <c r="N1226" s="75"/>
      <c r="O1226" s="391"/>
      <c r="P1226" s="75"/>
      <c r="Q1226" s="75"/>
      <c r="R1226" s="358"/>
    </row>
    <row r="1227" spans="1:18" s="105" customFormat="1" ht="36">
      <c r="A1227" s="111">
        <v>3020</v>
      </c>
      <c r="B1227" s="262" t="s">
        <v>538</v>
      </c>
      <c r="C1227" s="81">
        <v>2000</v>
      </c>
      <c r="D1227" s="94">
        <f aca="true" t="shared" si="158" ref="D1227:E1257">G1227+J1227+P1227+M1227</f>
        <v>2000</v>
      </c>
      <c r="E1227" s="95">
        <f t="shared" si="155"/>
        <v>200</v>
      </c>
      <c r="F1227" s="448">
        <f t="shared" si="157"/>
        <v>10</v>
      </c>
      <c r="G1227" s="81"/>
      <c r="H1227" s="95"/>
      <c r="I1227" s="346"/>
      <c r="J1227" s="81">
        <v>2000</v>
      </c>
      <c r="K1227" s="95">
        <v>200</v>
      </c>
      <c r="L1227" s="466">
        <f>K1227/J1227*100</f>
        <v>10</v>
      </c>
      <c r="M1227" s="95"/>
      <c r="N1227" s="95"/>
      <c r="O1227" s="376"/>
      <c r="P1227" s="95"/>
      <c r="Q1227" s="95"/>
      <c r="R1227" s="353"/>
    </row>
    <row r="1228" spans="1:18" s="105" customFormat="1" ht="12.75">
      <c r="A1228" s="111">
        <v>3110</v>
      </c>
      <c r="B1228" s="262" t="s">
        <v>65</v>
      </c>
      <c r="C1228" s="79">
        <v>19177250</v>
      </c>
      <c r="D1228" s="65">
        <f t="shared" si="158"/>
        <v>19177250</v>
      </c>
      <c r="E1228" s="80">
        <f>SUM(H1228+K1228+N1228+Q1228)</f>
        <v>8007759</v>
      </c>
      <c r="F1228" s="426">
        <f>E1228/D1228*100</f>
        <v>41.75655529338148</v>
      </c>
      <c r="G1228" s="79"/>
      <c r="H1228" s="80"/>
      <c r="I1228" s="265"/>
      <c r="J1228" s="79">
        <v>19177250</v>
      </c>
      <c r="K1228" s="113">
        <v>8007759</v>
      </c>
      <c r="L1228" s="466">
        <f>K1228/J1228*100</f>
        <v>41.75655529338148</v>
      </c>
      <c r="M1228" s="80"/>
      <c r="N1228" s="80"/>
      <c r="O1228" s="356"/>
      <c r="P1228" s="80"/>
      <c r="Q1228" s="80"/>
      <c r="R1228" s="350"/>
    </row>
    <row r="1229" spans="1:18" s="105" customFormat="1" ht="24">
      <c r="A1229" s="111">
        <v>4010</v>
      </c>
      <c r="B1229" s="262" t="s">
        <v>471</v>
      </c>
      <c r="C1229" s="79">
        <v>626005</v>
      </c>
      <c r="D1229" s="65">
        <f t="shared" si="158"/>
        <v>626005</v>
      </c>
      <c r="E1229" s="80">
        <f t="shared" si="155"/>
        <v>319590</v>
      </c>
      <c r="F1229" s="426">
        <f t="shared" si="157"/>
        <v>51.052307888914626</v>
      </c>
      <c r="G1229" s="79">
        <v>176005</v>
      </c>
      <c r="H1229" s="80"/>
      <c r="I1229" s="452">
        <f aca="true" t="shared" si="159" ref="I1229:I1235">H1229/G1229*100</f>
        <v>0</v>
      </c>
      <c r="J1229" s="79">
        <v>450000</v>
      </c>
      <c r="K1229" s="113">
        <v>319590</v>
      </c>
      <c r="L1229" s="466">
        <f>K1229/J1229*100</f>
        <v>71.02000000000001</v>
      </c>
      <c r="M1229" s="80"/>
      <c r="N1229" s="80"/>
      <c r="O1229" s="356"/>
      <c r="P1229" s="80"/>
      <c r="Q1229" s="80"/>
      <c r="R1229" s="350"/>
    </row>
    <row r="1230" spans="1:18" s="105" customFormat="1" ht="24">
      <c r="A1230" s="111">
        <v>4040</v>
      </c>
      <c r="B1230" s="262" t="s">
        <v>72</v>
      </c>
      <c r="C1230" s="79">
        <v>41800</v>
      </c>
      <c r="D1230" s="65">
        <f t="shared" si="158"/>
        <v>41800</v>
      </c>
      <c r="E1230" s="80">
        <f t="shared" si="155"/>
        <v>32454</v>
      </c>
      <c r="F1230" s="426">
        <f t="shared" si="157"/>
        <v>77.64114832535886</v>
      </c>
      <c r="G1230" s="79">
        <v>41800</v>
      </c>
      <c r="H1230" s="80">
        <f>32454</f>
        <v>32454</v>
      </c>
      <c r="I1230" s="452">
        <f t="shared" si="159"/>
        <v>77.64114832535886</v>
      </c>
      <c r="J1230" s="79"/>
      <c r="K1230" s="113"/>
      <c r="L1230" s="466"/>
      <c r="M1230" s="80"/>
      <c r="N1230" s="80"/>
      <c r="O1230" s="356"/>
      <c r="P1230" s="80"/>
      <c r="Q1230" s="80"/>
      <c r="R1230" s="350"/>
    </row>
    <row r="1231" spans="1:18" s="105" customFormat="1" ht="24">
      <c r="A1231" s="111">
        <v>4110</v>
      </c>
      <c r="B1231" s="262" t="s">
        <v>477</v>
      </c>
      <c r="C1231" s="79">
        <v>246500</v>
      </c>
      <c r="D1231" s="65">
        <f t="shared" si="158"/>
        <v>246500</v>
      </c>
      <c r="E1231" s="80">
        <f t="shared" si="155"/>
        <v>130354</v>
      </c>
      <c r="F1231" s="426">
        <f t="shared" si="157"/>
        <v>52.881947261663285</v>
      </c>
      <c r="G1231" s="79">
        <v>24400</v>
      </c>
      <c r="H1231" s="80"/>
      <c r="I1231" s="452">
        <f t="shared" si="159"/>
        <v>0</v>
      </c>
      <c r="J1231" s="79">
        <v>222100</v>
      </c>
      <c r="K1231" s="113">
        <v>130354</v>
      </c>
      <c r="L1231" s="466">
        <f aca="true" t="shared" si="160" ref="L1231:L1253">K1231/J1231*100</f>
        <v>58.691580369203066</v>
      </c>
      <c r="M1231" s="80"/>
      <c r="N1231" s="80"/>
      <c r="O1231" s="356"/>
      <c r="P1231" s="80"/>
      <c r="Q1231" s="80"/>
      <c r="R1231" s="350"/>
    </row>
    <row r="1232" spans="1:18" s="105" customFormat="1" ht="12.75">
      <c r="A1232" s="111">
        <v>4120</v>
      </c>
      <c r="B1232" s="262" t="s">
        <v>547</v>
      </c>
      <c r="C1232" s="79">
        <v>14730</v>
      </c>
      <c r="D1232" s="65">
        <f t="shared" si="158"/>
        <v>14730</v>
      </c>
      <c r="E1232" s="80">
        <f t="shared" si="155"/>
        <v>7245</v>
      </c>
      <c r="F1232" s="426">
        <f t="shared" si="157"/>
        <v>49.18533604887983</v>
      </c>
      <c r="G1232" s="79">
        <v>3730</v>
      </c>
      <c r="H1232" s="80"/>
      <c r="I1232" s="452">
        <f t="shared" si="159"/>
        <v>0</v>
      </c>
      <c r="J1232" s="79">
        <v>11000</v>
      </c>
      <c r="K1232" s="113">
        <v>7245</v>
      </c>
      <c r="L1232" s="466">
        <f t="shared" si="160"/>
        <v>65.86363636363637</v>
      </c>
      <c r="M1232" s="80"/>
      <c r="N1232" s="80"/>
      <c r="O1232" s="356"/>
      <c r="P1232" s="80"/>
      <c r="Q1232" s="80"/>
      <c r="R1232" s="350"/>
    </row>
    <row r="1233" spans="1:18" s="105" customFormat="1" ht="24" hidden="1">
      <c r="A1233" s="111">
        <v>4170</v>
      </c>
      <c r="B1233" s="262" t="s">
        <v>511</v>
      </c>
      <c r="C1233" s="79"/>
      <c r="D1233" s="65">
        <f t="shared" si="158"/>
        <v>0</v>
      </c>
      <c r="E1233" s="80">
        <f t="shared" si="155"/>
        <v>0</v>
      </c>
      <c r="F1233" s="426" t="e">
        <f t="shared" si="157"/>
        <v>#DIV/0!</v>
      </c>
      <c r="G1233" s="79"/>
      <c r="H1233" s="80"/>
      <c r="I1233" s="452" t="e">
        <f t="shared" si="159"/>
        <v>#DIV/0!</v>
      </c>
      <c r="J1233" s="79"/>
      <c r="K1233" s="113"/>
      <c r="L1233" s="466" t="e">
        <f t="shared" si="160"/>
        <v>#DIV/0!</v>
      </c>
      <c r="M1233" s="80"/>
      <c r="N1233" s="80"/>
      <c r="O1233" s="356"/>
      <c r="P1233" s="80"/>
      <c r="Q1233" s="80"/>
      <c r="R1233" s="350"/>
    </row>
    <row r="1234" spans="1:18" s="105" customFormat="1" ht="24">
      <c r="A1234" s="111">
        <v>4210</v>
      </c>
      <c r="B1234" s="262" t="s">
        <v>481</v>
      </c>
      <c r="C1234" s="79">
        <v>16250</v>
      </c>
      <c r="D1234" s="65">
        <f t="shared" si="158"/>
        <v>16250</v>
      </c>
      <c r="E1234" s="80">
        <f t="shared" si="155"/>
        <v>820</v>
      </c>
      <c r="F1234" s="426">
        <f t="shared" si="157"/>
        <v>5.046153846153846</v>
      </c>
      <c r="G1234" s="79">
        <v>11500</v>
      </c>
      <c r="H1234" s="80"/>
      <c r="I1234" s="452">
        <f t="shared" si="159"/>
        <v>0</v>
      </c>
      <c r="J1234" s="79">
        <v>4750</v>
      </c>
      <c r="K1234" s="113">
        <v>820</v>
      </c>
      <c r="L1234" s="466">
        <f t="shared" si="160"/>
        <v>17.263157894736842</v>
      </c>
      <c r="M1234" s="80"/>
      <c r="N1234" s="80"/>
      <c r="O1234" s="356"/>
      <c r="P1234" s="80"/>
      <c r="Q1234" s="80"/>
      <c r="R1234" s="350"/>
    </row>
    <row r="1235" spans="1:18" s="105" customFormat="1" ht="12.75">
      <c r="A1235" s="111">
        <v>4260</v>
      </c>
      <c r="B1235" s="262" t="s">
        <v>485</v>
      </c>
      <c r="C1235" s="79">
        <v>24070</v>
      </c>
      <c r="D1235" s="65">
        <f t="shared" si="158"/>
        <v>24070</v>
      </c>
      <c r="E1235" s="80">
        <f t="shared" si="155"/>
        <v>14085</v>
      </c>
      <c r="F1235" s="426">
        <f t="shared" si="157"/>
        <v>58.516825924387206</v>
      </c>
      <c r="G1235" s="79">
        <v>4070</v>
      </c>
      <c r="H1235" s="80"/>
      <c r="I1235" s="265">
        <f t="shared" si="159"/>
        <v>0</v>
      </c>
      <c r="J1235" s="79">
        <v>20000</v>
      </c>
      <c r="K1235" s="113">
        <v>14085</v>
      </c>
      <c r="L1235" s="466">
        <f t="shared" si="160"/>
        <v>70.42500000000001</v>
      </c>
      <c r="M1235" s="80"/>
      <c r="N1235" s="80"/>
      <c r="O1235" s="356"/>
      <c r="P1235" s="80"/>
      <c r="Q1235" s="80"/>
      <c r="R1235" s="350"/>
    </row>
    <row r="1236" spans="1:18" s="105" customFormat="1" ht="24" hidden="1">
      <c r="A1236" s="111">
        <v>4270</v>
      </c>
      <c r="B1236" s="262" t="s">
        <v>487</v>
      </c>
      <c r="C1236" s="79"/>
      <c r="D1236" s="65">
        <f t="shared" si="158"/>
        <v>0</v>
      </c>
      <c r="E1236" s="80">
        <f>SUM(H1236+K1236+N1236+Q1236)</f>
        <v>0</v>
      </c>
      <c r="F1236" s="426" t="e">
        <f>E1236/D1236*100</f>
        <v>#DIV/0!</v>
      </c>
      <c r="G1236" s="79"/>
      <c r="H1236" s="80"/>
      <c r="I1236" s="265"/>
      <c r="J1236" s="79"/>
      <c r="K1236" s="113"/>
      <c r="L1236" s="466" t="e">
        <f t="shared" si="160"/>
        <v>#DIV/0!</v>
      </c>
      <c r="M1236" s="80"/>
      <c r="N1236" s="80"/>
      <c r="O1236" s="356"/>
      <c r="P1236" s="80"/>
      <c r="Q1236" s="80"/>
      <c r="R1236" s="350"/>
    </row>
    <row r="1237" spans="1:18" s="105" customFormat="1" ht="15.75" customHeight="1">
      <c r="A1237" s="111">
        <v>4280</v>
      </c>
      <c r="B1237" s="262" t="s">
        <v>520</v>
      </c>
      <c r="C1237" s="79">
        <v>1000</v>
      </c>
      <c r="D1237" s="65">
        <f t="shared" si="158"/>
        <v>1000</v>
      </c>
      <c r="E1237" s="80">
        <f t="shared" si="155"/>
        <v>334</v>
      </c>
      <c r="F1237" s="426">
        <f t="shared" si="157"/>
        <v>33.4</v>
      </c>
      <c r="G1237" s="79"/>
      <c r="H1237" s="80"/>
      <c r="I1237" s="265"/>
      <c r="J1237" s="79">
        <v>1000</v>
      </c>
      <c r="K1237" s="113">
        <v>334</v>
      </c>
      <c r="L1237" s="466">
        <f t="shared" si="160"/>
        <v>33.4</v>
      </c>
      <c r="M1237" s="80"/>
      <c r="N1237" s="80"/>
      <c r="O1237" s="356"/>
      <c r="P1237" s="80"/>
      <c r="Q1237" s="80"/>
      <c r="R1237" s="350"/>
    </row>
    <row r="1238" spans="1:18" s="105" customFormat="1" ht="19.5" customHeight="1">
      <c r="A1238" s="111">
        <v>4300</v>
      </c>
      <c r="B1238" s="262" t="s">
        <v>522</v>
      </c>
      <c r="C1238" s="79">
        <v>45880</v>
      </c>
      <c r="D1238" s="65">
        <f t="shared" si="158"/>
        <v>45880</v>
      </c>
      <c r="E1238" s="80">
        <f t="shared" si="155"/>
        <v>36709</v>
      </c>
      <c r="F1238" s="426">
        <f t="shared" si="157"/>
        <v>80.01089799476895</v>
      </c>
      <c r="G1238" s="79">
        <v>32580</v>
      </c>
      <c r="H1238" s="80">
        <v>23409</v>
      </c>
      <c r="I1238" s="265">
        <f>H1238/G1238*100</f>
        <v>71.85082872928177</v>
      </c>
      <c r="J1238" s="79">
        <v>13300</v>
      </c>
      <c r="K1238" s="113">
        <v>13300</v>
      </c>
      <c r="L1238" s="466">
        <f t="shared" si="160"/>
        <v>100</v>
      </c>
      <c r="M1238" s="80"/>
      <c r="N1238" s="80"/>
      <c r="O1238" s="356"/>
      <c r="P1238" s="80"/>
      <c r="Q1238" s="80"/>
      <c r="R1238" s="350"/>
    </row>
    <row r="1239" spans="1:18" s="105" customFormat="1" ht="24" hidden="1">
      <c r="A1239" s="111">
        <v>4350</v>
      </c>
      <c r="B1239" s="262" t="s">
        <v>7</v>
      </c>
      <c r="C1239" s="79"/>
      <c r="D1239" s="65">
        <f t="shared" si="158"/>
        <v>0</v>
      </c>
      <c r="E1239" s="80">
        <f t="shared" si="155"/>
        <v>0</v>
      </c>
      <c r="F1239" s="426" t="e">
        <f t="shared" si="157"/>
        <v>#DIV/0!</v>
      </c>
      <c r="G1239" s="79"/>
      <c r="H1239" s="80"/>
      <c r="I1239" s="265" t="e">
        <f>H1239/G1239*100</f>
        <v>#DIV/0!</v>
      </c>
      <c r="J1239" s="79"/>
      <c r="K1239" s="113"/>
      <c r="L1239" s="466" t="e">
        <f t="shared" si="160"/>
        <v>#DIV/0!</v>
      </c>
      <c r="M1239" s="80"/>
      <c r="N1239" s="80"/>
      <c r="O1239" s="356"/>
      <c r="P1239" s="80"/>
      <c r="Q1239" s="80"/>
      <c r="R1239" s="350"/>
    </row>
    <row r="1240" spans="1:18" s="105" customFormat="1" ht="48" hidden="1">
      <c r="A1240" s="111">
        <v>4370</v>
      </c>
      <c r="B1240" s="262" t="s">
        <v>286</v>
      </c>
      <c r="C1240" s="79"/>
      <c r="D1240" s="65">
        <f t="shared" si="158"/>
        <v>0</v>
      </c>
      <c r="E1240" s="80">
        <f t="shared" si="155"/>
        <v>0</v>
      </c>
      <c r="F1240" s="426" t="e">
        <f t="shared" si="157"/>
        <v>#DIV/0!</v>
      </c>
      <c r="G1240" s="79"/>
      <c r="H1240" s="80"/>
      <c r="I1240" s="265" t="e">
        <f>H1240/G1240*100</f>
        <v>#DIV/0!</v>
      </c>
      <c r="J1240" s="79"/>
      <c r="K1240" s="113"/>
      <c r="L1240" s="466" t="e">
        <f t="shared" si="160"/>
        <v>#DIV/0!</v>
      </c>
      <c r="M1240" s="80"/>
      <c r="N1240" s="80"/>
      <c r="O1240" s="356"/>
      <c r="P1240" s="80"/>
      <c r="Q1240" s="80"/>
      <c r="R1240" s="350"/>
    </row>
    <row r="1241" spans="1:18" s="105" customFormat="1" ht="16.5" customHeight="1">
      <c r="A1241" s="111">
        <v>4410</v>
      </c>
      <c r="B1241" s="262" t="s">
        <v>463</v>
      </c>
      <c r="C1241" s="79">
        <v>1500</v>
      </c>
      <c r="D1241" s="65">
        <f t="shared" si="158"/>
        <v>1500</v>
      </c>
      <c r="E1241" s="80">
        <f t="shared" si="155"/>
        <v>509</v>
      </c>
      <c r="F1241" s="426">
        <f t="shared" si="157"/>
        <v>33.93333333333333</v>
      </c>
      <c r="G1241" s="79"/>
      <c r="H1241" s="80"/>
      <c r="I1241" s="265"/>
      <c r="J1241" s="79">
        <v>1500</v>
      </c>
      <c r="K1241" s="113">
        <v>509</v>
      </c>
      <c r="L1241" s="466">
        <f t="shared" si="160"/>
        <v>33.93333333333333</v>
      </c>
      <c r="M1241" s="80"/>
      <c r="N1241" s="80"/>
      <c r="O1241" s="356"/>
      <c r="P1241" s="80"/>
      <c r="Q1241" s="80"/>
      <c r="R1241" s="350"/>
    </row>
    <row r="1242" spans="1:18" s="105" customFormat="1" ht="15" customHeight="1">
      <c r="A1242" s="145">
        <v>4440</v>
      </c>
      <c r="B1242" s="263" t="s">
        <v>652</v>
      </c>
      <c r="C1242" s="147">
        <v>17550</v>
      </c>
      <c r="D1242" s="148">
        <f t="shared" si="158"/>
        <v>17550</v>
      </c>
      <c r="E1242" s="142">
        <f t="shared" si="155"/>
        <v>17550</v>
      </c>
      <c r="F1242" s="446">
        <f t="shared" si="157"/>
        <v>100</v>
      </c>
      <c r="G1242" s="147">
        <v>17550</v>
      </c>
      <c r="H1242" s="142">
        <v>17550</v>
      </c>
      <c r="I1242" s="453">
        <f>H1242/G1242*100</f>
        <v>100</v>
      </c>
      <c r="J1242" s="147"/>
      <c r="K1242" s="149"/>
      <c r="L1242" s="467"/>
      <c r="M1242" s="142"/>
      <c r="N1242" s="142"/>
      <c r="O1242" s="375"/>
      <c r="P1242" s="142"/>
      <c r="Q1242" s="142"/>
      <c r="R1242" s="354"/>
    </row>
    <row r="1243" spans="1:18" s="105" customFormat="1" ht="13.5" customHeight="1">
      <c r="A1243" s="111">
        <v>4480</v>
      </c>
      <c r="B1243" s="262" t="s">
        <v>495</v>
      </c>
      <c r="C1243" s="79">
        <v>2050</v>
      </c>
      <c r="D1243" s="65">
        <f t="shared" si="158"/>
        <v>2050</v>
      </c>
      <c r="E1243" s="80">
        <f t="shared" si="155"/>
        <v>1038</v>
      </c>
      <c r="F1243" s="426">
        <f t="shared" si="157"/>
        <v>50.63414634146341</v>
      </c>
      <c r="G1243" s="79"/>
      <c r="H1243" s="80"/>
      <c r="I1243" s="265"/>
      <c r="J1243" s="79">
        <v>2050</v>
      </c>
      <c r="K1243" s="113">
        <v>1038</v>
      </c>
      <c r="L1243" s="466">
        <f t="shared" si="160"/>
        <v>50.63414634146341</v>
      </c>
      <c r="M1243" s="80"/>
      <c r="N1243" s="80"/>
      <c r="O1243" s="356"/>
      <c r="P1243" s="80"/>
      <c r="Q1243" s="80"/>
      <c r="R1243" s="350"/>
    </row>
    <row r="1244" spans="1:18" s="105" customFormat="1" ht="36">
      <c r="A1244" s="111">
        <v>4700</v>
      </c>
      <c r="B1244" s="262" t="s">
        <v>284</v>
      </c>
      <c r="C1244" s="79">
        <v>1000</v>
      </c>
      <c r="D1244" s="65">
        <f t="shared" si="158"/>
        <v>1000</v>
      </c>
      <c r="E1244" s="80">
        <f t="shared" si="155"/>
        <v>290</v>
      </c>
      <c r="F1244" s="426">
        <f t="shared" si="157"/>
        <v>28.999999999999996</v>
      </c>
      <c r="G1244" s="79"/>
      <c r="H1244" s="80"/>
      <c r="I1244" s="265"/>
      <c r="J1244" s="79">
        <v>1000</v>
      </c>
      <c r="K1244" s="113">
        <v>290</v>
      </c>
      <c r="L1244" s="466">
        <f t="shared" si="160"/>
        <v>28.999999999999996</v>
      </c>
      <c r="M1244" s="80"/>
      <c r="N1244" s="80"/>
      <c r="O1244" s="356"/>
      <c r="P1244" s="80"/>
      <c r="Q1244" s="80"/>
      <c r="R1244" s="350"/>
    </row>
    <row r="1245" spans="1:18" s="105" customFormat="1" ht="53.25" customHeight="1">
      <c r="A1245" s="159">
        <v>4740</v>
      </c>
      <c r="B1245" s="326" t="s">
        <v>288</v>
      </c>
      <c r="C1245" s="79">
        <v>7050</v>
      </c>
      <c r="D1245" s="65">
        <f t="shared" si="158"/>
        <v>7050</v>
      </c>
      <c r="E1245" s="80">
        <f>SUM(H1245+K1245+N1245+Q1245)</f>
        <v>1804</v>
      </c>
      <c r="F1245" s="426">
        <f>E1245/D1245*100</f>
        <v>25.588652482269502</v>
      </c>
      <c r="G1245" s="79"/>
      <c r="H1245" s="80"/>
      <c r="I1245" s="265"/>
      <c r="J1245" s="79">
        <v>7050</v>
      </c>
      <c r="K1245" s="113">
        <v>1804</v>
      </c>
      <c r="L1245" s="466">
        <f t="shared" si="160"/>
        <v>25.588652482269502</v>
      </c>
      <c r="M1245" s="80"/>
      <c r="N1245" s="80"/>
      <c r="O1245" s="356"/>
      <c r="P1245" s="80"/>
      <c r="Q1245" s="80"/>
      <c r="R1245" s="350"/>
    </row>
    <row r="1246" spans="1:18" s="105" customFormat="1" ht="36">
      <c r="A1246" s="159">
        <v>4750</v>
      </c>
      <c r="B1246" s="326" t="s">
        <v>289</v>
      </c>
      <c r="C1246" s="79">
        <v>12000</v>
      </c>
      <c r="D1246" s="65">
        <f>G1246+J1246+P1246+M1246</f>
        <v>12000</v>
      </c>
      <c r="E1246" s="80">
        <f>SUM(H1246+K1246+N1246+Q1246)</f>
        <v>4475</v>
      </c>
      <c r="F1246" s="426">
        <f>E1246/D1246*100</f>
        <v>37.291666666666664</v>
      </c>
      <c r="G1246" s="79"/>
      <c r="H1246" s="80"/>
      <c r="I1246" s="265"/>
      <c r="J1246" s="79">
        <v>12000</v>
      </c>
      <c r="K1246" s="113">
        <v>4475</v>
      </c>
      <c r="L1246" s="466">
        <f t="shared" si="160"/>
        <v>37.291666666666664</v>
      </c>
      <c r="M1246" s="80"/>
      <c r="N1246" s="80"/>
      <c r="O1246" s="356"/>
      <c r="P1246" s="80"/>
      <c r="Q1246" s="80"/>
      <c r="R1246" s="350"/>
    </row>
    <row r="1247" spans="1:18" s="105" customFormat="1" ht="24" hidden="1">
      <c r="A1247" s="111">
        <v>6050</v>
      </c>
      <c r="B1247" s="262" t="s">
        <v>549</v>
      </c>
      <c r="C1247" s="79"/>
      <c r="D1247" s="65">
        <f>G1247+J1247+P1247+M1247</f>
        <v>0</v>
      </c>
      <c r="E1247" s="80">
        <f>SUM(H1247+K1247+N1247+Q1247)</f>
        <v>0</v>
      </c>
      <c r="F1247" s="426" t="e">
        <f>E1247/D1247*100</f>
        <v>#DIV/0!</v>
      </c>
      <c r="G1247" s="79"/>
      <c r="H1247" s="80"/>
      <c r="I1247" s="265"/>
      <c r="J1247" s="79"/>
      <c r="K1247" s="113"/>
      <c r="L1247" s="466" t="e">
        <f t="shared" si="160"/>
        <v>#DIV/0!</v>
      </c>
      <c r="M1247" s="80"/>
      <c r="N1247" s="80"/>
      <c r="O1247" s="356"/>
      <c r="P1247" s="80"/>
      <c r="Q1247" s="80"/>
      <c r="R1247" s="350"/>
    </row>
    <row r="1248" spans="1:18" s="105" customFormat="1" ht="36" hidden="1">
      <c r="A1248" s="111">
        <v>6060</v>
      </c>
      <c r="B1248" s="262" t="s">
        <v>8</v>
      </c>
      <c r="C1248" s="147"/>
      <c r="D1248" s="148">
        <f t="shared" si="158"/>
        <v>0</v>
      </c>
      <c r="E1248" s="142">
        <f t="shared" si="155"/>
        <v>0</v>
      </c>
      <c r="F1248" s="446" t="e">
        <f t="shared" si="157"/>
        <v>#DIV/0!</v>
      </c>
      <c r="G1248" s="147">
        <f>200-200</f>
        <v>0</v>
      </c>
      <c r="H1248" s="142"/>
      <c r="I1248" s="312" t="e">
        <f>H1248/G1248*100</f>
        <v>#DIV/0!</v>
      </c>
      <c r="J1248" s="147"/>
      <c r="K1248" s="149"/>
      <c r="L1248" s="467" t="e">
        <f t="shared" si="160"/>
        <v>#DIV/0!</v>
      </c>
      <c r="M1248" s="142"/>
      <c r="N1248" s="142"/>
      <c r="O1248" s="375"/>
      <c r="P1248" s="142"/>
      <c r="Q1248" s="142"/>
      <c r="R1248" s="354"/>
    </row>
    <row r="1249" spans="1:18" s="130" customFormat="1" ht="96">
      <c r="A1249" s="137">
        <v>85213</v>
      </c>
      <c r="B1249" s="284" t="s">
        <v>246</v>
      </c>
      <c r="C1249" s="85">
        <f>SUM(C1250)</f>
        <v>192000</v>
      </c>
      <c r="D1249" s="86">
        <f t="shared" si="158"/>
        <v>192000</v>
      </c>
      <c r="E1249" s="86">
        <f>H1249+K1249+Q1249+N1249</f>
        <v>86119</v>
      </c>
      <c r="F1249" s="513">
        <f t="shared" si="157"/>
        <v>44.85364583333333</v>
      </c>
      <c r="G1249" s="85"/>
      <c r="H1249" s="86"/>
      <c r="I1249" s="402"/>
      <c r="J1249" s="158">
        <f>SUM(J1250+J1251)</f>
        <v>192000</v>
      </c>
      <c r="K1249" s="158">
        <f>SUM(K1250+K1251)</f>
        <v>86119</v>
      </c>
      <c r="L1249" s="301">
        <f t="shared" si="160"/>
        <v>44.85364583333333</v>
      </c>
      <c r="M1249" s="86"/>
      <c r="N1249" s="86"/>
      <c r="O1249" s="391"/>
      <c r="P1249" s="86"/>
      <c r="Q1249" s="86"/>
      <c r="R1249" s="358"/>
    </row>
    <row r="1250" spans="1:18" s="105" customFormat="1" ht="24">
      <c r="A1250" s="99">
        <v>4130</v>
      </c>
      <c r="B1250" s="272" t="s">
        <v>10</v>
      </c>
      <c r="C1250" s="81">
        <v>192000</v>
      </c>
      <c r="D1250" s="94">
        <f t="shared" si="158"/>
        <v>192000</v>
      </c>
      <c r="E1250" s="94">
        <f t="shared" si="158"/>
        <v>86119</v>
      </c>
      <c r="F1250" s="514">
        <f t="shared" si="157"/>
        <v>44.85364583333333</v>
      </c>
      <c r="G1250" s="81"/>
      <c r="H1250" s="95"/>
      <c r="I1250" s="346"/>
      <c r="J1250" s="95">
        <v>192000</v>
      </c>
      <c r="K1250" s="95">
        <v>86119</v>
      </c>
      <c r="L1250" s="289">
        <f t="shared" si="160"/>
        <v>44.85364583333333</v>
      </c>
      <c r="M1250" s="95"/>
      <c r="N1250" s="95"/>
      <c r="O1250" s="376"/>
      <c r="P1250" s="95"/>
      <c r="Q1250" s="95"/>
      <c r="R1250" s="353"/>
    </row>
    <row r="1251" spans="1:18" s="105" customFormat="1" ht="12.75" hidden="1">
      <c r="A1251" s="145">
        <v>4580</v>
      </c>
      <c r="B1251" s="263" t="s">
        <v>525</v>
      </c>
      <c r="C1251" s="147"/>
      <c r="D1251" s="148">
        <f t="shared" si="158"/>
        <v>0</v>
      </c>
      <c r="E1251" s="148">
        <f t="shared" si="158"/>
        <v>0</v>
      </c>
      <c r="F1251" s="512"/>
      <c r="G1251" s="147"/>
      <c r="H1251" s="142"/>
      <c r="I1251" s="312"/>
      <c r="J1251" s="231"/>
      <c r="K1251" s="142"/>
      <c r="L1251" s="259" t="e">
        <f t="shared" si="160"/>
        <v>#DIV/0!</v>
      </c>
      <c r="M1251" s="142"/>
      <c r="N1251" s="142"/>
      <c r="O1251" s="375"/>
      <c r="P1251" s="142"/>
      <c r="Q1251" s="142"/>
      <c r="R1251" s="354"/>
    </row>
    <row r="1252" spans="1:18" ht="48">
      <c r="A1252" s="106">
        <v>85214</v>
      </c>
      <c r="B1252" s="261" t="s">
        <v>247</v>
      </c>
      <c r="C1252" s="108">
        <f>SUM(C1253:C1254)</f>
        <v>6247000</v>
      </c>
      <c r="D1252" s="86">
        <f t="shared" si="158"/>
        <v>6247000</v>
      </c>
      <c r="E1252" s="86">
        <f t="shared" si="158"/>
        <v>2857655</v>
      </c>
      <c r="F1252" s="513">
        <f t="shared" si="157"/>
        <v>45.744437329918355</v>
      </c>
      <c r="G1252" s="108">
        <f>SUM(G1253:G1254)</f>
        <v>4580000</v>
      </c>
      <c r="H1252" s="75">
        <f>SUM(H1253:H1254)</f>
        <v>2050555</v>
      </c>
      <c r="I1252" s="402">
        <f aca="true" t="shared" si="161" ref="I1252:I1257">H1252/G1252*100</f>
        <v>44.77194323144105</v>
      </c>
      <c r="J1252" s="110">
        <f>SUM(J1253:J1254)</f>
        <v>1667000</v>
      </c>
      <c r="K1252" s="75">
        <f>SUM(K1253:K1254)</f>
        <v>807100</v>
      </c>
      <c r="L1252" s="432">
        <f t="shared" si="160"/>
        <v>48.41631673665267</v>
      </c>
      <c r="M1252" s="75"/>
      <c r="N1252" s="75"/>
      <c r="O1252" s="369"/>
      <c r="P1252" s="75"/>
      <c r="Q1252" s="75"/>
      <c r="R1252" s="360"/>
    </row>
    <row r="1253" spans="1:18" ht="12.75">
      <c r="A1253" s="111">
        <v>3110</v>
      </c>
      <c r="B1253" s="262" t="s">
        <v>65</v>
      </c>
      <c r="C1253" s="79">
        <v>6247000</v>
      </c>
      <c r="D1253" s="65">
        <f t="shared" si="158"/>
        <v>6246050</v>
      </c>
      <c r="E1253" s="65">
        <f t="shared" si="158"/>
        <v>2857528</v>
      </c>
      <c r="F1253" s="479">
        <f t="shared" si="157"/>
        <v>45.749361596529006</v>
      </c>
      <c r="G1253" s="79">
        <f>2000+4578000-950</f>
        <v>4579050</v>
      </c>
      <c r="H1253" s="80">
        <v>2050428</v>
      </c>
      <c r="I1253" s="265">
        <f t="shared" si="161"/>
        <v>44.778458413863135</v>
      </c>
      <c r="J1253" s="113">
        <v>1667000</v>
      </c>
      <c r="K1253" s="80">
        <v>807100</v>
      </c>
      <c r="L1253" s="426">
        <f t="shared" si="160"/>
        <v>48.41631673665267</v>
      </c>
      <c r="M1253" s="80"/>
      <c r="N1253" s="80"/>
      <c r="O1253" s="356"/>
      <c r="P1253" s="80"/>
      <c r="Q1253" s="80"/>
      <c r="R1253" s="350"/>
    </row>
    <row r="1254" spans="1:18" ht="24">
      <c r="A1254" s="111">
        <v>4110</v>
      </c>
      <c r="B1254" s="262" t="s">
        <v>477</v>
      </c>
      <c r="C1254" s="79"/>
      <c r="D1254" s="65">
        <f t="shared" si="158"/>
        <v>950</v>
      </c>
      <c r="E1254" s="80">
        <f>SUM(H1254+K1254+N1254+Q1254)</f>
        <v>127</v>
      </c>
      <c r="F1254" s="479">
        <f t="shared" si="157"/>
        <v>13.368421052631579</v>
      </c>
      <c r="G1254" s="79">
        <v>950</v>
      </c>
      <c r="H1254" s="80">
        <v>127</v>
      </c>
      <c r="I1254" s="265">
        <f t="shared" si="161"/>
        <v>13.368421052631579</v>
      </c>
      <c r="J1254" s="113"/>
      <c r="K1254" s="80"/>
      <c r="L1254" s="211"/>
      <c r="M1254" s="80"/>
      <c r="N1254" s="80"/>
      <c r="O1254" s="211"/>
      <c r="P1254" s="80"/>
      <c r="Q1254" s="80"/>
      <c r="R1254" s="350"/>
    </row>
    <row r="1255" spans="1:18" ht="16.5" customHeight="1">
      <c r="A1255" s="106">
        <v>85215</v>
      </c>
      <c r="B1255" s="261" t="s">
        <v>73</v>
      </c>
      <c r="C1255" s="108">
        <f>SUM(C1257)</f>
        <v>3500000</v>
      </c>
      <c r="D1255" s="86">
        <f t="shared" si="158"/>
        <v>3500000</v>
      </c>
      <c r="E1255" s="75">
        <f>H1255+K1255+Q1255+N1255</f>
        <v>1531777</v>
      </c>
      <c r="F1255" s="513">
        <f>E1255/D1255*100</f>
        <v>43.765057142857145</v>
      </c>
      <c r="G1255" s="266">
        <f>SUM(G1256:G1257)</f>
        <v>3500000</v>
      </c>
      <c r="H1255" s="75">
        <f>SUM(H1256:H1257)</f>
        <v>1531777</v>
      </c>
      <c r="I1255" s="402">
        <f t="shared" si="161"/>
        <v>43.765057142857145</v>
      </c>
      <c r="J1255" s="110"/>
      <c r="K1255" s="75"/>
      <c r="L1255" s="406"/>
      <c r="M1255" s="75"/>
      <c r="N1255" s="75"/>
      <c r="O1255" s="369"/>
      <c r="P1255" s="75"/>
      <c r="Q1255" s="75"/>
      <c r="R1255" s="360"/>
    </row>
    <row r="1256" spans="1:18" s="12" customFormat="1" ht="78" customHeight="1" hidden="1">
      <c r="A1256" s="181">
        <v>2910</v>
      </c>
      <c r="B1256" s="286" t="s">
        <v>74</v>
      </c>
      <c r="C1256" s="93"/>
      <c r="D1256" s="94">
        <f t="shared" si="158"/>
        <v>0</v>
      </c>
      <c r="E1256" s="95">
        <f>SUM(H1256+K1256+N1256+Q1256)</f>
        <v>0</v>
      </c>
      <c r="F1256" s="514" t="e">
        <f>E1256/D1256*100</f>
        <v>#DIV/0!</v>
      </c>
      <c r="G1256" s="81"/>
      <c r="H1256" s="94"/>
      <c r="I1256" s="346" t="e">
        <f t="shared" si="161"/>
        <v>#DIV/0!</v>
      </c>
      <c r="J1256" s="183"/>
      <c r="K1256" s="94"/>
      <c r="L1256" s="403"/>
      <c r="M1256" s="94"/>
      <c r="N1256" s="94"/>
      <c r="O1256" s="376"/>
      <c r="P1256" s="94"/>
      <c r="Q1256" s="94"/>
      <c r="R1256" s="353"/>
    </row>
    <row r="1257" spans="1:18" s="105" customFormat="1" ht="15.75" customHeight="1">
      <c r="A1257" s="111">
        <v>3110</v>
      </c>
      <c r="B1257" s="262" t="s">
        <v>65</v>
      </c>
      <c r="C1257" s="147">
        <v>3500000</v>
      </c>
      <c r="D1257" s="148">
        <f t="shared" si="158"/>
        <v>3500000</v>
      </c>
      <c r="E1257" s="142">
        <f>SUM(H1257+K1257+N1257+Q1257)</f>
        <v>1531777</v>
      </c>
      <c r="F1257" s="512">
        <f aca="true" t="shared" si="162" ref="F1257:F1321">E1257/D1257*100</f>
        <v>43.765057142857145</v>
      </c>
      <c r="G1257" s="147">
        <v>3500000</v>
      </c>
      <c r="H1257" s="142">
        <v>1531777</v>
      </c>
      <c r="I1257" s="312">
        <f t="shared" si="161"/>
        <v>43.765057142857145</v>
      </c>
      <c r="J1257" s="149"/>
      <c r="K1257" s="142"/>
      <c r="L1257" s="404"/>
      <c r="M1257" s="142"/>
      <c r="N1257" s="142"/>
      <c r="O1257" s="375"/>
      <c r="P1257" s="142"/>
      <c r="Q1257" s="142"/>
      <c r="R1257" s="354"/>
    </row>
    <row r="1258" spans="1:18" s="105" customFormat="1" ht="35.25" customHeight="1" hidden="1">
      <c r="A1258" s="106">
        <v>85216</v>
      </c>
      <c r="B1258" s="261" t="s">
        <v>75</v>
      </c>
      <c r="C1258" s="108">
        <f>SUM(C1259)</f>
        <v>0</v>
      </c>
      <c r="D1258" s="86">
        <f aca="true" t="shared" si="163" ref="D1258:D1329">G1258+J1258+P1258+M1258</f>
        <v>0</v>
      </c>
      <c r="E1258" s="75">
        <f>H1258+K1258+Q1258+N1258</f>
        <v>0</v>
      </c>
      <c r="F1258" s="513" t="e">
        <f t="shared" si="162"/>
        <v>#DIV/0!</v>
      </c>
      <c r="G1258" s="108"/>
      <c r="H1258" s="75"/>
      <c r="I1258" s="402"/>
      <c r="J1258" s="110">
        <f>J1259</f>
        <v>0</v>
      </c>
      <c r="K1258" s="110">
        <f>K1259</f>
        <v>0</v>
      </c>
      <c r="L1258" s="256" t="e">
        <f>K1258/J1258*100</f>
        <v>#DIV/0!</v>
      </c>
      <c r="M1258" s="75"/>
      <c r="N1258" s="75"/>
      <c r="O1258" s="369"/>
      <c r="P1258" s="75">
        <f>P1259</f>
        <v>0</v>
      </c>
      <c r="Q1258" s="75">
        <f>Q1259</f>
        <v>0</v>
      </c>
      <c r="R1258" s="301" t="e">
        <f>Q1258/P1258*100</f>
        <v>#DIV/0!</v>
      </c>
    </row>
    <row r="1259" spans="1:18" s="105" customFormat="1" ht="15.75" customHeight="1" hidden="1">
      <c r="A1259" s="131">
        <v>3110</v>
      </c>
      <c r="B1259" s="287" t="s">
        <v>65</v>
      </c>
      <c r="C1259" s="79"/>
      <c r="D1259" s="134">
        <f t="shared" si="163"/>
        <v>0</v>
      </c>
      <c r="E1259" s="80">
        <f>SUM(H1259+K1259+N1259+Q1259)</f>
        <v>0</v>
      </c>
      <c r="F1259" s="513" t="e">
        <f t="shared" si="162"/>
        <v>#DIV/0!</v>
      </c>
      <c r="G1259" s="133"/>
      <c r="H1259" s="136"/>
      <c r="I1259" s="402"/>
      <c r="J1259" s="135"/>
      <c r="K1259" s="136"/>
      <c r="L1259" s="301" t="e">
        <f>K1259/J1259*100</f>
        <v>#DIV/0!</v>
      </c>
      <c r="M1259" s="136"/>
      <c r="N1259" s="136"/>
      <c r="O1259" s="369"/>
      <c r="P1259" s="136"/>
      <c r="Q1259" s="136"/>
      <c r="R1259" s="301" t="e">
        <f>Q1259/P1259*100</f>
        <v>#DIV/0!</v>
      </c>
    </row>
    <row r="1260" spans="1:18" s="105" customFormat="1" ht="24">
      <c r="A1260" s="106">
        <v>85218</v>
      </c>
      <c r="B1260" s="261" t="s">
        <v>76</v>
      </c>
      <c r="C1260" s="108">
        <f>SUM(C1261:C1276)</f>
        <v>624297</v>
      </c>
      <c r="D1260" s="86">
        <f t="shared" si="163"/>
        <v>632497</v>
      </c>
      <c r="E1260" s="75">
        <f>H1260+K1260+Q1260+N1260</f>
        <v>312149</v>
      </c>
      <c r="F1260" s="513">
        <f t="shared" si="162"/>
        <v>49.35185463330261</v>
      </c>
      <c r="G1260" s="108"/>
      <c r="H1260" s="75"/>
      <c r="I1260" s="360"/>
      <c r="J1260" s="110"/>
      <c r="K1260" s="75"/>
      <c r="L1260" s="406"/>
      <c r="M1260" s="75">
        <f>SUM(M1261:M1276)</f>
        <v>632497</v>
      </c>
      <c r="N1260" s="75">
        <f>SUM(N1261:N1276)</f>
        <v>312149</v>
      </c>
      <c r="O1260" s="432">
        <f aca="true" t="shared" si="164" ref="O1260:O1276">N1260/M1260*100</f>
        <v>49.35185463330261</v>
      </c>
      <c r="P1260" s="75"/>
      <c r="Q1260" s="75"/>
      <c r="R1260" s="301"/>
    </row>
    <row r="1261" spans="1:18" ht="24">
      <c r="A1261" s="111">
        <v>4010</v>
      </c>
      <c r="B1261" s="262" t="s">
        <v>647</v>
      </c>
      <c r="C1261" s="79">
        <v>437539</v>
      </c>
      <c r="D1261" s="65">
        <f t="shared" si="163"/>
        <v>445739</v>
      </c>
      <c r="E1261" s="80">
        <f aca="true" t="shared" si="165" ref="E1261:E1276">SUM(H1261+K1261+N1261+Q1261)</f>
        <v>200400</v>
      </c>
      <c r="F1261" s="479">
        <f t="shared" si="162"/>
        <v>44.95904554010306</v>
      </c>
      <c r="G1261" s="79"/>
      <c r="H1261" s="80"/>
      <c r="I1261" s="350"/>
      <c r="J1261" s="113"/>
      <c r="K1261" s="80"/>
      <c r="L1261" s="379"/>
      <c r="M1261" s="79">
        <f>437539+8200</f>
        <v>445739</v>
      </c>
      <c r="N1261" s="80">
        <v>200400</v>
      </c>
      <c r="O1261" s="426">
        <f t="shared" si="164"/>
        <v>44.95904554010306</v>
      </c>
      <c r="P1261" s="113"/>
      <c r="Q1261" s="80"/>
      <c r="R1261" s="211"/>
    </row>
    <row r="1262" spans="1:18" ht="24">
      <c r="A1262" s="111">
        <v>4040</v>
      </c>
      <c r="B1262" s="262" t="s">
        <v>516</v>
      </c>
      <c r="C1262" s="79">
        <v>35658</v>
      </c>
      <c r="D1262" s="65">
        <f t="shared" si="163"/>
        <v>35658</v>
      </c>
      <c r="E1262" s="65">
        <f>H1262+K1262+Q1262+N1262</f>
        <v>35658</v>
      </c>
      <c r="F1262" s="479">
        <f t="shared" si="162"/>
        <v>100</v>
      </c>
      <c r="G1262" s="79"/>
      <c r="H1262" s="80"/>
      <c r="I1262" s="350"/>
      <c r="J1262" s="113"/>
      <c r="K1262" s="80"/>
      <c r="L1262" s="379"/>
      <c r="M1262" s="79">
        <v>35658</v>
      </c>
      <c r="N1262" s="80">
        <v>35658</v>
      </c>
      <c r="O1262" s="426">
        <f t="shared" si="164"/>
        <v>100</v>
      </c>
      <c r="P1262" s="113"/>
      <c r="Q1262" s="80"/>
      <c r="R1262" s="211"/>
    </row>
    <row r="1263" spans="1:18" s="105" customFormat="1" ht="24">
      <c r="A1263" s="111">
        <v>4110</v>
      </c>
      <c r="B1263" s="262" t="s">
        <v>477</v>
      </c>
      <c r="C1263" s="79">
        <v>75800</v>
      </c>
      <c r="D1263" s="65">
        <f t="shared" si="163"/>
        <v>75800</v>
      </c>
      <c r="E1263" s="80">
        <f t="shared" si="165"/>
        <v>34718</v>
      </c>
      <c r="F1263" s="479">
        <f t="shared" si="162"/>
        <v>45.80211081794195</v>
      </c>
      <c r="G1263" s="79"/>
      <c r="H1263" s="80"/>
      <c r="I1263" s="350"/>
      <c r="J1263" s="113"/>
      <c r="K1263" s="80"/>
      <c r="L1263" s="379"/>
      <c r="M1263" s="79">
        <v>75800</v>
      </c>
      <c r="N1263" s="80">
        <v>34718</v>
      </c>
      <c r="O1263" s="426">
        <f t="shared" si="164"/>
        <v>45.80211081794195</v>
      </c>
      <c r="P1263" s="113"/>
      <c r="Q1263" s="80"/>
      <c r="R1263" s="211"/>
    </row>
    <row r="1264" spans="1:18" s="105" customFormat="1" ht="15" customHeight="1">
      <c r="A1264" s="145">
        <v>4120</v>
      </c>
      <c r="B1264" s="263" t="s">
        <v>547</v>
      </c>
      <c r="C1264" s="147">
        <v>11600</v>
      </c>
      <c r="D1264" s="148">
        <f t="shared" si="163"/>
        <v>11600</v>
      </c>
      <c r="E1264" s="142">
        <f t="shared" si="165"/>
        <v>5313</v>
      </c>
      <c r="F1264" s="512">
        <f t="shared" si="162"/>
        <v>45.80172413793103</v>
      </c>
      <c r="G1264" s="147"/>
      <c r="H1264" s="142"/>
      <c r="I1264" s="354"/>
      <c r="J1264" s="149"/>
      <c r="K1264" s="142"/>
      <c r="L1264" s="404"/>
      <c r="M1264" s="147">
        <v>11600</v>
      </c>
      <c r="N1264" s="142">
        <v>5313</v>
      </c>
      <c r="O1264" s="446">
        <f t="shared" si="164"/>
        <v>45.80172413793103</v>
      </c>
      <c r="P1264" s="149"/>
      <c r="Q1264" s="142"/>
      <c r="R1264" s="259"/>
    </row>
    <row r="1265" spans="1:18" ht="24">
      <c r="A1265" s="111">
        <v>4210</v>
      </c>
      <c r="B1265" s="262" t="s">
        <v>481</v>
      </c>
      <c r="C1265" s="79">
        <v>8200</v>
      </c>
      <c r="D1265" s="65">
        <f t="shared" si="163"/>
        <v>8200</v>
      </c>
      <c r="E1265" s="80">
        <f t="shared" si="165"/>
        <v>3756</v>
      </c>
      <c r="F1265" s="479">
        <f t="shared" si="162"/>
        <v>45.80487804878049</v>
      </c>
      <c r="G1265" s="79"/>
      <c r="H1265" s="80"/>
      <c r="I1265" s="350"/>
      <c r="J1265" s="113"/>
      <c r="K1265" s="80"/>
      <c r="L1265" s="379"/>
      <c r="M1265" s="79">
        <v>8200</v>
      </c>
      <c r="N1265" s="80">
        <v>3756</v>
      </c>
      <c r="O1265" s="426">
        <f t="shared" si="164"/>
        <v>45.80487804878049</v>
      </c>
      <c r="P1265" s="113"/>
      <c r="Q1265" s="80"/>
      <c r="R1265" s="211"/>
    </row>
    <row r="1266" spans="1:18" ht="15" customHeight="1">
      <c r="A1266" s="111">
        <v>4260</v>
      </c>
      <c r="B1266" s="262" t="s">
        <v>485</v>
      </c>
      <c r="C1266" s="79">
        <v>21800</v>
      </c>
      <c r="D1266" s="65">
        <f t="shared" si="163"/>
        <v>21800</v>
      </c>
      <c r="E1266" s="80">
        <f t="shared" si="165"/>
        <v>9985</v>
      </c>
      <c r="F1266" s="479">
        <f t="shared" si="162"/>
        <v>45.80275229357798</v>
      </c>
      <c r="G1266" s="79"/>
      <c r="H1266" s="80"/>
      <c r="I1266" s="350"/>
      <c r="J1266" s="113"/>
      <c r="K1266" s="80"/>
      <c r="L1266" s="379"/>
      <c r="M1266" s="79">
        <v>21800</v>
      </c>
      <c r="N1266" s="80">
        <v>9985</v>
      </c>
      <c r="O1266" s="426">
        <f t="shared" si="164"/>
        <v>45.80275229357798</v>
      </c>
      <c r="P1266" s="113"/>
      <c r="Q1266" s="80"/>
      <c r="R1266" s="211"/>
    </row>
    <row r="1267" spans="1:18" ht="15" customHeight="1">
      <c r="A1267" s="111">
        <v>4280</v>
      </c>
      <c r="B1267" s="262" t="s">
        <v>520</v>
      </c>
      <c r="C1267" s="79">
        <v>1200</v>
      </c>
      <c r="D1267" s="65">
        <f>G1267+J1267+P1267+M1267</f>
        <v>1200</v>
      </c>
      <c r="E1267" s="80">
        <f>SUM(H1267+K1267+N1267+Q1267)</f>
        <v>550</v>
      </c>
      <c r="F1267" s="479">
        <f t="shared" si="162"/>
        <v>45.83333333333333</v>
      </c>
      <c r="G1267" s="79"/>
      <c r="H1267" s="80"/>
      <c r="I1267" s="350"/>
      <c r="J1267" s="113"/>
      <c r="K1267" s="80"/>
      <c r="L1267" s="379"/>
      <c r="M1267" s="79">
        <v>1200</v>
      </c>
      <c r="N1267" s="80">
        <v>550</v>
      </c>
      <c r="O1267" s="426">
        <f t="shared" si="164"/>
        <v>45.83333333333333</v>
      </c>
      <c r="P1267" s="113"/>
      <c r="Q1267" s="80"/>
      <c r="R1267" s="211"/>
    </row>
    <row r="1268" spans="1:18" ht="15" customHeight="1">
      <c r="A1268" s="111">
        <v>4300</v>
      </c>
      <c r="B1268" s="262" t="s">
        <v>522</v>
      </c>
      <c r="C1268" s="79">
        <v>4000</v>
      </c>
      <c r="D1268" s="65">
        <f t="shared" si="163"/>
        <v>4000</v>
      </c>
      <c r="E1268" s="80">
        <f t="shared" si="165"/>
        <v>1932</v>
      </c>
      <c r="F1268" s="479">
        <f t="shared" si="162"/>
        <v>48.3</v>
      </c>
      <c r="G1268" s="79"/>
      <c r="H1268" s="80"/>
      <c r="I1268" s="350"/>
      <c r="J1268" s="113"/>
      <c r="K1268" s="80"/>
      <c r="L1268" s="379"/>
      <c r="M1268" s="79">
        <v>4000</v>
      </c>
      <c r="N1268" s="80">
        <v>1932</v>
      </c>
      <c r="O1268" s="426">
        <f t="shared" si="164"/>
        <v>48.3</v>
      </c>
      <c r="P1268" s="113"/>
      <c r="Q1268" s="80"/>
      <c r="R1268" s="211"/>
    </row>
    <row r="1269" spans="1:18" ht="24">
      <c r="A1269" s="111">
        <v>4350</v>
      </c>
      <c r="B1269" s="262" t="s">
        <v>7</v>
      </c>
      <c r="C1269" s="79">
        <v>1100</v>
      </c>
      <c r="D1269" s="65">
        <f>G1269+J1269+P1269+M1269</f>
        <v>1100</v>
      </c>
      <c r="E1269" s="80">
        <f t="shared" si="165"/>
        <v>404</v>
      </c>
      <c r="F1269" s="479">
        <f t="shared" si="162"/>
        <v>36.72727272727273</v>
      </c>
      <c r="G1269" s="79"/>
      <c r="H1269" s="80"/>
      <c r="I1269" s="350"/>
      <c r="J1269" s="113"/>
      <c r="K1269" s="80"/>
      <c r="L1269" s="379"/>
      <c r="M1269" s="79">
        <v>1100</v>
      </c>
      <c r="N1269" s="80">
        <v>404</v>
      </c>
      <c r="O1269" s="426">
        <f t="shared" si="164"/>
        <v>36.72727272727273</v>
      </c>
      <c r="P1269" s="113"/>
      <c r="Q1269" s="80"/>
      <c r="R1269" s="211"/>
    </row>
    <row r="1270" spans="1:18" ht="39.75" customHeight="1">
      <c r="A1270" s="159">
        <v>4360</v>
      </c>
      <c r="B1270" s="326" t="s">
        <v>295</v>
      </c>
      <c r="C1270" s="79">
        <v>900</v>
      </c>
      <c r="D1270" s="65">
        <f>G1270+J1270+P1270+M1270</f>
        <v>900</v>
      </c>
      <c r="E1270" s="80">
        <f t="shared" si="165"/>
        <v>412</v>
      </c>
      <c r="F1270" s="479">
        <f>E1270/D1270*100</f>
        <v>45.77777777777778</v>
      </c>
      <c r="G1270" s="79"/>
      <c r="H1270" s="80"/>
      <c r="I1270" s="350"/>
      <c r="J1270" s="113"/>
      <c r="K1270" s="80"/>
      <c r="L1270" s="379"/>
      <c r="M1270" s="79">
        <v>900</v>
      </c>
      <c r="N1270" s="80">
        <v>412</v>
      </c>
      <c r="O1270" s="426">
        <f t="shared" si="164"/>
        <v>45.77777777777778</v>
      </c>
      <c r="P1270" s="113"/>
      <c r="Q1270" s="80"/>
      <c r="R1270" s="211"/>
    </row>
    <row r="1271" spans="1:18" ht="39.75" customHeight="1">
      <c r="A1271" s="159">
        <v>4370</v>
      </c>
      <c r="B1271" s="326" t="s">
        <v>296</v>
      </c>
      <c r="C1271" s="79">
        <v>9200</v>
      </c>
      <c r="D1271" s="65">
        <f>G1271+J1271+P1271+M1271</f>
        <v>9200</v>
      </c>
      <c r="E1271" s="80">
        <f t="shared" si="165"/>
        <v>4214</v>
      </c>
      <c r="F1271" s="479">
        <f>E1271/D1271*100</f>
        <v>45.80434782608695</v>
      </c>
      <c r="G1271" s="79"/>
      <c r="H1271" s="80"/>
      <c r="I1271" s="350"/>
      <c r="J1271" s="113"/>
      <c r="K1271" s="80"/>
      <c r="L1271" s="379"/>
      <c r="M1271" s="79">
        <v>9200</v>
      </c>
      <c r="N1271" s="80">
        <v>4214</v>
      </c>
      <c r="O1271" s="426">
        <f t="shared" si="164"/>
        <v>45.80434782608695</v>
      </c>
      <c r="P1271" s="113"/>
      <c r="Q1271" s="80"/>
      <c r="R1271" s="211"/>
    </row>
    <row r="1272" spans="1:18" ht="15" customHeight="1">
      <c r="A1272" s="111">
        <v>4410</v>
      </c>
      <c r="B1272" s="262" t="s">
        <v>463</v>
      </c>
      <c r="C1272" s="79">
        <v>1300</v>
      </c>
      <c r="D1272" s="65">
        <f t="shared" si="163"/>
        <v>1300</v>
      </c>
      <c r="E1272" s="80">
        <f t="shared" si="165"/>
        <v>595</v>
      </c>
      <c r="F1272" s="479">
        <f>E1272/D1272*100</f>
        <v>45.76923076923077</v>
      </c>
      <c r="G1272" s="79"/>
      <c r="H1272" s="80"/>
      <c r="I1272" s="350"/>
      <c r="J1272" s="113"/>
      <c r="K1272" s="80"/>
      <c r="L1272" s="379"/>
      <c r="M1272" s="79">
        <v>1300</v>
      </c>
      <c r="N1272" s="80">
        <v>595</v>
      </c>
      <c r="O1272" s="426">
        <f t="shared" si="164"/>
        <v>45.76923076923077</v>
      </c>
      <c r="P1272" s="113"/>
      <c r="Q1272" s="80"/>
      <c r="R1272" s="211"/>
    </row>
    <row r="1273" spans="1:18" ht="15" customHeight="1">
      <c r="A1273" s="111">
        <v>4440</v>
      </c>
      <c r="B1273" s="262" t="s">
        <v>493</v>
      </c>
      <c r="C1273" s="79">
        <v>12700</v>
      </c>
      <c r="D1273" s="65">
        <f t="shared" si="163"/>
        <v>12700</v>
      </c>
      <c r="E1273" s="80">
        <f t="shared" si="165"/>
        <v>12700</v>
      </c>
      <c r="F1273" s="479">
        <f t="shared" si="162"/>
        <v>100</v>
      </c>
      <c r="G1273" s="79"/>
      <c r="H1273" s="80"/>
      <c r="I1273" s="350"/>
      <c r="J1273" s="113"/>
      <c r="K1273" s="113"/>
      <c r="L1273" s="379"/>
      <c r="M1273" s="79">
        <v>12700</v>
      </c>
      <c r="N1273" s="80">
        <v>12700</v>
      </c>
      <c r="O1273" s="426">
        <f t="shared" si="164"/>
        <v>100</v>
      </c>
      <c r="P1273" s="113"/>
      <c r="Q1273" s="80"/>
      <c r="R1273" s="211"/>
    </row>
    <row r="1274" spans="1:18" ht="50.25" customHeight="1">
      <c r="A1274" s="159">
        <v>4740</v>
      </c>
      <c r="B1274" s="326" t="s">
        <v>288</v>
      </c>
      <c r="C1274" s="79">
        <v>2700</v>
      </c>
      <c r="D1274" s="65">
        <f t="shared" si="163"/>
        <v>2700</v>
      </c>
      <c r="E1274" s="80">
        <f t="shared" si="165"/>
        <v>1237</v>
      </c>
      <c r="F1274" s="479">
        <f>E1274/D1274*100</f>
        <v>45.81481481481482</v>
      </c>
      <c r="G1274" s="79"/>
      <c r="H1274" s="80"/>
      <c r="I1274" s="350"/>
      <c r="J1274" s="113"/>
      <c r="K1274" s="113"/>
      <c r="L1274" s="379"/>
      <c r="M1274" s="79">
        <v>2700</v>
      </c>
      <c r="N1274" s="80">
        <v>1237</v>
      </c>
      <c r="O1274" s="426">
        <f t="shared" si="164"/>
        <v>45.81481481481482</v>
      </c>
      <c r="P1274" s="113"/>
      <c r="Q1274" s="80"/>
      <c r="R1274" s="211"/>
    </row>
    <row r="1275" spans="1:18" ht="36">
      <c r="A1275" s="159">
        <v>4750</v>
      </c>
      <c r="B1275" s="326" t="s">
        <v>289</v>
      </c>
      <c r="C1275" s="79">
        <v>600</v>
      </c>
      <c r="D1275" s="65">
        <f t="shared" si="163"/>
        <v>600</v>
      </c>
      <c r="E1275" s="80">
        <f t="shared" si="165"/>
        <v>275</v>
      </c>
      <c r="F1275" s="479">
        <f>E1275/D1275*100</f>
        <v>45.83333333333333</v>
      </c>
      <c r="G1275" s="79"/>
      <c r="H1275" s="80"/>
      <c r="I1275" s="350"/>
      <c r="J1275" s="113"/>
      <c r="K1275" s="113"/>
      <c r="L1275" s="379"/>
      <c r="M1275" s="79">
        <v>600</v>
      </c>
      <c r="N1275" s="80">
        <v>275</v>
      </c>
      <c r="O1275" s="426">
        <f t="shared" si="164"/>
        <v>45.83333333333333</v>
      </c>
      <c r="P1275" s="113"/>
      <c r="Q1275" s="80"/>
      <c r="R1275" s="211"/>
    </row>
    <row r="1276" spans="1:18" ht="38.25" customHeight="1" hidden="1">
      <c r="A1276" s="145">
        <v>6060</v>
      </c>
      <c r="B1276" s="263" t="s">
        <v>8</v>
      </c>
      <c r="C1276" s="147"/>
      <c r="D1276" s="148">
        <f t="shared" si="163"/>
        <v>0</v>
      </c>
      <c r="E1276" s="142">
        <f t="shared" si="165"/>
        <v>0</v>
      </c>
      <c r="F1276" s="512" t="e">
        <f t="shared" si="162"/>
        <v>#DIV/0!</v>
      </c>
      <c r="G1276" s="147"/>
      <c r="H1276" s="142"/>
      <c r="I1276" s="354"/>
      <c r="J1276" s="149"/>
      <c r="K1276" s="149"/>
      <c r="L1276" s="404"/>
      <c r="M1276" s="147"/>
      <c r="N1276" s="142"/>
      <c r="O1276" s="426" t="e">
        <f t="shared" si="164"/>
        <v>#DIV/0!</v>
      </c>
      <c r="P1276" s="149"/>
      <c r="Q1276" s="142"/>
      <c r="R1276" s="259"/>
    </row>
    <row r="1277" spans="1:18" ht="24.75" customHeight="1">
      <c r="A1277" s="106">
        <v>85219</v>
      </c>
      <c r="B1277" s="261" t="s">
        <v>77</v>
      </c>
      <c r="C1277" s="108">
        <f>SUM(C1278:C1309)</f>
        <v>6317800</v>
      </c>
      <c r="D1277" s="86">
        <f t="shared" si="163"/>
        <v>6502300</v>
      </c>
      <c r="E1277" s="86">
        <f>H1277+K1277+Q1277+N1277</f>
        <v>3161666</v>
      </c>
      <c r="F1277" s="513">
        <f t="shared" si="162"/>
        <v>48.62381003644864</v>
      </c>
      <c r="G1277" s="85">
        <f>SUM(G1278:G1309)</f>
        <v>6502300</v>
      </c>
      <c r="H1277" s="75">
        <f>SUM(H1278:H1309)</f>
        <v>3161666</v>
      </c>
      <c r="I1277" s="402">
        <f aca="true" t="shared" si="166" ref="I1277:I1309">H1277/G1277*100</f>
        <v>48.62381003644864</v>
      </c>
      <c r="J1277" s="110"/>
      <c r="K1277" s="110"/>
      <c r="L1277" s="301"/>
      <c r="M1277" s="75"/>
      <c r="N1277" s="75"/>
      <c r="O1277" s="301"/>
      <c r="P1277" s="75"/>
      <c r="Q1277" s="75"/>
      <c r="R1277" s="360"/>
    </row>
    <row r="1278" spans="1:18" ht="36">
      <c r="A1278" s="99">
        <v>3020</v>
      </c>
      <c r="B1278" s="272" t="s">
        <v>259</v>
      </c>
      <c r="C1278" s="81">
        <v>14000</v>
      </c>
      <c r="D1278" s="94">
        <f t="shared" si="163"/>
        <v>14000</v>
      </c>
      <c r="E1278" s="95">
        <f>SUM(H1278+K1278+N1278+Q1278)</f>
        <v>9460</v>
      </c>
      <c r="F1278" s="514">
        <f t="shared" si="162"/>
        <v>67.57142857142857</v>
      </c>
      <c r="G1278" s="81">
        <v>14000</v>
      </c>
      <c r="H1278" s="95">
        <v>9460</v>
      </c>
      <c r="I1278" s="454">
        <f t="shared" si="166"/>
        <v>67.57142857142857</v>
      </c>
      <c r="J1278" s="187"/>
      <c r="K1278" s="95"/>
      <c r="L1278" s="289"/>
      <c r="M1278" s="95"/>
      <c r="N1278" s="95"/>
      <c r="O1278" s="289"/>
      <c r="P1278" s="95"/>
      <c r="Q1278" s="95"/>
      <c r="R1278" s="353"/>
    </row>
    <row r="1279" spans="1:18" ht="24">
      <c r="A1279" s="111">
        <v>4010</v>
      </c>
      <c r="B1279" s="262" t="s">
        <v>647</v>
      </c>
      <c r="C1279" s="79">
        <v>3768372</v>
      </c>
      <c r="D1279" s="65">
        <f t="shared" si="163"/>
        <v>3827672</v>
      </c>
      <c r="E1279" s="80">
        <f>SUM(H1279+K1279+N1279+Q1279)</f>
        <v>1815586</v>
      </c>
      <c r="F1279" s="479">
        <f t="shared" si="162"/>
        <v>47.43316564219714</v>
      </c>
      <c r="G1279" s="79">
        <f>3768372+59300</f>
        <v>3827672</v>
      </c>
      <c r="H1279" s="80">
        <v>1815586</v>
      </c>
      <c r="I1279" s="452">
        <f t="shared" si="166"/>
        <v>47.43316564219714</v>
      </c>
      <c r="J1279" s="113"/>
      <c r="K1279" s="80"/>
      <c r="L1279" s="211"/>
      <c r="M1279" s="80"/>
      <c r="N1279" s="80"/>
      <c r="O1279" s="211"/>
      <c r="P1279" s="80"/>
      <c r="Q1279" s="80"/>
      <c r="R1279" s="350"/>
    </row>
    <row r="1280" spans="1:18" ht="24">
      <c r="A1280" s="111">
        <v>4040</v>
      </c>
      <c r="B1280" s="262" t="s">
        <v>516</v>
      </c>
      <c r="C1280" s="79">
        <v>309088</v>
      </c>
      <c r="D1280" s="65">
        <f t="shared" si="163"/>
        <v>290588</v>
      </c>
      <c r="E1280" s="80">
        <f>SUM(H1280+K1280+N1280+Q1280)</f>
        <v>290417</v>
      </c>
      <c r="F1280" s="479">
        <f t="shared" si="162"/>
        <v>99.9411537985051</v>
      </c>
      <c r="G1280" s="79">
        <f>309088-15500-3000</f>
        <v>290588</v>
      </c>
      <c r="H1280" s="80">
        <v>290417</v>
      </c>
      <c r="I1280" s="452">
        <f t="shared" si="166"/>
        <v>99.9411537985051</v>
      </c>
      <c r="J1280" s="113"/>
      <c r="K1280" s="80"/>
      <c r="L1280" s="211"/>
      <c r="M1280" s="80"/>
      <c r="N1280" s="80"/>
      <c r="O1280" s="211"/>
      <c r="P1280" s="80"/>
      <c r="Q1280" s="80"/>
      <c r="R1280" s="350"/>
    </row>
    <row r="1281" spans="1:18" ht="24">
      <c r="A1281" s="111">
        <v>4110</v>
      </c>
      <c r="B1281" s="262" t="s">
        <v>477</v>
      </c>
      <c r="C1281" s="79">
        <v>652440</v>
      </c>
      <c r="D1281" s="65">
        <f t="shared" si="163"/>
        <v>652440</v>
      </c>
      <c r="E1281" s="80">
        <f aca="true" t="shared" si="167" ref="E1281:E1298">SUM(H1281+K1281+N1281+Q1281)</f>
        <v>327382</v>
      </c>
      <c r="F1281" s="479">
        <f t="shared" si="162"/>
        <v>50.17810066826068</v>
      </c>
      <c r="G1281" s="79">
        <v>652440</v>
      </c>
      <c r="H1281" s="80">
        <v>327382</v>
      </c>
      <c r="I1281" s="452">
        <f t="shared" si="166"/>
        <v>50.17810066826068</v>
      </c>
      <c r="J1281" s="113"/>
      <c r="K1281" s="80"/>
      <c r="L1281" s="211"/>
      <c r="M1281" s="80"/>
      <c r="N1281" s="80"/>
      <c r="O1281" s="211"/>
      <c r="P1281" s="80"/>
      <c r="Q1281" s="80"/>
      <c r="R1281" s="350"/>
    </row>
    <row r="1282" spans="1:18" ht="12.75">
      <c r="A1282" s="111">
        <v>4120</v>
      </c>
      <c r="B1282" s="262" t="s">
        <v>547</v>
      </c>
      <c r="C1282" s="79">
        <v>99800</v>
      </c>
      <c r="D1282" s="65">
        <f t="shared" si="163"/>
        <v>99800</v>
      </c>
      <c r="E1282" s="80">
        <f t="shared" si="167"/>
        <v>50901</v>
      </c>
      <c r="F1282" s="479">
        <f t="shared" si="162"/>
        <v>51.003006012024045</v>
      </c>
      <c r="G1282" s="79">
        <v>99800</v>
      </c>
      <c r="H1282" s="80">
        <v>50901</v>
      </c>
      <c r="I1282" s="452">
        <f t="shared" si="166"/>
        <v>51.003006012024045</v>
      </c>
      <c r="J1282" s="113"/>
      <c r="K1282" s="80"/>
      <c r="L1282" s="211"/>
      <c r="M1282" s="80"/>
      <c r="N1282" s="80"/>
      <c r="O1282" s="211"/>
      <c r="P1282" s="80"/>
      <c r="Q1282" s="80"/>
      <c r="R1282" s="350"/>
    </row>
    <row r="1283" spans="1:18" ht="12.75">
      <c r="A1283" s="111">
        <v>4140</v>
      </c>
      <c r="B1283" s="262" t="s">
        <v>519</v>
      </c>
      <c r="C1283" s="79">
        <v>96000</v>
      </c>
      <c r="D1283" s="65">
        <f>G1283+J1283+P1283+M1283</f>
        <v>96000</v>
      </c>
      <c r="E1283" s="80">
        <f>SUM(H1283+K1283+N1283+Q1283)</f>
        <v>54332</v>
      </c>
      <c r="F1283" s="479">
        <f>E1283/D1283*100</f>
        <v>56.59583333333333</v>
      </c>
      <c r="G1283" s="79">
        <v>96000</v>
      </c>
      <c r="H1283" s="80">
        <v>54332</v>
      </c>
      <c r="I1283" s="452">
        <f t="shared" si="166"/>
        <v>56.59583333333333</v>
      </c>
      <c r="J1283" s="113"/>
      <c r="K1283" s="80"/>
      <c r="L1283" s="211"/>
      <c r="M1283" s="80"/>
      <c r="N1283" s="80"/>
      <c r="O1283" s="211"/>
      <c r="P1283" s="80"/>
      <c r="Q1283" s="80"/>
      <c r="R1283" s="350"/>
    </row>
    <row r="1284" spans="1:18" ht="24">
      <c r="A1284" s="111">
        <v>4170</v>
      </c>
      <c r="B1284" s="262" t="s">
        <v>511</v>
      </c>
      <c r="C1284" s="79">
        <v>4000</v>
      </c>
      <c r="D1284" s="65">
        <f t="shared" si="163"/>
        <v>19500</v>
      </c>
      <c r="E1284" s="80">
        <f t="shared" si="167"/>
        <v>6343</v>
      </c>
      <c r="F1284" s="479">
        <f t="shared" si="162"/>
        <v>32.52820512820513</v>
      </c>
      <c r="G1284" s="79">
        <f>4000+15500</f>
        <v>19500</v>
      </c>
      <c r="H1284" s="80">
        <v>6343</v>
      </c>
      <c r="I1284" s="452">
        <f t="shared" si="166"/>
        <v>32.52820512820513</v>
      </c>
      <c r="J1284" s="113"/>
      <c r="K1284" s="80"/>
      <c r="L1284" s="211"/>
      <c r="M1284" s="80"/>
      <c r="N1284" s="80"/>
      <c r="O1284" s="211"/>
      <c r="P1284" s="80"/>
      <c r="Q1284" s="80"/>
      <c r="R1284" s="350"/>
    </row>
    <row r="1285" spans="1:18" ht="24">
      <c r="A1285" s="145">
        <v>4210</v>
      </c>
      <c r="B1285" s="263" t="s">
        <v>481</v>
      </c>
      <c r="C1285" s="147">
        <v>159300</v>
      </c>
      <c r="D1285" s="148">
        <f t="shared" si="163"/>
        <v>159300</v>
      </c>
      <c r="E1285" s="142">
        <f t="shared" si="167"/>
        <v>47996</v>
      </c>
      <c r="F1285" s="512">
        <f t="shared" si="162"/>
        <v>30.129315756434398</v>
      </c>
      <c r="G1285" s="147">
        <v>159300</v>
      </c>
      <c r="H1285" s="142">
        <v>47996</v>
      </c>
      <c r="I1285" s="312">
        <f t="shared" si="166"/>
        <v>30.129315756434398</v>
      </c>
      <c r="J1285" s="149"/>
      <c r="K1285" s="142"/>
      <c r="L1285" s="259"/>
      <c r="M1285" s="142"/>
      <c r="N1285" s="142"/>
      <c r="O1285" s="259"/>
      <c r="P1285" s="142"/>
      <c r="Q1285" s="142"/>
      <c r="R1285" s="354"/>
    </row>
    <row r="1286" spans="1:18" ht="12.75">
      <c r="A1286" s="111">
        <v>4260</v>
      </c>
      <c r="B1286" s="262" t="s">
        <v>485</v>
      </c>
      <c r="C1286" s="79">
        <v>116600</v>
      </c>
      <c r="D1286" s="65">
        <f t="shared" si="163"/>
        <v>116600</v>
      </c>
      <c r="E1286" s="80">
        <f t="shared" si="167"/>
        <v>65206</v>
      </c>
      <c r="F1286" s="479">
        <f t="shared" si="162"/>
        <v>55.92281303602058</v>
      </c>
      <c r="G1286" s="79">
        <v>116600</v>
      </c>
      <c r="H1286" s="80">
        <v>65206</v>
      </c>
      <c r="I1286" s="265">
        <f t="shared" si="166"/>
        <v>55.92281303602058</v>
      </c>
      <c r="J1286" s="113"/>
      <c r="K1286" s="80"/>
      <c r="L1286" s="211"/>
      <c r="M1286" s="80"/>
      <c r="N1286" s="80"/>
      <c r="O1286" s="211"/>
      <c r="P1286" s="80"/>
      <c r="Q1286" s="80"/>
      <c r="R1286" s="350"/>
    </row>
    <row r="1287" spans="1:18" ht="15" customHeight="1">
      <c r="A1287" s="111">
        <v>4270</v>
      </c>
      <c r="B1287" s="262" t="s">
        <v>487</v>
      </c>
      <c r="C1287" s="79">
        <v>65000</v>
      </c>
      <c r="D1287" s="65">
        <f t="shared" si="163"/>
        <v>65000</v>
      </c>
      <c r="E1287" s="80">
        <f t="shared" si="167"/>
        <v>51376</v>
      </c>
      <c r="F1287" s="479">
        <f t="shared" si="162"/>
        <v>79.03999999999999</v>
      </c>
      <c r="G1287" s="79">
        <v>65000</v>
      </c>
      <c r="H1287" s="80">
        <v>51376</v>
      </c>
      <c r="I1287" s="265">
        <f t="shared" si="166"/>
        <v>79.03999999999999</v>
      </c>
      <c r="J1287" s="113"/>
      <c r="K1287" s="80"/>
      <c r="L1287" s="211"/>
      <c r="M1287" s="80"/>
      <c r="N1287" s="80"/>
      <c r="O1287" s="211"/>
      <c r="P1287" s="80"/>
      <c r="Q1287" s="80"/>
      <c r="R1287" s="350"/>
    </row>
    <row r="1288" spans="1:18" ht="15" customHeight="1">
      <c r="A1288" s="111">
        <v>4280</v>
      </c>
      <c r="B1288" s="262" t="s">
        <v>520</v>
      </c>
      <c r="C1288" s="79">
        <v>5000</v>
      </c>
      <c r="D1288" s="65">
        <f t="shared" si="163"/>
        <v>5000</v>
      </c>
      <c r="E1288" s="80">
        <f t="shared" si="167"/>
        <v>3213</v>
      </c>
      <c r="F1288" s="479">
        <f t="shared" si="162"/>
        <v>64.25999999999999</v>
      </c>
      <c r="G1288" s="79">
        <v>5000</v>
      </c>
      <c r="H1288" s="80">
        <v>3213</v>
      </c>
      <c r="I1288" s="265">
        <f t="shared" si="166"/>
        <v>64.25999999999999</v>
      </c>
      <c r="J1288" s="113"/>
      <c r="K1288" s="80"/>
      <c r="L1288" s="211"/>
      <c r="M1288" s="80"/>
      <c r="N1288" s="80"/>
      <c r="O1288" s="211"/>
      <c r="P1288" s="80"/>
      <c r="Q1288" s="80"/>
      <c r="R1288" s="350"/>
    </row>
    <row r="1289" spans="1:18" ht="15" customHeight="1">
      <c r="A1289" s="111">
        <v>4300</v>
      </c>
      <c r="B1289" s="262" t="s">
        <v>522</v>
      </c>
      <c r="C1289" s="79">
        <v>100000</v>
      </c>
      <c r="D1289" s="65">
        <f t="shared" si="163"/>
        <v>199500</v>
      </c>
      <c r="E1289" s="80">
        <f t="shared" si="167"/>
        <v>143574</v>
      </c>
      <c r="F1289" s="479">
        <f t="shared" si="162"/>
        <v>71.96691729323308</v>
      </c>
      <c r="G1289" s="79">
        <f>100000+100000-500</f>
        <v>199500</v>
      </c>
      <c r="H1289" s="80">
        <v>143574</v>
      </c>
      <c r="I1289" s="265">
        <f t="shared" si="166"/>
        <v>71.96691729323308</v>
      </c>
      <c r="J1289" s="113"/>
      <c r="K1289" s="80"/>
      <c r="L1289" s="211"/>
      <c r="M1289" s="80"/>
      <c r="N1289" s="80"/>
      <c r="O1289" s="211"/>
      <c r="P1289" s="80"/>
      <c r="Q1289" s="80"/>
      <c r="R1289" s="350"/>
    </row>
    <row r="1290" spans="1:18" ht="24">
      <c r="A1290" s="111">
        <v>4350</v>
      </c>
      <c r="B1290" s="262" t="s">
        <v>7</v>
      </c>
      <c r="C1290" s="79">
        <v>5000</v>
      </c>
      <c r="D1290" s="65">
        <f t="shared" si="163"/>
        <v>5000</v>
      </c>
      <c r="E1290" s="80">
        <f t="shared" si="167"/>
        <v>3283</v>
      </c>
      <c r="F1290" s="479">
        <f t="shared" si="162"/>
        <v>65.66</v>
      </c>
      <c r="G1290" s="79">
        <v>5000</v>
      </c>
      <c r="H1290" s="80">
        <v>3283</v>
      </c>
      <c r="I1290" s="265">
        <f t="shared" si="166"/>
        <v>65.66</v>
      </c>
      <c r="J1290" s="113"/>
      <c r="K1290" s="80"/>
      <c r="L1290" s="211"/>
      <c r="M1290" s="80"/>
      <c r="N1290" s="80"/>
      <c r="O1290" s="211"/>
      <c r="P1290" s="80"/>
      <c r="Q1290" s="80"/>
      <c r="R1290" s="350"/>
    </row>
    <row r="1291" spans="1:18" ht="39" customHeight="1">
      <c r="A1291" s="159">
        <v>4360</v>
      </c>
      <c r="B1291" s="326" t="s">
        <v>295</v>
      </c>
      <c r="C1291" s="79">
        <v>11000</v>
      </c>
      <c r="D1291" s="65">
        <f t="shared" si="163"/>
        <v>11000</v>
      </c>
      <c r="E1291" s="80">
        <f>SUM(H1291+K1291+N1291+Q1291)</f>
        <v>4298</v>
      </c>
      <c r="F1291" s="479">
        <f>E1291/D1291*100</f>
        <v>39.07272727272727</v>
      </c>
      <c r="G1291" s="79">
        <v>11000</v>
      </c>
      <c r="H1291" s="80">
        <v>4298</v>
      </c>
      <c r="I1291" s="265">
        <f t="shared" si="166"/>
        <v>39.07272727272727</v>
      </c>
      <c r="J1291" s="113"/>
      <c r="K1291" s="80"/>
      <c r="L1291" s="211"/>
      <c r="M1291" s="80"/>
      <c r="N1291" s="80"/>
      <c r="O1291" s="211"/>
      <c r="P1291" s="80"/>
      <c r="Q1291" s="80"/>
      <c r="R1291" s="350"/>
    </row>
    <row r="1292" spans="1:18" ht="39.75" customHeight="1">
      <c r="A1292" s="159">
        <v>4370</v>
      </c>
      <c r="B1292" s="326" t="s">
        <v>296</v>
      </c>
      <c r="C1292" s="79">
        <v>64000</v>
      </c>
      <c r="D1292" s="65">
        <f t="shared" si="163"/>
        <v>64000</v>
      </c>
      <c r="E1292" s="80">
        <f>SUM(H1292+K1292+N1292+Q1292)</f>
        <v>27668</v>
      </c>
      <c r="F1292" s="479">
        <f>E1292/D1292*100</f>
        <v>43.231249999999996</v>
      </c>
      <c r="G1292" s="79">
        <v>64000</v>
      </c>
      <c r="H1292" s="80">
        <v>27668</v>
      </c>
      <c r="I1292" s="265">
        <f t="shared" si="166"/>
        <v>43.231249999999996</v>
      </c>
      <c r="J1292" s="113"/>
      <c r="K1292" s="80"/>
      <c r="L1292" s="211"/>
      <c r="M1292" s="80"/>
      <c r="N1292" s="80"/>
      <c r="O1292" s="211"/>
      <c r="P1292" s="80"/>
      <c r="Q1292" s="80"/>
      <c r="R1292" s="350"/>
    </row>
    <row r="1293" spans="1:18" ht="36">
      <c r="A1293" s="159">
        <v>4390</v>
      </c>
      <c r="B1293" s="326" t="s">
        <v>271</v>
      </c>
      <c r="C1293" s="79">
        <v>41000</v>
      </c>
      <c r="D1293" s="65">
        <f>G1293+J1293+P1293+M1293</f>
        <v>41000</v>
      </c>
      <c r="E1293" s="80">
        <f>SUM(H1293+K1293+N1293+Q1293)</f>
        <v>26352</v>
      </c>
      <c r="F1293" s="479">
        <f>E1293/D1293*100</f>
        <v>64.27317073170732</v>
      </c>
      <c r="G1293" s="79">
        <v>41000</v>
      </c>
      <c r="H1293" s="80">
        <v>26352</v>
      </c>
      <c r="I1293" s="265">
        <f t="shared" si="166"/>
        <v>64.27317073170732</v>
      </c>
      <c r="J1293" s="113"/>
      <c r="K1293" s="80"/>
      <c r="L1293" s="211"/>
      <c r="M1293" s="80"/>
      <c r="N1293" s="80"/>
      <c r="O1293" s="211"/>
      <c r="P1293" s="80"/>
      <c r="Q1293" s="80"/>
      <c r="R1293" s="350"/>
    </row>
    <row r="1294" spans="1:18" ht="24">
      <c r="A1294" s="159">
        <v>4400</v>
      </c>
      <c r="B1294" s="326" t="s">
        <v>287</v>
      </c>
      <c r="C1294" s="79">
        <v>7400</v>
      </c>
      <c r="D1294" s="65">
        <f t="shared" si="163"/>
        <v>7400</v>
      </c>
      <c r="E1294" s="80">
        <f>SUM(H1294+K1294+N1294+Q1294)</f>
        <v>3451</v>
      </c>
      <c r="F1294" s="479">
        <f>E1294/D1294*100</f>
        <v>46.63513513513514</v>
      </c>
      <c r="G1294" s="79">
        <v>7400</v>
      </c>
      <c r="H1294" s="80">
        <v>3451</v>
      </c>
      <c r="I1294" s="265">
        <f t="shared" si="166"/>
        <v>46.63513513513514</v>
      </c>
      <c r="J1294" s="113"/>
      <c r="K1294" s="80"/>
      <c r="L1294" s="211"/>
      <c r="M1294" s="80"/>
      <c r="N1294" s="80"/>
      <c r="O1294" s="211"/>
      <c r="P1294" s="80"/>
      <c r="Q1294" s="80"/>
      <c r="R1294" s="350"/>
    </row>
    <row r="1295" spans="1:18" ht="15" customHeight="1">
      <c r="A1295" s="111">
        <v>4410</v>
      </c>
      <c r="B1295" s="262" t="s">
        <v>463</v>
      </c>
      <c r="C1295" s="79">
        <v>40000</v>
      </c>
      <c r="D1295" s="65">
        <f t="shared" si="163"/>
        <v>40000</v>
      </c>
      <c r="E1295" s="80">
        <f t="shared" si="167"/>
        <v>16517</v>
      </c>
      <c r="F1295" s="479">
        <f t="shared" si="162"/>
        <v>41.2925</v>
      </c>
      <c r="G1295" s="79">
        <v>40000</v>
      </c>
      <c r="H1295" s="80">
        <v>16517</v>
      </c>
      <c r="I1295" s="265">
        <f t="shared" si="166"/>
        <v>41.2925</v>
      </c>
      <c r="J1295" s="113"/>
      <c r="K1295" s="80"/>
      <c r="L1295" s="211"/>
      <c r="M1295" s="80"/>
      <c r="N1295" s="80"/>
      <c r="O1295" s="211"/>
      <c r="P1295" s="80"/>
      <c r="Q1295" s="80"/>
      <c r="R1295" s="350"/>
    </row>
    <row r="1296" spans="1:18" ht="24" hidden="1">
      <c r="A1296" s="111">
        <v>4420</v>
      </c>
      <c r="B1296" s="262" t="s">
        <v>532</v>
      </c>
      <c r="C1296" s="79"/>
      <c r="D1296" s="65">
        <f t="shared" si="163"/>
        <v>0</v>
      </c>
      <c r="E1296" s="80">
        <f t="shared" si="167"/>
        <v>0</v>
      </c>
      <c r="F1296" s="479" t="e">
        <f t="shared" si="162"/>
        <v>#DIV/0!</v>
      </c>
      <c r="G1296" s="79"/>
      <c r="H1296" s="80"/>
      <c r="I1296" s="265" t="e">
        <f t="shared" si="166"/>
        <v>#DIV/0!</v>
      </c>
      <c r="J1296" s="113"/>
      <c r="K1296" s="80"/>
      <c r="L1296" s="211"/>
      <c r="M1296" s="80"/>
      <c r="N1296" s="80"/>
      <c r="O1296" s="211"/>
      <c r="P1296" s="80"/>
      <c r="Q1296" s="80"/>
      <c r="R1296" s="350"/>
    </row>
    <row r="1297" spans="1:18" ht="15" customHeight="1">
      <c r="A1297" s="111">
        <v>4430</v>
      </c>
      <c r="B1297" s="262" t="s">
        <v>491</v>
      </c>
      <c r="C1297" s="79">
        <v>14500</v>
      </c>
      <c r="D1297" s="65">
        <f t="shared" si="163"/>
        <v>14500</v>
      </c>
      <c r="E1297" s="80">
        <f t="shared" si="167"/>
        <v>11057</v>
      </c>
      <c r="F1297" s="479">
        <f t="shared" si="162"/>
        <v>76.2551724137931</v>
      </c>
      <c r="G1297" s="79">
        <v>14500</v>
      </c>
      <c r="H1297" s="80">
        <v>11057</v>
      </c>
      <c r="I1297" s="265">
        <f t="shared" si="166"/>
        <v>76.2551724137931</v>
      </c>
      <c r="J1297" s="113"/>
      <c r="K1297" s="80"/>
      <c r="L1297" s="211"/>
      <c r="M1297" s="80"/>
      <c r="N1297" s="80"/>
      <c r="O1297" s="211"/>
      <c r="P1297" s="80"/>
      <c r="Q1297" s="80"/>
      <c r="R1297" s="350"/>
    </row>
    <row r="1298" spans="1:18" ht="15" customHeight="1">
      <c r="A1298" s="111">
        <v>4440</v>
      </c>
      <c r="B1298" s="262" t="s">
        <v>493</v>
      </c>
      <c r="C1298" s="79">
        <v>100000</v>
      </c>
      <c r="D1298" s="65">
        <f t="shared" si="163"/>
        <v>128200</v>
      </c>
      <c r="E1298" s="80">
        <f t="shared" si="167"/>
        <v>90266</v>
      </c>
      <c r="F1298" s="479">
        <f t="shared" si="162"/>
        <v>70.41029641185648</v>
      </c>
      <c r="G1298" s="79">
        <f>100000+28200</f>
        <v>128200</v>
      </c>
      <c r="H1298" s="80">
        <v>90266</v>
      </c>
      <c r="I1298" s="452">
        <f t="shared" si="166"/>
        <v>70.41029641185648</v>
      </c>
      <c r="J1298" s="113"/>
      <c r="K1298" s="80"/>
      <c r="L1298" s="211"/>
      <c r="M1298" s="80"/>
      <c r="N1298" s="80"/>
      <c r="O1298" s="211"/>
      <c r="P1298" s="80"/>
      <c r="Q1298" s="80"/>
      <c r="R1298" s="350"/>
    </row>
    <row r="1299" spans="1:18" ht="17.25" customHeight="1">
      <c r="A1299" s="111">
        <v>4480</v>
      </c>
      <c r="B1299" s="262" t="s">
        <v>495</v>
      </c>
      <c r="C1299" s="79">
        <v>18000</v>
      </c>
      <c r="D1299" s="65">
        <f t="shared" si="163"/>
        <v>18000</v>
      </c>
      <c r="E1299" s="65">
        <f>H1299+K1299+Q1299+N1299</f>
        <v>9084</v>
      </c>
      <c r="F1299" s="479">
        <f t="shared" si="162"/>
        <v>50.46666666666667</v>
      </c>
      <c r="G1299" s="79">
        <v>18000</v>
      </c>
      <c r="H1299" s="80">
        <v>9084</v>
      </c>
      <c r="I1299" s="265">
        <f t="shared" si="166"/>
        <v>50.46666666666667</v>
      </c>
      <c r="J1299" s="113"/>
      <c r="K1299" s="80"/>
      <c r="L1299" s="211"/>
      <c r="M1299" s="80"/>
      <c r="N1299" s="80"/>
      <c r="O1299" s="211"/>
      <c r="P1299" s="80"/>
      <c r="Q1299" s="80"/>
      <c r="R1299" s="350"/>
    </row>
    <row r="1300" spans="1:18" ht="24">
      <c r="A1300" s="111">
        <v>4530</v>
      </c>
      <c r="B1300" s="262" t="s">
        <v>78</v>
      </c>
      <c r="C1300" s="79"/>
      <c r="D1300" s="65">
        <f t="shared" si="163"/>
        <v>400</v>
      </c>
      <c r="E1300" s="65">
        <f>H1300+K1300+Q1300+N1300</f>
        <v>39</v>
      </c>
      <c r="F1300" s="479">
        <f t="shared" si="162"/>
        <v>9.75</v>
      </c>
      <c r="G1300" s="79">
        <v>400</v>
      </c>
      <c r="H1300" s="80">
        <v>39</v>
      </c>
      <c r="I1300" s="265">
        <f t="shared" si="166"/>
        <v>9.75</v>
      </c>
      <c r="J1300" s="113"/>
      <c r="K1300" s="80"/>
      <c r="L1300" s="211"/>
      <c r="M1300" s="80"/>
      <c r="N1300" s="80"/>
      <c r="O1300" s="211"/>
      <c r="P1300" s="80"/>
      <c r="Q1300" s="80"/>
      <c r="R1300" s="350"/>
    </row>
    <row r="1301" spans="1:18" ht="12.75">
      <c r="A1301" s="111">
        <v>4580</v>
      </c>
      <c r="B1301" s="262" t="s">
        <v>525</v>
      </c>
      <c r="C1301" s="79"/>
      <c r="D1301" s="65">
        <f>G1301+J1301+P1301+M1301</f>
        <v>100</v>
      </c>
      <c r="E1301" s="65">
        <f>H1301+K1301+Q1301+N1301</f>
        <v>17</v>
      </c>
      <c r="F1301" s="479">
        <f>E1301/D1301*100</f>
        <v>17</v>
      </c>
      <c r="G1301" s="79">
        <v>100</v>
      </c>
      <c r="H1301" s="80">
        <v>17</v>
      </c>
      <c r="I1301" s="265">
        <f t="shared" si="166"/>
        <v>17</v>
      </c>
      <c r="J1301" s="113"/>
      <c r="K1301" s="80"/>
      <c r="L1301" s="211"/>
      <c r="M1301" s="80"/>
      <c r="N1301" s="80"/>
      <c r="O1301" s="211"/>
      <c r="P1301" s="80"/>
      <c r="Q1301" s="80"/>
      <c r="R1301" s="350"/>
    </row>
    <row r="1302" spans="1:18" ht="36">
      <c r="A1302" s="111">
        <v>4610</v>
      </c>
      <c r="B1302" s="262" t="s">
        <v>79</v>
      </c>
      <c r="C1302" s="79">
        <v>3500</v>
      </c>
      <c r="D1302" s="65">
        <f t="shared" si="163"/>
        <v>3500</v>
      </c>
      <c r="E1302" s="80">
        <f aca="true" t="shared" si="168" ref="E1302:E1315">SUM(H1302+K1302+N1302+Q1302)</f>
        <v>54</v>
      </c>
      <c r="F1302" s="479">
        <f t="shared" si="162"/>
        <v>1.542857142857143</v>
      </c>
      <c r="G1302" s="79">
        <v>3500</v>
      </c>
      <c r="H1302" s="80">
        <v>54</v>
      </c>
      <c r="I1302" s="265">
        <f t="shared" si="166"/>
        <v>1.542857142857143</v>
      </c>
      <c r="J1302" s="113"/>
      <c r="K1302" s="80"/>
      <c r="L1302" s="211"/>
      <c r="M1302" s="80"/>
      <c r="N1302" s="80"/>
      <c r="O1302" s="211"/>
      <c r="P1302" s="80"/>
      <c r="Q1302" s="80"/>
      <c r="R1302" s="350"/>
    </row>
    <row r="1303" spans="1:18" ht="36">
      <c r="A1303" s="159">
        <v>4700</v>
      </c>
      <c r="B1303" s="326" t="s">
        <v>284</v>
      </c>
      <c r="C1303" s="79">
        <v>21000</v>
      </c>
      <c r="D1303" s="65">
        <f t="shared" si="163"/>
        <v>21000</v>
      </c>
      <c r="E1303" s="80">
        <f t="shared" si="168"/>
        <v>9988</v>
      </c>
      <c r="F1303" s="479">
        <f t="shared" si="162"/>
        <v>47.56190476190476</v>
      </c>
      <c r="G1303" s="79">
        <v>21000</v>
      </c>
      <c r="H1303" s="80">
        <v>9988</v>
      </c>
      <c r="I1303" s="265">
        <f t="shared" si="166"/>
        <v>47.56190476190476</v>
      </c>
      <c r="J1303" s="113"/>
      <c r="K1303" s="80"/>
      <c r="L1303" s="211"/>
      <c r="M1303" s="80"/>
      <c r="N1303" s="80"/>
      <c r="O1303" s="211"/>
      <c r="P1303" s="80"/>
      <c r="Q1303" s="80"/>
      <c r="R1303" s="350"/>
    </row>
    <row r="1304" spans="1:18" ht="48" customHeight="1">
      <c r="A1304" s="159">
        <v>4740</v>
      </c>
      <c r="B1304" s="326" t="s">
        <v>288</v>
      </c>
      <c r="C1304" s="79">
        <v>12800</v>
      </c>
      <c r="D1304" s="65">
        <f t="shared" si="163"/>
        <v>12800</v>
      </c>
      <c r="E1304" s="80">
        <f t="shared" si="168"/>
        <v>7154</v>
      </c>
      <c r="F1304" s="479">
        <f t="shared" si="162"/>
        <v>55.89062500000001</v>
      </c>
      <c r="G1304" s="79">
        <v>12800</v>
      </c>
      <c r="H1304" s="80">
        <v>7154</v>
      </c>
      <c r="I1304" s="265">
        <f t="shared" si="166"/>
        <v>55.89062500000001</v>
      </c>
      <c r="J1304" s="113"/>
      <c r="K1304" s="80"/>
      <c r="L1304" s="211"/>
      <c r="M1304" s="80"/>
      <c r="N1304" s="80"/>
      <c r="O1304" s="211"/>
      <c r="P1304" s="80"/>
      <c r="Q1304" s="80"/>
      <c r="R1304" s="350"/>
    </row>
    <row r="1305" spans="1:18" ht="36">
      <c r="A1305" s="159">
        <v>4750</v>
      </c>
      <c r="B1305" s="326" t="s">
        <v>289</v>
      </c>
      <c r="C1305" s="79">
        <v>40000</v>
      </c>
      <c r="D1305" s="65">
        <f>G1305+J1305+P1305+M1305</f>
        <v>40000</v>
      </c>
      <c r="E1305" s="80">
        <f t="shared" si="168"/>
        <v>19648</v>
      </c>
      <c r="F1305" s="479">
        <f t="shared" si="162"/>
        <v>49.120000000000005</v>
      </c>
      <c r="G1305" s="79">
        <v>40000</v>
      </c>
      <c r="H1305" s="80">
        <v>19648</v>
      </c>
      <c r="I1305" s="265">
        <f t="shared" si="166"/>
        <v>49.120000000000005</v>
      </c>
      <c r="J1305" s="113"/>
      <c r="K1305" s="80"/>
      <c r="L1305" s="211"/>
      <c r="M1305" s="80"/>
      <c r="N1305" s="80"/>
      <c r="O1305" s="211"/>
      <c r="P1305" s="80"/>
      <c r="Q1305" s="80"/>
      <c r="R1305" s="350"/>
    </row>
    <row r="1306" spans="1:18" ht="12.75" hidden="1">
      <c r="A1306" s="159">
        <v>4990</v>
      </c>
      <c r="B1306" s="193" t="s">
        <v>326</v>
      </c>
      <c r="C1306" s="79"/>
      <c r="D1306" s="65"/>
      <c r="E1306" s="80">
        <f t="shared" si="168"/>
        <v>0</v>
      </c>
      <c r="F1306" s="479"/>
      <c r="G1306" s="79"/>
      <c r="H1306" s="80"/>
      <c r="I1306" s="265"/>
      <c r="J1306" s="113"/>
      <c r="K1306" s="80"/>
      <c r="L1306" s="211"/>
      <c r="M1306" s="80"/>
      <c r="N1306" s="80"/>
      <c r="O1306" s="211"/>
      <c r="P1306" s="80"/>
      <c r="Q1306" s="80"/>
      <c r="R1306" s="350"/>
    </row>
    <row r="1307" spans="1:18" ht="12.75">
      <c r="A1307" s="184">
        <v>4990</v>
      </c>
      <c r="B1307" s="243" t="s">
        <v>326</v>
      </c>
      <c r="C1307" s="147"/>
      <c r="D1307" s="148"/>
      <c r="E1307" s="142">
        <f t="shared" si="168"/>
        <v>-35</v>
      </c>
      <c r="F1307" s="512"/>
      <c r="G1307" s="147"/>
      <c r="H1307" s="142">
        <v>-35</v>
      </c>
      <c r="I1307" s="312"/>
      <c r="J1307" s="149"/>
      <c r="K1307" s="142"/>
      <c r="L1307" s="259"/>
      <c r="M1307" s="142"/>
      <c r="N1307" s="142"/>
      <c r="O1307" s="259"/>
      <c r="P1307" s="142"/>
      <c r="Q1307" s="142"/>
      <c r="R1307" s="354"/>
    </row>
    <row r="1308" spans="1:18" ht="24">
      <c r="A1308" s="111">
        <v>6050</v>
      </c>
      <c r="B1308" s="262" t="s">
        <v>549</v>
      </c>
      <c r="C1308" s="79">
        <v>400000</v>
      </c>
      <c r="D1308" s="65">
        <f>G1308+J1308+P1308+M1308</f>
        <v>400000</v>
      </c>
      <c r="E1308" s="80">
        <f t="shared" si="168"/>
        <v>1220</v>
      </c>
      <c r="F1308" s="479">
        <f t="shared" si="162"/>
        <v>0.305</v>
      </c>
      <c r="G1308" s="79">
        <v>400000</v>
      </c>
      <c r="H1308" s="80">
        <v>1220</v>
      </c>
      <c r="I1308" s="265">
        <f t="shared" si="166"/>
        <v>0.305</v>
      </c>
      <c r="J1308" s="113"/>
      <c r="K1308" s="80"/>
      <c r="L1308" s="211"/>
      <c r="M1308" s="80"/>
      <c r="N1308" s="80"/>
      <c r="O1308" s="211"/>
      <c r="P1308" s="80"/>
      <c r="Q1308" s="80"/>
      <c r="R1308" s="350"/>
    </row>
    <row r="1309" spans="1:18" s="105" customFormat="1" ht="48">
      <c r="A1309" s="111">
        <v>6060</v>
      </c>
      <c r="B1309" s="262" t="s">
        <v>146</v>
      </c>
      <c r="C1309" s="79">
        <v>150000</v>
      </c>
      <c r="D1309" s="65">
        <f t="shared" si="163"/>
        <v>150000</v>
      </c>
      <c r="E1309" s="80">
        <f t="shared" si="168"/>
        <v>65819</v>
      </c>
      <c r="F1309" s="479">
        <f t="shared" si="162"/>
        <v>43.87933333333333</v>
      </c>
      <c r="G1309" s="79">
        <v>150000</v>
      </c>
      <c r="H1309" s="80">
        <v>65819</v>
      </c>
      <c r="I1309" s="265">
        <f t="shared" si="166"/>
        <v>43.87933333333333</v>
      </c>
      <c r="J1309" s="113"/>
      <c r="K1309" s="80"/>
      <c r="L1309" s="211"/>
      <c r="M1309" s="80"/>
      <c r="N1309" s="80"/>
      <c r="O1309" s="211"/>
      <c r="P1309" s="80"/>
      <c r="Q1309" s="80"/>
      <c r="R1309" s="350"/>
    </row>
    <row r="1310" spans="1:18" s="534" customFormat="1" ht="108" hidden="1">
      <c r="A1310" s="540"/>
      <c r="B1310" s="541" t="s">
        <v>670</v>
      </c>
      <c r="C1310" s="214"/>
      <c r="D1310" s="215">
        <f t="shared" si="163"/>
        <v>0</v>
      </c>
      <c r="E1310" s="215">
        <f t="shared" si="168"/>
        <v>0</v>
      </c>
      <c r="F1310" s="542" t="e">
        <f t="shared" si="162"/>
        <v>#DIV/0!</v>
      </c>
      <c r="G1310" s="214"/>
      <c r="H1310" s="215"/>
      <c r="I1310" s="532"/>
      <c r="J1310" s="216">
        <f>SUM(J1311:J1315)</f>
        <v>0</v>
      </c>
      <c r="K1310" s="215">
        <f>SUM(K1311:K1315)</f>
        <v>0</v>
      </c>
      <c r="L1310" s="543" t="e">
        <f aca="true" t="shared" si="169" ref="L1310:L1315">K1310/J1310*100</f>
        <v>#DIV/0!</v>
      </c>
      <c r="M1310" s="215"/>
      <c r="N1310" s="215"/>
      <c r="O1310" s="543"/>
      <c r="P1310" s="215"/>
      <c r="Q1310" s="215"/>
      <c r="R1310" s="544"/>
    </row>
    <row r="1311" spans="1:18" s="105" customFormat="1" ht="24" hidden="1">
      <c r="A1311" s="111">
        <v>4110</v>
      </c>
      <c r="B1311" s="262" t="s">
        <v>477</v>
      </c>
      <c r="C1311" s="79"/>
      <c r="D1311" s="65">
        <f t="shared" si="163"/>
        <v>0</v>
      </c>
      <c r="E1311" s="80">
        <f t="shared" si="168"/>
        <v>0</v>
      </c>
      <c r="F1311" s="479" t="e">
        <f t="shared" si="162"/>
        <v>#DIV/0!</v>
      </c>
      <c r="G1311" s="79"/>
      <c r="H1311" s="80"/>
      <c r="I1311" s="265"/>
      <c r="J1311" s="113">
        <f>910-910</f>
        <v>0</v>
      </c>
      <c r="K1311" s="80"/>
      <c r="L1311" s="545" t="e">
        <f t="shared" si="169"/>
        <v>#DIV/0!</v>
      </c>
      <c r="M1311" s="80"/>
      <c r="N1311" s="80"/>
      <c r="O1311" s="211"/>
      <c r="P1311" s="80"/>
      <c r="Q1311" s="80"/>
      <c r="R1311" s="350"/>
    </row>
    <row r="1312" spans="1:18" s="105" customFormat="1" ht="12.75" hidden="1">
      <c r="A1312" s="111">
        <v>4120</v>
      </c>
      <c r="B1312" s="262" t="s">
        <v>547</v>
      </c>
      <c r="C1312" s="79"/>
      <c r="D1312" s="65">
        <f t="shared" si="163"/>
        <v>0</v>
      </c>
      <c r="E1312" s="80">
        <f t="shared" si="168"/>
        <v>0</v>
      </c>
      <c r="F1312" s="479" t="e">
        <f t="shared" si="162"/>
        <v>#DIV/0!</v>
      </c>
      <c r="G1312" s="79"/>
      <c r="H1312" s="80"/>
      <c r="I1312" s="265"/>
      <c r="J1312" s="113">
        <f>140-140</f>
        <v>0</v>
      </c>
      <c r="K1312" s="80"/>
      <c r="L1312" s="545" t="e">
        <f t="shared" si="169"/>
        <v>#DIV/0!</v>
      </c>
      <c r="M1312" s="80"/>
      <c r="N1312" s="80"/>
      <c r="O1312" s="211"/>
      <c r="P1312" s="80"/>
      <c r="Q1312" s="80"/>
      <c r="R1312" s="350"/>
    </row>
    <row r="1313" spans="1:18" s="105" customFormat="1" ht="24" hidden="1">
      <c r="A1313" s="111">
        <v>4170</v>
      </c>
      <c r="B1313" s="262" t="s">
        <v>511</v>
      </c>
      <c r="C1313" s="79"/>
      <c r="D1313" s="65">
        <f t="shared" si="163"/>
        <v>0</v>
      </c>
      <c r="E1313" s="80">
        <f t="shared" si="168"/>
        <v>0</v>
      </c>
      <c r="F1313" s="479" t="e">
        <f t="shared" si="162"/>
        <v>#DIV/0!</v>
      </c>
      <c r="G1313" s="79"/>
      <c r="H1313" s="80"/>
      <c r="I1313" s="265"/>
      <c r="J1313" s="113">
        <f>5950-5950</f>
        <v>0</v>
      </c>
      <c r="K1313" s="80"/>
      <c r="L1313" s="545" t="e">
        <f t="shared" si="169"/>
        <v>#DIV/0!</v>
      </c>
      <c r="M1313" s="80"/>
      <c r="N1313" s="80"/>
      <c r="O1313" s="211"/>
      <c r="P1313" s="80"/>
      <c r="Q1313" s="80"/>
      <c r="R1313" s="350"/>
    </row>
    <row r="1314" spans="1:18" s="105" customFormat="1" ht="24" hidden="1">
      <c r="A1314" s="111">
        <v>4210</v>
      </c>
      <c r="B1314" s="262" t="s">
        <v>481</v>
      </c>
      <c r="C1314" s="79"/>
      <c r="D1314" s="65">
        <f t="shared" si="163"/>
        <v>0</v>
      </c>
      <c r="E1314" s="80">
        <f t="shared" si="168"/>
        <v>0</v>
      </c>
      <c r="F1314" s="479" t="e">
        <f t="shared" si="162"/>
        <v>#DIV/0!</v>
      </c>
      <c r="G1314" s="79"/>
      <c r="H1314" s="80"/>
      <c r="I1314" s="265"/>
      <c r="J1314" s="113">
        <f>1600-1600</f>
        <v>0</v>
      </c>
      <c r="K1314" s="80"/>
      <c r="L1314" s="545" t="e">
        <f t="shared" si="169"/>
        <v>#DIV/0!</v>
      </c>
      <c r="M1314" s="80"/>
      <c r="N1314" s="80"/>
      <c r="O1314" s="211"/>
      <c r="P1314" s="80"/>
      <c r="Q1314" s="80"/>
      <c r="R1314" s="350"/>
    </row>
    <row r="1315" spans="1:18" s="105" customFormat="1" ht="24" hidden="1">
      <c r="A1315" s="111">
        <v>4300</v>
      </c>
      <c r="B1315" s="262" t="s">
        <v>522</v>
      </c>
      <c r="C1315" s="79"/>
      <c r="D1315" s="65">
        <f t="shared" si="163"/>
        <v>0</v>
      </c>
      <c r="E1315" s="80">
        <f t="shared" si="168"/>
        <v>0</v>
      </c>
      <c r="F1315" s="479" t="e">
        <f t="shared" si="162"/>
        <v>#DIV/0!</v>
      </c>
      <c r="G1315" s="79"/>
      <c r="H1315" s="142"/>
      <c r="I1315" s="265"/>
      <c r="J1315" s="149">
        <f>1650-1650</f>
        <v>0</v>
      </c>
      <c r="K1315" s="142"/>
      <c r="L1315" s="545" t="e">
        <f t="shared" si="169"/>
        <v>#DIV/0!</v>
      </c>
      <c r="M1315" s="142"/>
      <c r="N1315" s="142"/>
      <c r="O1315" s="211"/>
      <c r="P1315" s="142"/>
      <c r="Q1315" s="142"/>
      <c r="R1315" s="354"/>
    </row>
    <row r="1316" spans="1:18" s="105" customFormat="1" ht="72">
      <c r="A1316" s="106">
        <v>85220</v>
      </c>
      <c r="B1316" s="261" t="s">
        <v>85</v>
      </c>
      <c r="C1316" s="108">
        <f>SUM(C1317:C1325)</f>
        <v>222600</v>
      </c>
      <c r="D1316" s="86">
        <f t="shared" si="163"/>
        <v>232600</v>
      </c>
      <c r="E1316" s="75">
        <f>H1316+K1316+Q1316+N1316</f>
        <v>118267</v>
      </c>
      <c r="F1316" s="513">
        <f t="shared" si="162"/>
        <v>50.84565778159931</v>
      </c>
      <c r="G1316" s="108">
        <f>SUM(G1317:G1325)</f>
        <v>36600</v>
      </c>
      <c r="H1316" s="75">
        <f>SUM(H1317:H1325)</f>
        <v>18267</v>
      </c>
      <c r="I1316" s="360">
        <f>H1316/G1316*100</f>
        <v>49.90983606557377</v>
      </c>
      <c r="J1316" s="110"/>
      <c r="K1316" s="75"/>
      <c r="L1316" s="406"/>
      <c r="M1316" s="75">
        <f>SUM(M1317:M1325)</f>
        <v>196000</v>
      </c>
      <c r="N1316" s="75">
        <f>SUM(N1317:N1325)</f>
        <v>100000</v>
      </c>
      <c r="O1316" s="432">
        <f>N1316/M1316*100</f>
        <v>51.02040816326531</v>
      </c>
      <c r="P1316" s="75">
        <f>SUM(P1317:P1325)</f>
        <v>0</v>
      </c>
      <c r="Q1316" s="75">
        <f>SUM(Q1317:Q1325)</f>
        <v>0</v>
      </c>
      <c r="R1316" s="432"/>
    </row>
    <row r="1317" spans="1:18" s="105" customFormat="1" ht="63.75" customHeight="1">
      <c r="A1317" s="111">
        <v>2820</v>
      </c>
      <c r="B1317" s="262" t="s">
        <v>54</v>
      </c>
      <c r="C1317" s="79">
        <v>196000</v>
      </c>
      <c r="D1317" s="65">
        <f t="shared" si="163"/>
        <v>196000</v>
      </c>
      <c r="E1317" s="80">
        <f aca="true" t="shared" si="170" ref="E1317:E1325">SUM(H1317+K1317+N1317+Q1317)</f>
        <v>100000</v>
      </c>
      <c r="F1317" s="479">
        <f t="shared" si="162"/>
        <v>51.02040816326531</v>
      </c>
      <c r="G1317" s="79"/>
      <c r="H1317" s="80"/>
      <c r="I1317" s="350"/>
      <c r="J1317" s="113"/>
      <c r="K1317" s="80"/>
      <c r="L1317" s="379"/>
      <c r="M1317" s="79">
        <v>196000</v>
      </c>
      <c r="N1317" s="95">
        <v>100000</v>
      </c>
      <c r="O1317" s="426">
        <f>N1317/M1317*100</f>
        <v>51.02040816326531</v>
      </c>
      <c r="P1317" s="80"/>
      <c r="Q1317" s="80"/>
      <c r="R1317" s="426"/>
    </row>
    <row r="1318" spans="1:18" s="105" customFormat="1" ht="24" hidden="1">
      <c r="A1318" s="111">
        <v>4170</v>
      </c>
      <c r="B1318" s="262" t="s">
        <v>511</v>
      </c>
      <c r="C1318" s="79"/>
      <c r="D1318" s="65">
        <f t="shared" si="163"/>
        <v>0</v>
      </c>
      <c r="E1318" s="80">
        <f t="shared" si="170"/>
        <v>0</v>
      </c>
      <c r="F1318" s="479"/>
      <c r="G1318" s="79"/>
      <c r="H1318" s="80"/>
      <c r="I1318" s="350"/>
      <c r="J1318" s="113"/>
      <c r="K1318" s="80"/>
      <c r="L1318" s="379"/>
      <c r="M1318" s="79"/>
      <c r="N1318" s="80"/>
      <c r="O1318" s="211"/>
      <c r="P1318" s="80"/>
      <c r="Q1318" s="80"/>
      <c r="R1318" s="426"/>
    </row>
    <row r="1319" spans="1:18" s="105" customFormat="1" ht="24" hidden="1">
      <c r="A1319" s="111">
        <v>4210</v>
      </c>
      <c r="B1319" s="262" t="s">
        <v>481</v>
      </c>
      <c r="C1319" s="79"/>
      <c r="D1319" s="65">
        <f t="shared" si="163"/>
        <v>0</v>
      </c>
      <c r="E1319" s="80">
        <f t="shared" si="170"/>
        <v>0</v>
      </c>
      <c r="F1319" s="479" t="e">
        <f t="shared" si="162"/>
        <v>#DIV/0!</v>
      </c>
      <c r="G1319" s="79"/>
      <c r="H1319" s="80"/>
      <c r="I1319" s="350"/>
      <c r="J1319" s="113"/>
      <c r="K1319" s="80"/>
      <c r="L1319" s="379"/>
      <c r="M1319" s="79"/>
      <c r="N1319" s="80"/>
      <c r="O1319" s="211"/>
      <c r="P1319" s="80"/>
      <c r="Q1319" s="80"/>
      <c r="R1319" s="426" t="e">
        <f>Q1319/P1319*100</f>
        <v>#DIV/0!</v>
      </c>
    </row>
    <row r="1320" spans="1:18" s="105" customFormat="1" ht="15.75" customHeight="1">
      <c r="A1320" s="111">
        <v>4260</v>
      </c>
      <c r="B1320" s="262" t="s">
        <v>485</v>
      </c>
      <c r="C1320" s="79">
        <v>13000</v>
      </c>
      <c r="D1320" s="65">
        <f t="shared" si="163"/>
        <v>20000</v>
      </c>
      <c r="E1320" s="80">
        <f t="shared" si="170"/>
        <v>10495</v>
      </c>
      <c r="F1320" s="479">
        <f t="shared" si="162"/>
        <v>52.47500000000001</v>
      </c>
      <c r="G1320" s="79">
        <f>13000+7000</f>
        <v>20000</v>
      </c>
      <c r="H1320" s="80">
        <v>10495</v>
      </c>
      <c r="I1320" s="350">
        <f>H1320/G1320*100</f>
        <v>52.47500000000001</v>
      </c>
      <c r="J1320" s="113"/>
      <c r="K1320" s="80"/>
      <c r="L1320" s="379"/>
      <c r="M1320" s="79"/>
      <c r="N1320" s="80"/>
      <c r="O1320" s="211"/>
      <c r="P1320" s="80"/>
      <c r="Q1320" s="80"/>
      <c r="R1320" s="426"/>
    </row>
    <row r="1321" spans="1:18" s="105" customFormat="1" ht="15.75" customHeight="1">
      <c r="A1321" s="111">
        <v>4270</v>
      </c>
      <c r="B1321" s="262" t="s">
        <v>487</v>
      </c>
      <c r="C1321" s="79">
        <v>4000</v>
      </c>
      <c r="D1321" s="65">
        <f t="shared" si="163"/>
        <v>4000</v>
      </c>
      <c r="E1321" s="80">
        <f t="shared" si="170"/>
        <v>0</v>
      </c>
      <c r="F1321" s="479">
        <f t="shared" si="162"/>
        <v>0</v>
      </c>
      <c r="G1321" s="79">
        <v>4000</v>
      </c>
      <c r="H1321" s="80"/>
      <c r="I1321" s="350">
        <f>H1321/G1321*100</f>
        <v>0</v>
      </c>
      <c r="J1321" s="113"/>
      <c r="K1321" s="80"/>
      <c r="L1321" s="379"/>
      <c r="M1321" s="79"/>
      <c r="N1321" s="80"/>
      <c r="O1321" s="211"/>
      <c r="P1321" s="80"/>
      <c r="Q1321" s="80"/>
      <c r="R1321" s="211"/>
    </row>
    <row r="1322" spans="1:18" s="105" customFormat="1" ht="15.75" customHeight="1">
      <c r="A1322" s="111">
        <v>4300</v>
      </c>
      <c r="B1322" s="276" t="s">
        <v>522</v>
      </c>
      <c r="C1322" s="79">
        <v>3500</v>
      </c>
      <c r="D1322" s="65">
        <f>G1322+J1322+P1322+M1322</f>
        <v>6500</v>
      </c>
      <c r="E1322" s="80">
        <f>SUM(H1322+K1322+N1322+Q1322)</f>
        <v>5035</v>
      </c>
      <c r="F1322" s="479">
        <f>E1322/D1322*100</f>
        <v>77.46153846153845</v>
      </c>
      <c r="G1322" s="79">
        <f>3500+3000</f>
        <v>6500</v>
      </c>
      <c r="H1322" s="80">
        <v>5035</v>
      </c>
      <c r="I1322" s="350">
        <f>H1322/G1322*100</f>
        <v>77.46153846153845</v>
      </c>
      <c r="J1322" s="113"/>
      <c r="K1322" s="80"/>
      <c r="L1322" s="379"/>
      <c r="M1322" s="79"/>
      <c r="N1322" s="80"/>
      <c r="O1322" s="211"/>
      <c r="P1322" s="80"/>
      <c r="Q1322" s="80"/>
      <c r="R1322" s="426"/>
    </row>
    <row r="1323" spans="1:18" s="105" customFormat="1" ht="24">
      <c r="A1323" s="159">
        <v>4400</v>
      </c>
      <c r="B1323" s="326" t="s">
        <v>287</v>
      </c>
      <c r="C1323" s="79">
        <v>6100</v>
      </c>
      <c r="D1323" s="65">
        <f>G1323+J1323+P1323+M1323</f>
        <v>6100</v>
      </c>
      <c r="E1323" s="80">
        <f>SUM(H1323+K1323+N1323+Q1323)</f>
        <v>2737</v>
      </c>
      <c r="F1323" s="479">
        <f>E1323/D1323*100</f>
        <v>44.868852459016395</v>
      </c>
      <c r="G1323" s="79">
        <v>6100</v>
      </c>
      <c r="H1323" s="80">
        <v>2737</v>
      </c>
      <c r="I1323" s="350">
        <f>H1323/G1323*100</f>
        <v>44.868852459016395</v>
      </c>
      <c r="J1323" s="113"/>
      <c r="K1323" s="80"/>
      <c r="L1323" s="379"/>
      <c r="M1323" s="79"/>
      <c r="N1323" s="80"/>
      <c r="O1323" s="211"/>
      <c r="P1323" s="80"/>
      <c r="Q1323" s="80"/>
      <c r="R1323" s="211"/>
    </row>
    <row r="1324" spans="1:18" s="105" customFormat="1" ht="60" hidden="1">
      <c r="A1324" s="159">
        <v>4740</v>
      </c>
      <c r="B1324" s="326" t="s">
        <v>288</v>
      </c>
      <c r="C1324" s="79"/>
      <c r="D1324" s="65">
        <f>G1324+J1324+P1324+M1324</f>
        <v>0</v>
      </c>
      <c r="E1324" s="80">
        <f>SUM(H1324+K1324+N1324+Q1324)</f>
        <v>0</v>
      </c>
      <c r="F1324" s="479" t="e">
        <f>E1324/D1324*100</f>
        <v>#DIV/0!</v>
      </c>
      <c r="G1324" s="79"/>
      <c r="H1324" s="80"/>
      <c r="I1324" s="350"/>
      <c r="J1324" s="113"/>
      <c r="K1324" s="80"/>
      <c r="L1324" s="379"/>
      <c r="M1324" s="79"/>
      <c r="N1324" s="80"/>
      <c r="O1324" s="211"/>
      <c r="P1324" s="80"/>
      <c r="Q1324" s="80"/>
      <c r="R1324" s="426" t="e">
        <f>Q1324/P1324*100</f>
        <v>#DIV/0!</v>
      </c>
    </row>
    <row r="1325" spans="1:18" s="105" customFormat="1" ht="36" hidden="1">
      <c r="A1325" s="159">
        <v>4750</v>
      </c>
      <c r="B1325" s="326" t="s">
        <v>289</v>
      </c>
      <c r="C1325" s="147"/>
      <c r="D1325" s="148">
        <f t="shared" si="163"/>
        <v>0</v>
      </c>
      <c r="E1325" s="142">
        <f t="shared" si="170"/>
        <v>0</v>
      </c>
      <c r="F1325" s="512" t="e">
        <f aca="true" t="shared" si="171" ref="F1325:F1388">E1325/D1325*100</f>
        <v>#DIV/0!</v>
      </c>
      <c r="G1325" s="147"/>
      <c r="H1325" s="142"/>
      <c r="I1325" s="350"/>
      <c r="J1325" s="149"/>
      <c r="K1325" s="142"/>
      <c r="L1325" s="404"/>
      <c r="M1325" s="147"/>
      <c r="N1325" s="142"/>
      <c r="O1325" s="259"/>
      <c r="P1325" s="142"/>
      <c r="Q1325" s="142"/>
      <c r="R1325" s="426" t="e">
        <f>Q1325/P1325*100</f>
        <v>#DIV/0!</v>
      </c>
    </row>
    <row r="1326" spans="1:18" s="105" customFormat="1" ht="24" customHeight="1">
      <c r="A1326" s="106">
        <v>85226</v>
      </c>
      <c r="B1326" s="261" t="s">
        <v>86</v>
      </c>
      <c r="C1326" s="108">
        <f>SUM(C1327:C1345)</f>
        <v>374003</v>
      </c>
      <c r="D1326" s="86">
        <f t="shared" si="163"/>
        <v>374003</v>
      </c>
      <c r="E1326" s="75">
        <f>H1326+K1326+Q1326+N1326</f>
        <v>183078</v>
      </c>
      <c r="F1326" s="513">
        <f t="shared" si="171"/>
        <v>48.95094424376275</v>
      </c>
      <c r="G1326" s="133"/>
      <c r="H1326" s="136"/>
      <c r="I1326" s="360"/>
      <c r="J1326" s="135"/>
      <c r="K1326" s="136"/>
      <c r="L1326" s="395"/>
      <c r="M1326" s="75">
        <f>SUM(M1327:M1345)</f>
        <v>374003</v>
      </c>
      <c r="N1326" s="75">
        <f>SUM(N1327:N1345)</f>
        <v>183078</v>
      </c>
      <c r="O1326" s="432">
        <f aca="true" t="shared" si="172" ref="O1326:O1345">N1326/M1326*100</f>
        <v>48.95094424376275</v>
      </c>
      <c r="P1326" s="75">
        <f>SUM(P1327:P1346)</f>
        <v>0</v>
      </c>
      <c r="Q1326" s="75">
        <f>SUM(Q1327:Q1346)</f>
        <v>0</v>
      </c>
      <c r="R1326" s="301"/>
    </row>
    <row r="1327" spans="1:18" s="105" customFormat="1" ht="36">
      <c r="A1327" s="99">
        <v>3020</v>
      </c>
      <c r="B1327" s="272" t="s">
        <v>259</v>
      </c>
      <c r="C1327" s="81">
        <v>900</v>
      </c>
      <c r="D1327" s="94">
        <f t="shared" si="163"/>
        <v>900</v>
      </c>
      <c r="E1327" s="95">
        <f aca="true" t="shared" si="173" ref="E1327:E1353">SUM(H1327+K1327+N1327+Q1327)</f>
        <v>97</v>
      </c>
      <c r="F1327" s="514">
        <f t="shared" si="171"/>
        <v>10.777777777777779</v>
      </c>
      <c r="G1327" s="81"/>
      <c r="H1327" s="95"/>
      <c r="I1327" s="353"/>
      <c r="J1327" s="187"/>
      <c r="K1327" s="95"/>
      <c r="L1327" s="403"/>
      <c r="M1327" s="81">
        <v>900</v>
      </c>
      <c r="N1327" s="95">
        <v>97</v>
      </c>
      <c r="O1327" s="448">
        <f t="shared" si="172"/>
        <v>10.777777777777779</v>
      </c>
      <c r="P1327" s="95"/>
      <c r="Q1327" s="95"/>
      <c r="R1327" s="289"/>
    </row>
    <row r="1328" spans="1:18" s="105" customFormat="1" ht="24" customHeight="1">
      <c r="A1328" s="111">
        <v>4010</v>
      </c>
      <c r="B1328" s="262" t="s">
        <v>647</v>
      </c>
      <c r="C1328" s="79">
        <v>249723</v>
      </c>
      <c r="D1328" s="65">
        <f t="shared" si="163"/>
        <v>249723</v>
      </c>
      <c r="E1328" s="80">
        <f t="shared" si="173"/>
        <v>117190</v>
      </c>
      <c r="F1328" s="479">
        <f t="shared" si="171"/>
        <v>46.927996219811554</v>
      </c>
      <c r="G1328" s="79"/>
      <c r="H1328" s="80"/>
      <c r="I1328" s="350"/>
      <c r="J1328" s="113"/>
      <c r="K1328" s="80"/>
      <c r="L1328" s="379"/>
      <c r="M1328" s="79">
        <v>249723</v>
      </c>
      <c r="N1328" s="80">
        <v>117190</v>
      </c>
      <c r="O1328" s="426">
        <f t="shared" si="172"/>
        <v>46.927996219811554</v>
      </c>
      <c r="P1328" s="80"/>
      <c r="Q1328" s="80"/>
      <c r="R1328" s="211"/>
    </row>
    <row r="1329" spans="1:18" s="105" customFormat="1" ht="26.25" customHeight="1">
      <c r="A1329" s="111">
        <v>4040</v>
      </c>
      <c r="B1329" s="262" t="s">
        <v>475</v>
      </c>
      <c r="C1329" s="79">
        <v>19100</v>
      </c>
      <c r="D1329" s="65">
        <f t="shared" si="163"/>
        <v>19100</v>
      </c>
      <c r="E1329" s="80">
        <f t="shared" si="173"/>
        <v>19099</v>
      </c>
      <c r="F1329" s="479">
        <f t="shared" si="171"/>
        <v>99.99476439790575</v>
      </c>
      <c r="G1329" s="79"/>
      <c r="H1329" s="80"/>
      <c r="I1329" s="350"/>
      <c r="J1329" s="113"/>
      <c r="K1329" s="80"/>
      <c r="L1329" s="379"/>
      <c r="M1329" s="79">
        <v>19100</v>
      </c>
      <c r="N1329" s="80">
        <v>19099</v>
      </c>
      <c r="O1329" s="426">
        <f t="shared" si="172"/>
        <v>99.99476439790575</v>
      </c>
      <c r="P1329" s="80"/>
      <c r="Q1329" s="80"/>
      <c r="R1329" s="211"/>
    </row>
    <row r="1330" spans="1:18" s="105" customFormat="1" ht="24" customHeight="1">
      <c r="A1330" s="111">
        <v>4110</v>
      </c>
      <c r="B1330" s="262" t="s">
        <v>477</v>
      </c>
      <c r="C1330" s="79">
        <v>43700</v>
      </c>
      <c r="D1330" s="65">
        <f aca="true" t="shared" si="174" ref="D1330:D1409">G1330+J1330+P1330+M1330</f>
        <v>43700</v>
      </c>
      <c r="E1330" s="80">
        <f t="shared" si="173"/>
        <v>20695</v>
      </c>
      <c r="F1330" s="479">
        <f t="shared" si="171"/>
        <v>47.35697940503433</v>
      </c>
      <c r="G1330" s="79"/>
      <c r="H1330" s="80"/>
      <c r="I1330" s="350"/>
      <c r="J1330" s="113"/>
      <c r="K1330" s="80"/>
      <c r="L1330" s="379"/>
      <c r="M1330" s="79">
        <v>43700</v>
      </c>
      <c r="N1330" s="80">
        <v>20695</v>
      </c>
      <c r="O1330" s="426">
        <f t="shared" si="172"/>
        <v>47.35697940503433</v>
      </c>
      <c r="P1330" s="80"/>
      <c r="Q1330" s="80"/>
      <c r="R1330" s="211"/>
    </row>
    <row r="1331" spans="1:18" s="105" customFormat="1" ht="16.5" customHeight="1">
      <c r="A1331" s="111">
        <v>4120</v>
      </c>
      <c r="B1331" s="262" t="s">
        <v>547</v>
      </c>
      <c r="C1331" s="79">
        <v>6700</v>
      </c>
      <c r="D1331" s="65">
        <f t="shared" si="174"/>
        <v>6700</v>
      </c>
      <c r="E1331" s="80">
        <f t="shared" si="173"/>
        <v>3316</v>
      </c>
      <c r="F1331" s="479">
        <f t="shared" si="171"/>
        <v>49.49253731343284</v>
      </c>
      <c r="G1331" s="79"/>
      <c r="H1331" s="80"/>
      <c r="I1331" s="350"/>
      <c r="J1331" s="113"/>
      <c r="K1331" s="80"/>
      <c r="L1331" s="379"/>
      <c r="M1331" s="79">
        <v>6700</v>
      </c>
      <c r="N1331" s="80">
        <v>3316</v>
      </c>
      <c r="O1331" s="426">
        <f t="shared" si="172"/>
        <v>49.49253731343284</v>
      </c>
      <c r="P1331" s="80"/>
      <c r="Q1331" s="80"/>
      <c r="R1331" s="211"/>
    </row>
    <row r="1332" spans="1:18" s="105" customFormat="1" ht="24">
      <c r="A1332" s="111">
        <v>4170</v>
      </c>
      <c r="B1332" s="262" t="s">
        <v>511</v>
      </c>
      <c r="C1332" s="79">
        <v>4000</v>
      </c>
      <c r="D1332" s="65">
        <f t="shared" si="174"/>
        <v>4000</v>
      </c>
      <c r="E1332" s="80">
        <f t="shared" si="173"/>
        <v>1943</v>
      </c>
      <c r="F1332" s="479">
        <f t="shared" si="171"/>
        <v>48.575</v>
      </c>
      <c r="G1332" s="79"/>
      <c r="H1332" s="80"/>
      <c r="I1332" s="350"/>
      <c r="J1332" s="113"/>
      <c r="K1332" s="80"/>
      <c r="L1332" s="379"/>
      <c r="M1332" s="79">
        <v>4000</v>
      </c>
      <c r="N1332" s="80">
        <v>1943</v>
      </c>
      <c r="O1332" s="426">
        <f t="shared" si="172"/>
        <v>48.575</v>
      </c>
      <c r="P1332" s="80"/>
      <c r="Q1332" s="80"/>
      <c r="R1332" s="211"/>
    </row>
    <row r="1333" spans="1:18" s="105" customFormat="1" ht="23.25" customHeight="1">
      <c r="A1333" s="111">
        <v>4210</v>
      </c>
      <c r="B1333" s="262" t="s">
        <v>481</v>
      </c>
      <c r="C1333" s="79">
        <v>5000</v>
      </c>
      <c r="D1333" s="65">
        <f t="shared" si="174"/>
        <v>5000</v>
      </c>
      <c r="E1333" s="80">
        <f t="shared" si="173"/>
        <v>1518</v>
      </c>
      <c r="F1333" s="479">
        <f t="shared" si="171"/>
        <v>30.36</v>
      </c>
      <c r="G1333" s="79"/>
      <c r="H1333" s="80"/>
      <c r="I1333" s="350"/>
      <c r="J1333" s="113"/>
      <c r="K1333" s="80"/>
      <c r="L1333" s="379"/>
      <c r="M1333" s="79">
        <v>5000</v>
      </c>
      <c r="N1333" s="80">
        <v>1518</v>
      </c>
      <c r="O1333" s="426">
        <f t="shared" si="172"/>
        <v>30.36</v>
      </c>
      <c r="P1333" s="80"/>
      <c r="Q1333" s="80"/>
      <c r="R1333" s="211"/>
    </row>
    <row r="1334" spans="1:18" s="105" customFormat="1" ht="24">
      <c r="A1334" s="145">
        <v>4240</v>
      </c>
      <c r="B1334" s="263" t="s">
        <v>641</v>
      </c>
      <c r="C1334" s="147">
        <v>1000</v>
      </c>
      <c r="D1334" s="148">
        <f t="shared" si="174"/>
        <v>1000</v>
      </c>
      <c r="E1334" s="142">
        <f t="shared" si="173"/>
        <v>0</v>
      </c>
      <c r="F1334" s="512">
        <f t="shared" si="171"/>
        <v>0</v>
      </c>
      <c r="G1334" s="147"/>
      <c r="H1334" s="142"/>
      <c r="I1334" s="354"/>
      <c r="J1334" s="149"/>
      <c r="K1334" s="142"/>
      <c r="L1334" s="404"/>
      <c r="M1334" s="147">
        <v>1000</v>
      </c>
      <c r="N1334" s="142"/>
      <c r="O1334" s="446">
        <f t="shared" si="172"/>
        <v>0</v>
      </c>
      <c r="P1334" s="142"/>
      <c r="Q1334" s="142"/>
      <c r="R1334" s="259"/>
    </row>
    <row r="1335" spans="1:18" s="105" customFormat="1" ht="15" customHeight="1">
      <c r="A1335" s="111">
        <v>4260</v>
      </c>
      <c r="B1335" s="262" t="s">
        <v>485</v>
      </c>
      <c r="C1335" s="79">
        <v>6000</v>
      </c>
      <c r="D1335" s="65">
        <f t="shared" si="174"/>
        <v>6000</v>
      </c>
      <c r="E1335" s="80">
        <f t="shared" si="173"/>
        <v>3742</v>
      </c>
      <c r="F1335" s="479">
        <f t="shared" si="171"/>
        <v>62.36666666666667</v>
      </c>
      <c r="G1335" s="79"/>
      <c r="H1335" s="80"/>
      <c r="I1335" s="350"/>
      <c r="J1335" s="113"/>
      <c r="K1335" s="80"/>
      <c r="L1335" s="379"/>
      <c r="M1335" s="79">
        <v>6000</v>
      </c>
      <c r="N1335" s="80">
        <v>3742</v>
      </c>
      <c r="O1335" s="426">
        <f t="shared" si="172"/>
        <v>62.36666666666667</v>
      </c>
      <c r="P1335" s="80"/>
      <c r="Q1335" s="80"/>
      <c r="R1335" s="211"/>
    </row>
    <row r="1336" spans="1:18" s="105" customFormat="1" ht="15" customHeight="1">
      <c r="A1336" s="111">
        <v>4270</v>
      </c>
      <c r="B1336" s="262" t="s">
        <v>487</v>
      </c>
      <c r="C1336" s="79">
        <v>1000</v>
      </c>
      <c r="D1336" s="65">
        <f t="shared" si="174"/>
        <v>1000</v>
      </c>
      <c r="E1336" s="80">
        <f>SUM(H1336+K1336+N1336+Q1336)</f>
        <v>0</v>
      </c>
      <c r="F1336" s="479"/>
      <c r="G1336" s="79"/>
      <c r="H1336" s="80"/>
      <c r="I1336" s="350"/>
      <c r="J1336" s="113"/>
      <c r="K1336" s="80"/>
      <c r="L1336" s="379"/>
      <c r="M1336" s="79">
        <v>1000</v>
      </c>
      <c r="N1336" s="80"/>
      <c r="O1336" s="426">
        <f t="shared" si="172"/>
        <v>0</v>
      </c>
      <c r="P1336" s="80"/>
      <c r="Q1336" s="80"/>
      <c r="R1336" s="211"/>
    </row>
    <row r="1337" spans="1:18" s="105" customFormat="1" ht="15" customHeight="1">
      <c r="A1337" s="111">
        <v>4280</v>
      </c>
      <c r="B1337" s="262" t="s">
        <v>520</v>
      </c>
      <c r="C1337" s="79">
        <v>700</v>
      </c>
      <c r="D1337" s="65">
        <f t="shared" si="174"/>
        <v>700</v>
      </c>
      <c r="E1337" s="80">
        <f t="shared" si="173"/>
        <v>70</v>
      </c>
      <c r="F1337" s="479">
        <f t="shared" si="171"/>
        <v>10</v>
      </c>
      <c r="G1337" s="79"/>
      <c r="H1337" s="80"/>
      <c r="I1337" s="350"/>
      <c r="J1337" s="113"/>
      <c r="K1337" s="80"/>
      <c r="L1337" s="379"/>
      <c r="M1337" s="79">
        <v>700</v>
      </c>
      <c r="N1337" s="80">
        <v>70</v>
      </c>
      <c r="O1337" s="426">
        <f t="shared" si="172"/>
        <v>10</v>
      </c>
      <c r="P1337" s="80"/>
      <c r="Q1337" s="80"/>
      <c r="R1337" s="211"/>
    </row>
    <row r="1338" spans="1:18" s="105" customFormat="1" ht="16.5" customHeight="1">
      <c r="A1338" s="111">
        <v>4300</v>
      </c>
      <c r="B1338" s="262" t="s">
        <v>489</v>
      </c>
      <c r="C1338" s="79">
        <v>12000</v>
      </c>
      <c r="D1338" s="65">
        <f t="shared" si="174"/>
        <v>12000</v>
      </c>
      <c r="E1338" s="80">
        <f t="shared" si="173"/>
        <v>5374</v>
      </c>
      <c r="F1338" s="479">
        <f t="shared" si="171"/>
        <v>44.78333333333334</v>
      </c>
      <c r="G1338" s="79"/>
      <c r="H1338" s="80"/>
      <c r="I1338" s="350"/>
      <c r="J1338" s="113"/>
      <c r="K1338" s="80"/>
      <c r="L1338" s="379"/>
      <c r="M1338" s="79">
        <v>12000</v>
      </c>
      <c r="N1338" s="80">
        <v>5374</v>
      </c>
      <c r="O1338" s="426">
        <f t="shared" si="172"/>
        <v>44.78333333333334</v>
      </c>
      <c r="P1338" s="80"/>
      <c r="Q1338" s="80"/>
      <c r="R1338" s="211"/>
    </row>
    <row r="1339" spans="1:18" s="105" customFormat="1" ht="24">
      <c r="A1339" s="111">
        <v>4350</v>
      </c>
      <c r="B1339" s="262" t="s">
        <v>7</v>
      </c>
      <c r="C1339" s="79">
        <v>1500</v>
      </c>
      <c r="D1339" s="65">
        <f t="shared" si="174"/>
        <v>1500</v>
      </c>
      <c r="E1339" s="80">
        <f t="shared" si="173"/>
        <v>509</v>
      </c>
      <c r="F1339" s="479">
        <f t="shared" si="171"/>
        <v>33.93333333333333</v>
      </c>
      <c r="G1339" s="79"/>
      <c r="H1339" s="80"/>
      <c r="I1339" s="350"/>
      <c r="J1339" s="113"/>
      <c r="K1339" s="80"/>
      <c r="L1339" s="379"/>
      <c r="M1339" s="79">
        <v>1500</v>
      </c>
      <c r="N1339" s="80">
        <v>509</v>
      </c>
      <c r="O1339" s="426">
        <f t="shared" si="172"/>
        <v>33.93333333333333</v>
      </c>
      <c r="P1339" s="80"/>
      <c r="Q1339" s="80"/>
      <c r="R1339" s="211"/>
    </row>
    <row r="1340" spans="1:18" s="105" customFormat="1" ht="40.5" customHeight="1">
      <c r="A1340" s="159">
        <v>4370</v>
      </c>
      <c r="B1340" s="326" t="s">
        <v>296</v>
      </c>
      <c r="C1340" s="79">
        <v>6000</v>
      </c>
      <c r="D1340" s="65">
        <f t="shared" si="174"/>
        <v>6000</v>
      </c>
      <c r="E1340" s="80">
        <f t="shared" si="173"/>
        <v>1444</v>
      </c>
      <c r="F1340" s="479">
        <f t="shared" si="171"/>
        <v>24.066666666666666</v>
      </c>
      <c r="G1340" s="79"/>
      <c r="H1340" s="80"/>
      <c r="I1340" s="350"/>
      <c r="J1340" s="113"/>
      <c r="K1340" s="80"/>
      <c r="L1340" s="379"/>
      <c r="M1340" s="79">
        <v>6000</v>
      </c>
      <c r="N1340" s="80">
        <v>1444</v>
      </c>
      <c r="O1340" s="426">
        <f t="shared" si="172"/>
        <v>24.066666666666666</v>
      </c>
      <c r="P1340" s="80"/>
      <c r="Q1340" s="80"/>
      <c r="R1340" s="211"/>
    </row>
    <row r="1341" spans="1:18" s="105" customFormat="1" ht="14.25" customHeight="1">
      <c r="A1341" s="111">
        <v>4410</v>
      </c>
      <c r="B1341" s="262" t="s">
        <v>87</v>
      </c>
      <c r="C1341" s="79">
        <v>3000</v>
      </c>
      <c r="D1341" s="65">
        <f t="shared" si="174"/>
        <v>3000</v>
      </c>
      <c r="E1341" s="80">
        <f t="shared" si="173"/>
        <v>1198</v>
      </c>
      <c r="F1341" s="479">
        <f t="shared" si="171"/>
        <v>39.93333333333333</v>
      </c>
      <c r="G1341" s="79"/>
      <c r="H1341" s="80"/>
      <c r="I1341" s="350"/>
      <c r="J1341" s="113"/>
      <c r="K1341" s="80"/>
      <c r="L1341" s="379"/>
      <c r="M1341" s="79">
        <v>3000</v>
      </c>
      <c r="N1341" s="80">
        <v>1198</v>
      </c>
      <c r="O1341" s="426">
        <f t="shared" si="172"/>
        <v>39.93333333333333</v>
      </c>
      <c r="P1341" s="80"/>
      <c r="Q1341" s="80"/>
      <c r="R1341" s="211"/>
    </row>
    <row r="1342" spans="1:18" s="105" customFormat="1" ht="14.25" customHeight="1">
      <c r="A1342" s="111">
        <v>4440</v>
      </c>
      <c r="B1342" s="276" t="s">
        <v>652</v>
      </c>
      <c r="C1342" s="79">
        <v>6680</v>
      </c>
      <c r="D1342" s="65">
        <f t="shared" si="174"/>
        <v>6680</v>
      </c>
      <c r="E1342" s="80">
        <f t="shared" si="173"/>
        <v>5010</v>
      </c>
      <c r="F1342" s="479">
        <f t="shared" si="171"/>
        <v>75</v>
      </c>
      <c r="G1342" s="79"/>
      <c r="H1342" s="80"/>
      <c r="I1342" s="350"/>
      <c r="J1342" s="113"/>
      <c r="K1342" s="80"/>
      <c r="L1342" s="379"/>
      <c r="M1342" s="79">
        <v>6680</v>
      </c>
      <c r="N1342" s="80">
        <v>5010</v>
      </c>
      <c r="O1342" s="426">
        <f t="shared" si="172"/>
        <v>75</v>
      </c>
      <c r="P1342" s="80"/>
      <c r="Q1342" s="80"/>
      <c r="R1342" s="211"/>
    </row>
    <row r="1343" spans="1:18" s="105" customFormat="1" ht="36">
      <c r="A1343" s="159">
        <v>4700</v>
      </c>
      <c r="B1343" s="326" t="s">
        <v>284</v>
      </c>
      <c r="C1343" s="79">
        <v>2000</v>
      </c>
      <c r="D1343" s="65">
        <f t="shared" si="174"/>
        <v>2000</v>
      </c>
      <c r="E1343" s="80">
        <f t="shared" si="173"/>
        <v>900</v>
      </c>
      <c r="F1343" s="479">
        <f t="shared" si="171"/>
        <v>45</v>
      </c>
      <c r="G1343" s="79"/>
      <c r="H1343" s="80"/>
      <c r="I1343" s="350"/>
      <c r="J1343" s="113"/>
      <c r="K1343" s="80"/>
      <c r="L1343" s="379"/>
      <c r="M1343" s="79">
        <v>2000</v>
      </c>
      <c r="N1343" s="80">
        <v>900</v>
      </c>
      <c r="O1343" s="426">
        <f t="shared" si="172"/>
        <v>45</v>
      </c>
      <c r="P1343" s="80"/>
      <c r="Q1343" s="80"/>
      <c r="R1343" s="211"/>
    </row>
    <row r="1344" spans="1:18" s="105" customFormat="1" ht="51.75" customHeight="1">
      <c r="A1344" s="159">
        <v>4740</v>
      </c>
      <c r="B1344" s="326" t="s">
        <v>288</v>
      </c>
      <c r="C1344" s="79">
        <v>3000</v>
      </c>
      <c r="D1344" s="65">
        <f t="shared" si="174"/>
        <v>3000</v>
      </c>
      <c r="E1344" s="80">
        <f t="shared" si="173"/>
        <v>0</v>
      </c>
      <c r="F1344" s="479">
        <f t="shared" si="171"/>
        <v>0</v>
      </c>
      <c r="G1344" s="79"/>
      <c r="H1344" s="80"/>
      <c r="I1344" s="350"/>
      <c r="J1344" s="113"/>
      <c r="K1344" s="80"/>
      <c r="L1344" s="379"/>
      <c r="M1344" s="79">
        <v>3000</v>
      </c>
      <c r="N1344" s="80"/>
      <c r="O1344" s="426">
        <f t="shared" si="172"/>
        <v>0</v>
      </c>
      <c r="P1344" s="80"/>
      <c r="Q1344" s="80"/>
      <c r="R1344" s="211"/>
    </row>
    <row r="1345" spans="1:18" s="105" customFormat="1" ht="36">
      <c r="A1345" s="159">
        <v>4750</v>
      </c>
      <c r="B1345" s="326" t="s">
        <v>289</v>
      </c>
      <c r="C1345" s="79">
        <v>2000</v>
      </c>
      <c r="D1345" s="65">
        <f t="shared" si="174"/>
        <v>2000</v>
      </c>
      <c r="E1345" s="80">
        <f t="shared" si="173"/>
        <v>973</v>
      </c>
      <c r="F1345" s="479">
        <f t="shared" si="171"/>
        <v>48.65</v>
      </c>
      <c r="G1345" s="79"/>
      <c r="H1345" s="80"/>
      <c r="I1345" s="350"/>
      <c r="J1345" s="113"/>
      <c r="K1345" s="80"/>
      <c r="L1345" s="379"/>
      <c r="M1345" s="79">
        <v>2000</v>
      </c>
      <c r="N1345" s="80">
        <v>973</v>
      </c>
      <c r="O1345" s="426">
        <f t="shared" si="172"/>
        <v>48.65</v>
      </c>
      <c r="P1345" s="80"/>
      <c r="Q1345" s="80"/>
      <c r="R1345" s="211"/>
    </row>
    <row r="1346" spans="1:18" s="534" customFormat="1" ht="121.5" hidden="1">
      <c r="A1346" s="540"/>
      <c r="B1346" s="546" t="s">
        <v>671</v>
      </c>
      <c r="C1346" s="214"/>
      <c r="D1346" s="215">
        <f t="shared" si="174"/>
        <v>0</v>
      </c>
      <c r="E1346" s="215">
        <f t="shared" si="173"/>
        <v>0</v>
      </c>
      <c r="F1346" s="479" t="e">
        <f t="shared" si="171"/>
        <v>#DIV/0!</v>
      </c>
      <c r="G1346" s="214"/>
      <c r="H1346" s="215"/>
      <c r="I1346" s="544"/>
      <c r="J1346" s="216"/>
      <c r="K1346" s="215"/>
      <c r="L1346" s="547"/>
      <c r="M1346" s="216"/>
      <c r="N1346" s="215"/>
      <c r="O1346" s="543"/>
      <c r="P1346" s="215">
        <f>SUM(P1347:P1354)</f>
        <v>0</v>
      </c>
      <c r="Q1346" s="215">
        <f>SUM(Q1347:Q1354)</f>
        <v>0</v>
      </c>
      <c r="R1346" s="211" t="e">
        <f>Q1346/P1346*100</f>
        <v>#DIV/0!</v>
      </c>
    </row>
    <row r="1347" spans="1:18" s="105" customFormat="1" ht="24" hidden="1">
      <c r="A1347" s="111">
        <v>4110</v>
      </c>
      <c r="B1347" s="262" t="s">
        <v>477</v>
      </c>
      <c r="C1347" s="79"/>
      <c r="D1347" s="65">
        <f t="shared" si="174"/>
        <v>0</v>
      </c>
      <c r="E1347" s="80">
        <f t="shared" si="173"/>
        <v>0</v>
      </c>
      <c r="F1347" s="479" t="e">
        <f t="shared" si="171"/>
        <v>#DIV/0!</v>
      </c>
      <c r="G1347" s="79"/>
      <c r="H1347" s="80"/>
      <c r="I1347" s="350"/>
      <c r="J1347" s="113"/>
      <c r="K1347" s="80"/>
      <c r="L1347" s="379"/>
      <c r="M1347" s="113"/>
      <c r="N1347" s="80"/>
      <c r="O1347" s="426"/>
      <c r="P1347" s="80">
        <f>1050-1050</f>
        <v>0</v>
      </c>
      <c r="Q1347" s="80"/>
      <c r="R1347" s="211" t="e">
        <f>Q1347/P1347*100</f>
        <v>#DIV/0!</v>
      </c>
    </row>
    <row r="1348" spans="1:18" s="105" customFormat="1" ht="12.75" hidden="1">
      <c r="A1348" s="111">
        <v>4120</v>
      </c>
      <c r="B1348" s="262" t="s">
        <v>547</v>
      </c>
      <c r="C1348" s="79"/>
      <c r="D1348" s="65">
        <f t="shared" si="174"/>
        <v>0</v>
      </c>
      <c r="E1348" s="80">
        <f t="shared" si="173"/>
        <v>0</v>
      </c>
      <c r="F1348" s="479" t="e">
        <f t="shared" si="171"/>
        <v>#DIV/0!</v>
      </c>
      <c r="G1348" s="79"/>
      <c r="H1348" s="80"/>
      <c r="I1348" s="350"/>
      <c r="J1348" s="113"/>
      <c r="K1348" s="80"/>
      <c r="L1348" s="379"/>
      <c r="M1348" s="113"/>
      <c r="N1348" s="80"/>
      <c r="O1348" s="426"/>
      <c r="P1348" s="80">
        <f>160-160</f>
        <v>0</v>
      </c>
      <c r="Q1348" s="80"/>
      <c r="R1348" s="211" t="e">
        <f aca="true" t="shared" si="175" ref="R1348:R1353">Q1348/P1348*100</f>
        <v>#DIV/0!</v>
      </c>
    </row>
    <row r="1349" spans="1:18" s="105" customFormat="1" ht="24" hidden="1">
      <c r="A1349" s="111">
        <v>4170</v>
      </c>
      <c r="B1349" s="262" t="s">
        <v>511</v>
      </c>
      <c r="C1349" s="79"/>
      <c r="D1349" s="65">
        <f t="shared" si="174"/>
        <v>0</v>
      </c>
      <c r="E1349" s="80">
        <f t="shared" si="173"/>
        <v>0</v>
      </c>
      <c r="F1349" s="479" t="e">
        <f t="shared" si="171"/>
        <v>#DIV/0!</v>
      </c>
      <c r="G1349" s="79"/>
      <c r="H1349" s="80"/>
      <c r="I1349" s="350"/>
      <c r="J1349" s="113"/>
      <c r="K1349" s="80"/>
      <c r="L1349" s="379"/>
      <c r="M1349" s="113"/>
      <c r="N1349" s="80"/>
      <c r="O1349" s="426"/>
      <c r="P1349" s="80">
        <f>6500-6500</f>
        <v>0</v>
      </c>
      <c r="Q1349" s="80"/>
      <c r="R1349" s="211" t="e">
        <f t="shared" si="175"/>
        <v>#DIV/0!</v>
      </c>
    </row>
    <row r="1350" spans="1:18" s="105" customFormat="1" ht="24" hidden="1">
      <c r="A1350" s="111">
        <v>4210</v>
      </c>
      <c r="B1350" s="262" t="s">
        <v>481</v>
      </c>
      <c r="C1350" s="79"/>
      <c r="D1350" s="65">
        <f t="shared" si="174"/>
        <v>0</v>
      </c>
      <c r="E1350" s="80">
        <f t="shared" si="173"/>
        <v>0</v>
      </c>
      <c r="F1350" s="479" t="e">
        <f t="shared" si="171"/>
        <v>#DIV/0!</v>
      </c>
      <c r="G1350" s="79"/>
      <c r="H1350" s="80"/>
      <c r="I1350" s="350"/>
      <c r="J1350" s="113"/>
      <c r="K1350" s="80"/>
      <c r="L1350" s="379"/>
      <c r="M1350" s="113"/>
      <c r="N1350" s="80"/>
      <c r="O1350" s="426"/>
      <c r="P1350" s="80">
        <f>2770-2770</f>
        <v>0</v>
      </c>
      <c r="Q1350" s="80"/>
      <c r="R1350" s="211" t="e">
        <f t="shared" si="175"/>
        <v>#DIV/0!</v>
      </c>
    </row>
    <row r="1351" spans="1:18" s="105" customFormat="1" ht="24" hidden="1">
      <c r="A1351" s="111">
        <v>4240</v>
      </c>
      <c r="B1351" s="262" t="s">
        <v>641</v>
      </c>
      <c r="C1351" s="79"/>
      <c r="D1351" s="65">
        <f t="shared" si="174"/>
        <v>0</v>
      </c>
      <c r="E1351" s="80">
        <f t="shared" si="173"/>
        <v>0</v>
      </c>
      <c r="F1351" s="479" t="e">
        <f t="shared" si="171"/>
        <v>#DIV/0!</v>
      </c>
      <c r="G1351" s="79"/>
      <c r="H1351" s="80"/>
      <c r="I1351" s="350"/>
      <c r="J1351" s="113"/>
      <c r="K1351" s="80"/>
      <c r="L1351" s="379"/>
      <c r="M1351" s="113"/>
      <c r="N1351" s="80"/>
      <c r="O1351" s="426"/>
      <c r="P1351" s="80">
        <f>600-600</f>
        <v>0</v>
      </c>
      <c r="Q1351" s="80"/>
      <c r="R1351" s="211" t="e">
        <f t="shared" si="175"/>
        <v>#DIV/0!</v>
      </c>
    </row>
    <row r="1352" spans="1:18" s="105" customFormat="1" ht="24" hidden="1">
      <c r="A1352" s="145">
        <v>4300</v>
      </c>
      <c r="B1352" s="263" t="s">
        <v>489</v>
      </c>
      <c r="C1352" s="147"/>
      <c r="D1352" s="148">
        <f t="shared" si="174"/>
        <v>0</v>
      </c>
      <c r="E1352" s="142">
        <f t="shared" si="173"/>
        <v>0</v>
      </c>
      <c r="F1352" s="512" t="e">
        <f t="shared" si="171"/>
        <v>#DIV/0!</v>
      </c>
      <c r="G1352" s="147"/>
      <c r="H1352" s="142"/>
      <c r="I1352" s="354"/>
      <c r="J1352" s="149"/>
      <c r="K1352" s="142"/>
      <c r="L1352" s="404"/>
      <c r="M1352" s="149"/>
      <c r="N1352" s="142"/>
      <c r="O1352" s="446"/>
      <c r="P1352" s="142">
        <f>300-300</f>
        <v>0</v>
      </c>
      <c r="Q1352" s="142"/>
      <c r="R1352" s="259" t="e">
        <f t="shared" si="175"/>
        <v>#DIV/0!</v>
      </c>
    </row>
    <row r="1353" spans="1:18" s="105" customFormat="1" ht="48" hidden="1">
      <c r="A1353" s="159">
        <v>4370</v>
      </c>
      <c r="B1353" s="326" t="s">
        <v>296</v>
      </c>
      <c r="C1353" s="79"/>
      <c r="D1353" s="65">
        <f t="shared" si="174"/>
        <v>0</v>
      </c>
      <c r="E1353" s="80">
        <f t="shared" si="173"/>
        <v>0</v>
      </c>
      <c r="F1353" s="479" t="e">
        <f t="shared" si="171"/>
        <v>#DIV/0!</v>
      </c>
      <c r="G1353" s="79"/>
      <c r="H1353" s="80"/>
      <c r="I1353" s="350"/>
      <c r="J1353" s="113"/>
      <c r="K1353" s="80"/>
      <c r="L1353" s="379"/>
      <c r="M1353" s="113"/>
      <c r="N1353" s="80"/>
      <c r="O1353" s="426"/>
      <c r="P1353" s="80">
        <f>450-450</f>
        <v>0</v>
      </c>
      <c r="Q1353" s="80"/>
      <c r="R1353" s="211" t="e">
        <f t="shared" si="175"/>
        <v>#DIV/0!</v>
      </c>
    </row>
    <row r="1354" spans="1:18" s="105" customFormat="1" ht="36" hidden="1">
      <c r="A1354" s="159">
        <v>4750</v>
      </c>
      <c r="B1354" s="326" t="s">
        <v>289</v>
      </c>
      <c r="C1354" s="79"/>
      <c r="D1354" s="65">
        <f>G1354+J1354+P1354+M1354</f>
        <v>0</v>
      </c>
      <c r="E1354" s="80">
        <f>SUM(H1354+K1354+N1354+Q1354)</f>
        <v>0</v>
      </c>
      <c r="F1354" s="479" t="e">
        <f>E1354/D1354*100</f>
        <v>#DIV/0!</v>
      </c>
      <c r="G1354" s="147"/>
      <c r="H1354" s="142"/>
      <c r="I1354" s="354"/>
      <c r="J1354" s="149"/>
      <c r="K1354" s="142"/>
      <c r="L1354" s="404"/>
      <c r="M1354" s="113"/>
      <c r="N1354" s="142"/>
      <c r="O1354" s="426"/>
      <c r="P1354" s="142">
        <f>1000-1000</f>
        <v>0</v>
      </c>
      <c r="Q1354" s="142"/>
      <c r="R1354" s="211" t="e">
        <f>Q1354/P1354*100</f>
        <v>#DIV/0!</v>
      </c>
    </row>
    <row r="1355" spans="1:18" ht="36">
      <c r="A1355" s="106">
        <v>85228</v>
      </c>
      <c r="B1355" s="261" t="s">
        <v>88</v>
      </c>
      <c r="C1355" s="108">
        <f>SUM(C1356:C1370)</f>
        <v>1246054</v>
      </c>
      <c r="D1355" s="86">
        <f t="shared" si="174"/>
        <v>1280054</v>
      </c>
      <c r="E1355" s="75">
        <f>H1355+K1355+Q1355+N1355</f>
        <v>649151</v>
      </c>
      <c r="F1355" s="513">
        <f t="shared" si="171"/>
        <v>50.712782429491256</v>
      </c>
      <c r="G1355" s="108">
        <f>SUM(G1356:G1370)</f>
        <v>1131054</v>
      </c>
      <c r="H1355" s="75">
        <f>SUM(H1356:H1370)</f>
        <v>586593</v>
      </c>
      <c r="I1355" s="402">
        <f aca="true" t="shared" si="176" ref="I1355:I1370">H1355/G1355*100</f>
        <v>51.862510543263184</v>
      </c>
      <c r="J1355" s="110">
        <f>SUM(J1356:J1370)</f>
        <v>149000</v>
      </c>
      <c r="K1355" s="75">
        <f>SUM(K1356:K1370)</f>
        <v>62558</v>
      </c>
      <c r="L1355" s="406">
        <f>K1355/J1355*100</f>
        <v>41.98523489932886</v>
      </c>
      <c r="M1355" s="75"/>
      <c r="N1355" s="75"/>
      <c r="O1355" s="369"/>
      <c r="P1355" s="75"/>
      <c r="Q1355" s="75"/>
      <c r="R1355" s="301"/>
    </row>
    <row r="1356" spans="1:18" s="105" customFormat="1" ht="36">
      <c r="A1356" s="111">
        <v>3020</v>
      </c>
      <c r="B1356" s="262" t="s">
        <v>259</v>
      </c>
      <c r="C1356" s="79">
        <v>10900</v>
      </c>
      <c r="D1356" s="65">
        <f t="shared" si="174"/>
        <v>10900</v>
      </c>
      <c r="E1356" s="80">
        <f aca="true" t="shared" si="177" ref="E1356:E1370">SUM(H1356+K1356+N1356+Q1356)</f>
        <v>6907</v>
      </c>
      <c r="F1356" s="479">
        <f t="shared" si="171"/>
        <v>63.36697247706422</v>
      </c>
      <c r="G1356" s="79">
        <v>10500</v>
      </c>
      <c r="H1356" s="80">
        <v>6788</v>
      </c>
      <c r="I1356" s="265">
        <f t="shared" si="176"/>
        <v>64.64761904761905</v>
      </c>
      <c r="J1356" s="113">
        <v>400</v>
      </c>
      <c r="K1356" s="80">
        <v>119</v>
      </c>
      <c r="L1356" s="379">
        <f aca="true" t="shared" si="178" ref="L1356:L1368">K1356/J1356*100</f>
        <v>29.75</v>
      </c>
      <c r="M1356" s="80"/>
      <c r="N1356" s="80"/>
      <c r="O1356" s="356"/>
      <c r="P1356" s="80"/>
      <c r="Q1356" s="80"/>
      <c r="R1356" s="211"/>
    </row>
    <row r="1357" spans="1:18" s="105" customFormat="1" ht="24">
      <c r="A1357" s="111">
        <v>4010</v>
      </c>
      <c r="B1357" s="262" t="s">
        <v>471</v>
      </c>
      <c r="C1357" s="79">
        <v>801941</v>
      </c>
      <c r="D1357" s="65">
        <f>G1357+J1357+P1357+M1357</f>
        <v>801941</v>
      </c>
      <c r="E1357" s="80">
        <f t="shared" si="177"/>
        <v>402815</v>
      </c>
      <c r="F1357" s="479">
        <f>E1357/D1357*100</f>
        <v>50.23000445169906</v>
      </c>
      <c r="G1357" s="79">
        <v>773077</v>
      </c>
      <c r="H1357" s="80">
        <v>388365</v>
      </c>
      <c r="I1357" s="452">
        <f t="shared" si="176"/>
        <v>50.23626365808321</v>
      </c>
      <c r="J1357" s="113">
        <v>28864</v>
      </c>
      <c r="K1357" s="80">
        <v>14450</v>
      </c>
      <c r="L1357" s="379">
        <f t="shared" si="178"/>
        <v>50.062361419068736</v>
      </c>
      <c r="M1357" s="80"/>
      <c r="N1357" s="80"/>
      <c r="O1357" s="356"/>
      <c r="P1357" s="80"/>
      <c r="Q1357" s="80"/>
      <c r="R1357" s="211"/>
    </row>
    <row r="1358" spans="1:18" s="105" customFormat="1" ht="24">
      <c r="A1358" s="111">
        <v>4040</v>
      </c>
      <c r="B1358" s="262" t="s">
        <v>475</v>
      </c>
      <c r="C1358" s="79">
        <v>63959</v>
      </c>
      <c r="D1358" s="65">
        <f>G1358+J1358+P1358+M1358</f>
        <v>63959</v>
      </c>
      <c r="E1358" s="80">
        <f>SUM(H1358+K1358+N1358+Q1358)</f>
        <v>52706</v>
      </c>
      <c r="F1358" s="479">
        <f>E1358/D1358*100</f>
        <v>82.40591629012336</v>
      </c>
      <c r="G1358" s="79">
        <v>61681</v>
      </c>
      <c r="H1358" s="80">
        <v>51091</v>
      </c>
      <c r="I1358" s="452">
        <f t="shared" si="176"/>
        <v>82.8310176553558</v>
      </c>
      <c r="J1358" s="113">
        <v>2278</v>
      </c>
      <c r="K1358" s="80">
        <v>1615</v>
      </c>
      <c r="L1358" s="379">
        <f t="shared" si="178"/>
        <v>70.8955223880597</v>
      </c>
      <c r="M1358" s="80"/>
      <c r="N1358" s="80"/>
      <c r="O1358" s="356"/>
      <c r="P1358" s="80"/>
      <c r="Q1358" s="80"/>
      <c r="R1358" s="211"/>
    </row>
    <row r="1359" spans="1:18" s="105" customFormat="1" ht="24">
      <c r="A1359" s="111">
        <v>4110</v>
      </c>
      <c r="B1359" s="262" t="s">
        <v>477</v>
      </c>
      <c r="C1359" s="79">
        <v>130789</v>
      </c>
      <c r="D1359" s="65">
        <f>G1359+J1359+P1359+M1359</f>
        <v>130789</v>
      </c>
      <c r="E1359" s="80">
        <f t="shared" si="177"/>
        <v>72220</v>
      </c>
      <c r="F1359" s="479">
        <f>E1359/D1359*100</f>
        <v>55.21871105368188</v>
      </c>
      <c r="G1359" s="79">
        <v>126131</v>
      </c>
      <c r="H1359" s="80">
        <v>69946</v>
      </c>
      <c r="I1359" s="452">
        <f t="shared" si="176"/>
        <v>55.455042772989984</v>
      </c>
      <c r="J1359" s="113">
        <v>4658</v>
      </c>
      <c r="K1359" s="80">
        <v>2274</v>
      </c>
      <c r="L1359" s="379">
        <f t="shared" si="178"/>
        <v>48.81923572348648</v>
      </c>
      <c r="M1359" s="80"/>
      <c r="N1359" s="80"/>
      <c r="O1359" s="356"/>
      <c r="P1359" s="80"/>
      <c r="Q1359" s="80"/>
      <c r="R1359" s="211"/>
    </row>
    <row r="1360" spans="1:18" s="105" customFormat="1" ht="14.25" customHeight="1">
      <c r="A1360" s="111">
        <v>4120</v>
      </c>
      <c r="B1360" s="262" t="s">
        <v>547</v>
      </c>
      <c r="C1360" s="79">
        <v>20002</v>
      </c>
      <c r="D1360" s="65">
        <f t="shared" si="174"/>
        <v>20002</v>
      </c>
      <c r="E1360" s="80">
        <f t="shared" si="177"/>
        <v>10512</v>
      </c>
      <c r="F1360" s="479">
        <f t="shared" si="171"/>
        <v>52.55474452554745</v>
      </c>
      <c r="G1360" s="79">
        <v>19290</v>
      </c>
      <c r="H1360" s="80">
        <v>10179</v>
      </c>
      <c r="I1360" s="452">
        <f t="shared" si="176"/>
        <v>52.76827371695178</v>
      </c>
      <c r="J1360" s="113">
        <v>712</v>
      </c>
      <c r="K1360" s="80">
        <v>333</v>
      </c>
      <c r="L1360" s="379">
        <f t="shared" si="178"/>
        <v>46.76966292134831</v>
      </c>
      <c r="M1360" s="80"/>
      <c r="N1360" s="80"/>
      <c r="O1360" s="356"/>
      <c r="P1360" s="80"/>
      <c r="Q1360" s="80"/>
      <c r="R1360" s="211"/>
    </row>
    <row r="1361" spans="1:18" s="105" customFormat="1" ht="24">
      <c r="A1361" s="111">
        <v>4170</v>
      </c>
      <c r="B1361" s="262" t="s">
        <v>511</v>
      </c>
      <c r="C1361" s="79">
        <v>121908</v>
      </c>
      <c r="D1361" s="65">
        <f t="shared" si="174"/>
        <v>126908</v>
      </c>
      <c r="E1361" s="80">
        <f t="shared" si="177"/>
        <v>55972</v>
      </c>
      <c r="F1361" s="479">
        <f t="shared" si="171"/>
        <v>44.104390582154004</v>
      </c>
      <c r="G1361" s="79">
        <f>35000+5000</f>
        <v>40000</v>
      </c>
      <c r="H1361" s="80">
        <v>20035</v>
      </c>
      <c r="I1361" s="452">
        <f t="shared" si="176"/>
        <v>50.0875</v>
      </c>
      <c r="J1361" s="113">
        <v>86908</v>
      </c>
      <c r="K1361" s="80">
        <v>35937</v>
      </c>
      <c r="L1361" s="379">
        <f t="shared" si="178"/>
        <v>41.35062364799558</v>
      </c>
      <c r="M1361" s="80"/>
      <c r="N1361" s="80"/>
      <c r="O1361" s="356"/>
      <c r="P1361" s="80"/>
      <c r="Q1361" s="80"/>
      <c r="R1361" s="211"/>
    </row>
    <row r="1362" spans="1:18" s="105" customFormat="1" ht="24">
      <c r="A1362" s="111">
        <v>4210</v>
      </c>
      <c r="B1362" s="262" t="s">
        <v>481</v>
      </c>
      <c r="C1362" s="79">
        <v>3000</v>
      </c>
      <c r="D1362" s="65">
        <f t="shared" si="174"/>
        <v>3000</v>
      </c>
      <c r="E1362" s="80">
        <f t="shared" si="177"/>
        <v>240</v>
      </c>
      <c r="F1362" s="479">
        <f t="shared" si="171"/>
        <v>8</v>
      </c>
      <c r="G1362" s="79">
        <v>3000</v>
      </c>
      <c r="H1362" s="80">
        <v>240</v>
      </c>
      <c r="I1362" s="452">
        <f t="shared" si="176"/>
        <v>8</v>
      </c>
      <c r="J1362" s="113"/>
      <c r="K1362" s="80"/>
      <c r="L1362" s="379"/>
      <c r="M1362" s="80"/>
      <c r="N1362" s="80"/>
      <c r="O1362" s="356"/>
      <c r="P1362" s="80"/>
      <c r="Q1362" s="80"/>
      <c r="R1362" s="211"/>
    </row>
    <row r="1363" spans="1:18" s="105" customFormat="1" ht="12.75">
      <c r="A1363" s="145">
        <v>4260</v>
      </c>
      <c r="B1363" s="263" t="s">
        <v>485</v>
      </c>
      <c r="C1363" s="147">
        <v>1000</v>
      </c>
      <c r="D1363" s="148">
        <f t="shared" si="174"/>
        <v>1000</v>
      </c>
      <c r="E1363" s="142">
        <f t="shared" si="177"/>
        <v>430</v>
      </c>
      <c r="F1363" s="512">
        <f t="shared" si="171"/>
        <v>43</v>
      </c>
      <c r="G1363" s="147">
        <v>1000</v>
      </c>
      <c r="H1363" s="142">
        <v>430</v>
      </c>
      <c r="I1363" s="453">
        <f t="shared" si="176"/>
        <v>43</v>
      </c>
      <c r="J1363" s="149"/>
      <c r="K1363" s="142"/>
      <c r="L1363" s="404"/>
      <c r="M1363" s="142"/>
      <c r="N1363" s="142"/>
      <c r="O1363" s="375"/>
      <c r="P1363" s="142"/>
      <c r="Q1363" s="142"/>
      <c r="R1363" s="259"/>
    </row>
    <row r="1364" spans="1:18" s="105" customFormat="1" ht="24">
      <c r="A1364" s="111">
        <v>4280</v>
      </c>
      <c r="B1364" s="262" t="s">
        <v>520</v>
      </c>
      <c r="C1364" s="79">
        <v>800</v>
      </c>
      <c r="D1364" s="65">
        <f t="shared" si="174"/>
        <v>800</v>
      </c>
      <c r="E1364" s="80">
        <f t="shared" si="177"/>
        <v>533</v>
      </c>
      <c r="F1364" s="479">
        <f t="shared" si="171"/>
        <v>66.625</v>
      </c>
      <c r="G1364" s="79">
        <v>800</v>
      </c>
      <c r="H1364" s="80">
        <v>533</v>
      </c>
      <c r="I1364" s="452">
        <f t="shared" si="176"/>
        <v>66.625</v>
      </c>
      <c r="J1364" s="113"/>
      <c r="K1364" s="80"/>
      <c r="L1364" s="379"/>
      <c r="M1364" s="80"/>
      <c r="N1364" s="80"/>
      <c r="O1364" s="356"/>
      <c r="P1364" s="80"/>
      <c r="Q1364" s="80"/>
      <c r="R1364" s="211"/>
    </row>
    <row r="1365" spans="1:18" s="105" customFormat="1" ht="18" customHeight="1">
      <c r="A1365" s="111">
        <v>4300</v>
      </c>
      <c r="B1365" s="262" t="s">
        <v>522</v>
      </c>
      <c r="C1365" s="79">
        <v>27600</v>
      </c>
      <c r="D1365" s="65">
        <f t="shared" si="174"/>
        <v>61600</v>
      </c>
      <c r="E1365" s="80">
        <f t="shared" si="177"/>
        <v>9387</v>
      </c>
      <c r="F1365" s="479">
        <f t="shared" si="171"/>
        <v>15.238636363636363</v>
      </c>
      <c r="G1365" s="79">
        <f>4000+34000</f>
        <v>38000</v>
      </c>
      <c r="H1365" s="80">
        <v>2237</v>
      </c>
      <c r="I1365" s="452">
        <f t="shared" si="176"/>
        <v>5.886842105263158</v>
      </c>
      <c r="J1365" s="113">
        <v>23600</v>
      </c>
      <c r="K1365" s="80">
        <v>7150</v>
      </c>
      <c r="L1365" s="379">
        <f t="shared" si="178"/>
        <v>30.29661016949153</v>
      </c>
      <c r="M1365" s="80"/>
      <c r="N1365" s="80"/>
      <c r="O1365" s="356"/>
      <c r="P1365" s="80"/>
      <c r="Q1365" s="80"/>
      <c r="R1365" s="211"/>
    </row>
    <row r="1366" spans="1:18" s="105" customFormat="1" ht="48" hidden="1">
      <c r="A1366" s="111">
        <v>4370</v>
      </c>
      <c r="B1366" s="262" t="s">
        <v>286</v>
      </c>
      <c r="C1366" s="79"/>
      <c r="D1366" s="65">
        <f>G1366+J1366+P1366+M1366</f>
        <v>0</v>
      </c>
      <c r="E1366" s="80">
        <f>SUM(H1366+K1366+N1366+Q1366)</f>
        <v>0</v>
      </c>
      <c r="F1366" s="479" t="e">
        <f>E1366/D1366*100</f>
        <v>#DIV/0!</v>
      </c>
      <c r="G1366" s="79"/>
      <c r="H1366" s="80"/>
      <c r="I1366" s="452" t="e">
        <f t="shared" si="176"/>
        <v>#DIV/0!</v>
      </c>
      <c r="J1366" s="113"/>
      <c r="K1366" s="80"/>
      <c r="L1366" s="379"/>
      <c r="M1366" s="80"/>
      <c r="N1366" s="80"/>
      <c r="O1366" s="356"/>
      <c r="P1366" s="80"/>
      <c r="Q1366" s="80"/>
      <c r="R1366" s="211"/>
    </row>
    <row r="1367" spans="1:18" s="105" customFormat="1" ht="17.25" customHeight="1">
      <c r="A1367" s="111">
        <v>4410</v>
      </c>
      <c r="B1367" s="262" t="s">
        <v>87</v>
      </c>
      <c r="C1367" s="79">
        <v>25600</v>
      </c>
      <c r="D1367" s="65">
        <f t="shared" si="174"/>
        <v>20600</v>
      </c>
      <c r="E1367" s="80">
        <f t="shared" si="177"/>
        <v>9638</v>
      </c>
      <c r="F1367" s="479">
        <f t="shared" si="171"/>
        <v>46.78640776699029</v>
      </c>
      <c r="G1367" s="79">
        <f>25000-5000</f>
        <v>20000</v>
      </c>
      <c r="H1367" s="80">
        <v>9638</v>
      </c>
      <c r="I1367" s="452">
        <f t="shared" si="176"/>
        <v>48.19</v>
      </c>
      <c r="J1367" s="113">
        <v>600</v>
      </c>
      <c r="K1367" s="80"/>
      <c r="L1367" s="379">
        <f t="shared" si="178"/>
        <v>0</v>
      </c>
      <c r="M1367" s="80"/>
      <c r="N1367" s="80"/>
      <c r="O1367" s="356"/>
      <c r="P1367" s="80"/>
      <c r="Q1367" s="80"/>
      <c r="R1367" s="211"/>
    </row>
    <row r="1368" spans="1:18" s="105" customFormat="1" ht="12.75">
      <c r="A1368" s="111">
        <v>4440</v>
      </c>
      <c r="B1368" s="276" t="s">
        <v>652</v>
      </c>
      <c r="C1368" s="79">
        <v>37055</v>
      </c>
      <c r="D1368" s="65">
        <f t="shared" si="174"/>
        <v>37055</v>
      </c>
      <c r="E1368" s="80">
        <f t="shared" si="177"/>
        <v>27791</v>
      </c>
      <c r="F1368" s="479">
        <f t="shared" si="171"/>
        <v>74.9993253272163</v>
      </c>
      <c r="G1368" s="79">
        <v>36075</v>
      </c>
      <c r="H1368" s="80">
        <v>27111</v>
      </c>
      <c r="I1368" s="452">
        <f t="shared" si="176"/>
        <v>75.15176715176716</v>
      </c>
      <c r="J1368" s="113">
        <v>980</v>
      </c>
      <c r="K1368" s="80">
        <v>680</v>
      </c>
      <c r="L1368" s="466">
        <f t="shared" si="178"/>
        <v>69.38775510204081</v>
      </c>
      <c r="M1368" s="80"/>
      <c r="N1368" s="80"/>
      <c r="O1368" s="356"/>
      <c r="P1368" s="80"/>
      <c r="Q1368" s="80"/>
      <c r="R1368" s="211"/>
    </row>
    <row r="1369" spans="1:18" s="105" customFormat="1" ht="47.25" customHeight="1">
      <c r="A1369" s="159">
        <v>4740</v>
      </c>
      <c r="B1369" s="326" t="s">
        <v>288</v>
      </c>
      <c r="C1369" s="79">
        <v>500</v>
      </c>
      <c r="D1369" s="65">
        <f t="shared" si="174"/>
        <v>500</v>
      </c>
      <c r="E1369" s="80">
        <f t="shared" si="177"/>
        <v>0</v>
      </c>
      <c r="F1369" s="479">
        <f t="shared" si="171"/>
        <v>0</v>
      </c>
      <c r="G1369" s="79">
        <v>500</v>
      </c>
      <c r="H1369" s="80"/>
      <c r="I1369" s="452">
        <f t="shared" si="176"/>
        <v>0</v>
      </c>
      <c r="J1369" s="113"/>
      <c r="K1369" s="80"/>
      <c r="L1369" s="379"/>
      <c r="M1369" s="80"/>
      <c r="N1369" s="80"/>
      <c r="O1369" s="356"/>
      <c r="P1369" s="80"/>
      <c r="Q1369" s="80"/>
      <c r="R1369" s="211"/>
    </row>
    <row r="1370" spans="1:18" s="105" customFormat="1" ht="36">
      <c r="A1370" s="159">
        <v>4750</v>
      </c>
      <c r="B1370" s="326" t="s">
        <v>289</v>
      </c>
      <c r="C1370" s="79">
        <v>1000</v>
      </c>
      <c r="D1370" s="65">
        <f t="shared" si="174"/>
        <v>1000</v>
      </c>
      <c r="E1370" s="80">
        <f t="shared" si="177"/>
        <v>0</v>
      </c>
      <c r="F1370" s="479">
        <f t="shared" si="171"/>
        <v>0</v>
      </c>
      <c r="G1370" s="79">
        <v>1000</v>
      </c>
      <c r="H1370" s="80"/>
      <c r="I1370" s="452">
        <f t="shared" si="176"/>
        <v>0</v>
      </c>
      <c r="J1370" s="113"/>
      <c r="K1370" s="80"/>
      <c r="L1370" s="379"/>
      <c r="M1370" s="80"/>
      <c r="N1370" s="80"/>
      <c r="O1370" s="356"/>
      <c r="P1370" s="80"/>
      <c r="Q1370" s="80"/>
      <c r="R1370" s="211"/>
    </row>
    <row r="1371" spans="1:18" s="130" customFormat="1" ht="24" hidden="1">
      <c r="A1371" s="188">
        <v>85278</v>
      </c>
      <c r="B1371" s="284" t="s">
        <v>325</v>
      </c>
      <c r="C1371" s="85"/>
      <c r="D1371" s="86">
        <f t="shared" si="174"/>
        <v>0</v>
      </c>
      <c r="E1371" s="86">
        <f>H1371+K1371+Q1371+N1371</f>
        <v>0</v>
      </c>
      <c r="F1371" s="515" t="e">
        <f t="shared" si="171"/>
        <v>#DIV/0!</v>
      </c>
      <c r="G1371" s="85"/>
      <c r="H1371" s="86"/>
      <c r="I1371" s="402"/>
      <c r="J1371" s="158">
        <f>SUM(J1372)</f>
        <v>0</v>
      </c>
      <c r="K1371" s="86">
        <f>SUM(K1372)</f>
        <v>0</v>
      </c>
      <c r="L1371" s="478" t="e">
        <f>K1371/J1371*100</f>
        <v>#DIV/0!</v>
      </c>
      <c r="M1371" s="86"/>
      <c r="N1371" s="86"/>
      <c r="O1371" s="391"/>
      <c r="P1371" s="86"/>
      <c r="Q1371" s="86"/>
      <c r="R1371" s="256"/>
    </row>
    <row r="1372" spans="1:18" s="105" customFormat="1" ht="14.25" customHeight="1" hidden="1">
      <c r="A1372" s="131">
        <v>3110</v>
      </c>
      <c r="B1372" s="287" t="s">
        <v>65</v>
      </c>
      <c r="C1372" s="133"/>
      <c r="D1372" s="134">
        <f t="shared" si="174"/>
        <v>0</v>
      </c>
      <c r="E1372" s="134">
        <f>H1372+K1372+Q1372+N1372</f>
        <v>0</v>
      </c>
      <c r="F1372" s="513" t="e">
        <f t="shared" si="171"/>
        <v>#DIV/0!</v>
      </c>
      <c r="G1372" s="133"/>
      <c r="H1372" s="136"/>
      <c r="I1372" s="402"/>
      <c r="J1372" s="135"/>
      <c r="K1372" s="136"/>
      <c r="L1372" s="464" t="e">
        <f>K1372/J1372*100</f>
        <v>#DIV/0!</v>
      </c>
      <c r="M1372" s="136"/>
      <c r="N1372" s="136"/>
      <c r="O1372" s="369"/>
      <c r="P1372" s="136"/>
      <c r="Q1372" s="136"/>
      <c r="R1372" s="301"/>
    </row>
    <row r="1373" spans="1:18" ht="30.75" customHeight="1">
      <c r="A1373" s="106">
        <v>85295</v>
      </c>
      <c r="B1373" s="261" t="s">
        <v>504</v>
      </c>
      <c r="C1373" s="73">
        <f>SUM(C1374:C1380)</f>
        <v>997800</v>
      </c>
      <c r="D1373" s="86">
        <f>G1373+J1373+P1373+M1373</f>
        <v>1008800</v>
      </c>
      <c r="E1373" s="75">
        <f>H1373+K1373+Q1373+N1373</f>
        <v>518232</v>
      </c>
      <c r="F1373" s="513">
        <f t="shared" si="171"/>
        <v>51.371134020618555</v>
      </c>
      <c r="G1373" s="73">
        <f>SUM(G1375:G1380)+G1374+G1381+G1386</f>
        <v>989800</v>
      </c>
      <c r="H1373" s="78">
        <f>SUM(H1375:H1380)+H1374+H1381+H1386</f>
        <v>515767</v>
      </c>
      <c r="I1373" s="451">
        <f aca="true" t="shared" si="179" ref="I1373:I1430">H1373/G1373*100</f>
        <v>52.10820367751061</v>
      </c>
      <c r="J1373" s="73"/>
      <c r="K1373" s="78"/>
      <c r="L1373" s="395"/>
      <c r="M1373" s="290">
        <f>SUM(M1374:M1380)</f>
        <v>3000</v>
      </c>
      <c r="N1373" s="78">
        <f>SUM(N1374:N1380)</f>
        <v>2465</v>
      </c>
      <c r="O1373" s="395">
        <f>N1373/M1373*100</f>
        <v>82.16666666666667</v>
      </c>
      <c r="P1373" s="143">
        <f>SUM(P1374:P1417)</f>
        <v>16000</v>
      </c>
      <c r="Q1373" s="143">
        <f>SUM(Q1374:Q1417)</f>
        <v>0</v>
      </c>
      <c r="R1373" s="301">
        <f>Q1373/P1373*100</f>
        <v>0</v>
      </c>
    </row>
    <row r="1374" spans="1:18" s="105" customFormat="1" ht="59.25" customHeight="1">
      <c r="A1374" s="99">
        <v>2820</v>
      </c>
      <c r="B1374" s="291" t="s">
        <v>90</v>
      </c>
      <c r="C1374" s="81">
        <v>150000</v>
      </c>
      <c r="D1374" s="94">
        <f t="shared" si="174"/>
        <v>150000</v>
      </c>
      <c r="E1374" s="94">
        <f aca="true" t="shared" si="180" ref="E1374:E1410">SUM(H1374+K1374+N1374+Q1374)</f>
        <v>88000</v>
      </c>
      <c r="F1374" s="514">
        <f t="shared" si="171"/>
        <v>58.666666666666664</v>
      </c>
      <c r="G1374" s="81">
        <v>150000</v>
      </c>
      <c r="H1374" s="95">
        <v>88000</v>
      </c>
      <c r="I1374" s="454">
        <f t="shared" si="179"/>
        <v>58.666666666666664</v>
      </c>
      <c r="J1374" s="187"/>
      <c r="K1374" s="95"/>
      <c r="L1374" s="403"/>
      <c r="M1374" s="95"/>
      <c r="N1374" s="95"/>
      <c r="O1374" s="376"/>
      <c r="P1374" s="95"/>
      <c r="Q1374" s="95"/>
      <c r="R1374" s="289"/>
    </row>
    <row r="1375" spans="1:18" s="105" customFormat="1" ht="39" customHeight="1">
      <c r="A1375" s="111">
        <v>3110</v>
      </c>
      <c r="B1375" s="277" t="s">
        <v>153</v>
      </c>
      <c r="C1375" s="79">
        <f>469000+326000</f>
        <v>795000</v>
      </c>
      <c r="D1375" s="65">
        <f>G1375+J1375+P1375+M1375</f>
        <v>803000</v>
      </c>
      <c r="E1375" s="80">
        <f t="shared" si="180"/>
        <v>405718</v>
      </c>
      <c r="F1375" s="479">
        <f>E1375/D1375*100</f>
        <v>50.5252801992528</v>
      </c>
      <c r="G1375" s="79">
        <f>469000+326000+8000</f>
        <v>803000</v>
      </c>
      <c r="H1375" s="80">
        <v>405718</v>
      </c>
      <c r="I1375" s="452">
        <f t="shared" si="179"/>
        <v>50.5252801992528</v>
      </c>
      <c r="J1375" s="113"/>
      <c r="K1375" s="80"/>
      <c r="L1375" s="379"/>
      <c r="M1375" s="80"/>
      <c r="N1375" s="80"/>
      <c r="O1375" s="356"/>
      <c r="P1375" s="80"/>
      <c r="Q1375" s="80"/>
      <c r="R1375" s="211"/>
    </row>
    <row r="1376" spans="1:18" s="105" customFormat="1" ht="12.75" hidden="1">
      <c r="A1376" s="111">
        <v>4580</v>
      </c>
      <c r="B1376" s="277" t="s">
        <v>525</v>
      </c>
      <c r="C1376" s="79"/>
      <c r="D1376" s="65">
        <f t="shared" si="174"/>
        <v>0</v>
      </c>
      <c r="E1376" s="80">
        <f t="shared" si="180"/>
        <v>0</v>
      </c>
      <c r="F1376" s="479" t="e">
        <f t="shared" si="171"/>
        <v>#DIV/0!</v>
      </c>
      <c r="G1376" s="79"/>
      <c r="H1376" s="65"/>
      <c r="I1376" s="452" t="e">
        <f t="shared" si="179"/>
        <v>#DIV/0!</v>
      </c>
      <c r="J1376" s="113"/>
      <c r="K1376" s="80"/>
      <c r="L1376" s="379"/>
      <c r="M1376" s="80"/>
      <c r="N1376" s="80"/>
      <c r="O1376" s="356"/>
      <c r="P1376" s="80"/>
      <c r="Q1376" s="80"/>
      <c r="R1376" s="211"/>
    </row>
    <row r="1377" spans="1:18" s="105" customFormat="1" ht="24" hidden="1">
      <c r="A1377" s="111">
        <v>4170</v>
      </c>
      <c r="B1377" s="262" t="s">
        <v>511</v>
      </c>
      <c r="C1377" s="79"/>
      <c r="D1377" s="65">
        <f>G1377+J1377+P1377+M1377</f>
        <v>0</v>
      </c>
      <c r="E1377" s="80">
        <f t="shared" si="180"/>
        <v>0</v>
      </c>
      <c r="F1377" s="479" t="e">
        <f>E1377/D1377*100</f>
        <v>#DIV/0!</v>
      </c>
      <c r="G1377" s="79"/>
      <c r="H1377" s="65"/>
      <c r="I1377" s="452" t="e">
        <f t="shared" si="179"/>
        <v>#DIV/0!</v>
      </c>
      <c r="J1377" s="113"/>
      <c r="K1377" s="80"/>
      <c r="L1377" s="379"/>
      <c r="M1377" s="80"/>
      <c r="N1377" s="80"/>
      <c r="O1377" s="356"/>
      <c r="P1377" s="80"/>
      <c r="Q1377" s="80"/>
      <c r="R1377" s="211"/>
    </row>
    <row r="1378" spans="1:18" s="105" customFormat="1" ht="24">
      <c r="A1378" s="111">
        <v>4210</v>
      </c>
      <c r="B1378" s="262" t="s">
        <v>481</v>
      </c>
      <c r="C1378" s="79">
        <v>2000</v>
      </c>
      <c r="D1378" s="65">
        <f>G1378+J1378+P1378+M1378</f>
        <v>2600</v>
      </c>
      <c r="E1378" s="80">
        <f t="shared" si="180"/>
        <v>440</v>
      </c>
      <c r="F1378" s="479">
        <f>E1378/D1378*100</f>
        <v>16.923076923076923</v>
      </c>
      <c r="G1378" s="79"/>
      <c r="H1378" s="65"/>
      <c r="I1378" s="452"/>
      <c r="J1378" s="113"/>
      <c r="K1378" s="80"/>
      <c r="L1378" s="379"/>
      <c r="M1378" s="80">
        <v>600</v>
      </c>
      <c r="N1378" s="80">
        <v>440</v>
      </c>
      <c r="O1378" s="379">
        <f>N1378/M1378*100</f>
        <v>73.33333333333333</v>
      </c>
      <c r="P1378" s="80">
        <v>2000</v>
      </c>
      <c r="Q1378" s="80"/>
      <c r="R1378" s="211">
        <f>Q1378/P1378*100</f>
        <v>0</v>
      </c>
    </row>
    <row r="1379" spans="1:18" s="105" customFormat="1" ht="24">
      <c r="A1379" s="111">
        <v>4300</v>
      </c>
      <c r="B1379" s="262" t="s">
        <v>92</v>
      </c>
      <c r="C1379" s="79">
        <f>22500+27800</f>
        <v>50300</v>
      </c>
      <c r="D1379" s="65">
        <f t="shared" si="174"/>
        <v>52700</v>
      </c>
      <c r="E1379" s="80">
        <f t="shared" si="180"/>
        <v>24074</v>
      </c>
      <c r="F1379" s="479">
        <f t="shared" si="171"/>
        <v>45.68121442125237</v>
      </c>
      <c r="G1379" s="79">
        <f>22500+14300</f>
        <v>36800</v>
      </c>
      <c r="H1379" s="65">
        <v>22049</v>
      </c>
      <c r="I1379" s="452">
        <f t="shared" si="179"/>
        <v>59.91576086956522</v>
      </c>
      <c r="J1379" s="113"/>
      <c r="K1379" s="80"/>
      <c r="L1379" s="379"/>
      <c r="M1379" s="80">
        <v>2400</v>
      </c>
      <c r="N1379" s="80">
        <v>2025</v>
      </c>
      <c r="O1379" s="379">
        <f>N1379/M1379*100</f>
        <v>84.375</v>
      </c>
      <c r="P1379" s="80">
        <v>13500</v>
      </c>
      <c r="Q1379" s="80"/>
      <c r="R1379" s="211">
        <f>Q1379/P1379*100</f>
        <v>0</v>
      </c>
    </row>
    <row r="1380" spans="1:18" s="105" customFormat="1" ht="50.25" customHeight="1" thickBot="1">
      <c r="A1380" s="159">
        <v>4740</v>
      </c>
      <c r="B1380" s="326" t="s">
        <v>288</v>
      </c>
      <c r="C1380" s="79">
        <v>500</v>
      </c>
      <c r="D1380" s="65">
        <f t="shared" si="174"/>
        <v>500</v>
      </c>
      <c r="E1380" s="80">
        <f t="shared" si="180"/>
        <v>0</v>
      </c>
      <c r="F1380" s="475">
        <f t="shared" si="171"/>
        <v>0</v>
      </c>
      <c r="G1380" s="79"/>
      <c r="H1380" s="80"/>
      <c r="I1380" s="452"/>
      <c r="J1380" s="113"/>
      <c r="K1380" s="80"/>
      <c r="L1380" s="379"/>
      <c r="M1380" s="80"/>
      <c r="N1380" s="80"/>
      <c r="O1380" s="211"/>
      <c r="P1380" s="80">
        <v>500</v>
      </c>
      <c r="Q1380" s="80"/>
      <c r="R1380" s="211">
        <f>Q1380/P1380*100</f>
        <v>0</v>
      </c>
    </row>
    <row r="1381" spans="1:18" s="130" customFormat="1" ht="24.75" hidden="1" thickBot="1">
      <c r="A1381" s="122"/>
      <c r="B1381" s="328" t="s">
        <v>430</v>
      </c>
      <c r="C1381" s="124"/>
      <c r="D1381" s="126">
        <f t="shared" si="174"/>
        <v>0</v>
      </c>
      <c r="E1381" s="126">
        <f t="shared" si="180"/>
        <v>0</v>
      </c>
      <c r="F1381" s="516" t="e">
        <f t="shared" si="171"/>
        <v>#DIV/0!</v>
      </c>
      <c r="G1381" s="336">
        <f>SUM(G1382:G1385)</f>
        <v>0</v>
      </c>
      <c r="H1381" s="126">
        <f>SUM(H1382:H1385)</f>
        <v>0</v>
      </c>
      <c r="I1381" s="452" t="e">
        <f t="shared" si="179"/>
        <v>#DIV/0!</v>
      </c>
      <c r="J1381" s="127"/>
      <c r="K1381" s="126"/>
      <c r="L1381" s="392"/>
      <c r="M1381" s="124"/>
      <c r="N1381" s="126"/>
      <c r="O1381" s="372"/>
      <c r="P1381" s="126"/>
      <c r="Q1381" s="126"/>
      <c r="R1381" s="372"/>
    </row>
    <row r="1382" spans="1:18" s="105" customFormat="1" ht="24.75" hidden="1" thickBot="1">
      <c r="A1382" s="111">
        <v>4170</v>
      </c>
      <c r="B1382" s="262" t="s">
        <v>511</v>
      </c>
      <c r="C1382" s="79"/>
      <c r="D1382" s="65">
        <f t="shared" si="174"/>
        <v>0</v>
      </c>
      <c r="E1382" s="80">
        <f t="shared" si="180"/>
        <v>0</v>
      </c>
      <c r="F1382" s="475" t="e">
        <f t="shared" si="171"/>
        <v>#DIV/0!</v>
      </c>
      <c r="G1382" s="79"/>
      <c r="H1382" s="80"/>
      <c r="I1382" s="452" t="e">
        <f t="shared" si="179"/>
        <v>#DIV/0!</v>
      </c>
      <c r="J1382" s="113"/>
      <c r="K1382" s="80"/>
      <c r="L1382" s="379"/>
      <c r="M1382" s="79"/>
      <c r="N1382" s="80"/>
      <c r="O1382" s="374"/>
      <c r="P1382" s="80"/>
      <c r="Q1382" s="80"/>
      <c r="R1382" s="265"/>
    </row>
    <row r="1383" spans="1:18" s="105" customFormat="1" ht="24.75" hidden="1" thickBot="1">
      <c r="A1383" s="111">
        <v>4210</v>
      </c>
      <c r="B1383" s="262" t="s">
        <v>481</v>
      </c>
      <c r="C1383" s="79"/>
      <c r="D1383" s="65">
        <f t="shared" si="174"/>
        <v>0</v>
      </c>
      <c r="E1383" s="80">
        <f t="shared" si="180"/>
        <v>0</v>
      </c>
      <c r="F1383" s="475" t="e">
        <f t="shared" si="171"/>
        <v>#DIV/0!</v>
      </c>
      <c r="G1383" s="79"/>
      <c r="H1383" s="80"/>
      <c r="I1383" s="452" t="e">
        <f t="shared" si="179"/>
        <v>#DIV/0!</v>
      </c>
      <c r="J1383" s="113"/>
      <c r="K1383" s="80"/>
      <c r="L1383" s="379"/>
      <c r="M1383" s="79"/>
      <c r="N1383" s="80"/>
      <c r="O1383" s="374"/>
      <c r="P1383" s="80"/>
      <c r="Q1383" s="80"/>
      <c r="R1383" s="265"/>
    </row>
    <row r="1384" spans="1:18" s="105" customFormat="1" ht="24.75" hidden="1" thickBot="1">
      <c r="A1384" s="111">
        <v>4300</v>
      </c>
      <c r="B1384" s="262" t="s">
        <v>489</v>
      </c>
      <c r="C1384" s="79"/>
      <c r="D1384" s="65">
        <f t="shared" si="174"/>
        <v>0</v>
      </c>
      <c r="E1384" s="80">
        <f t="shared" si="180"/>
        <v>0</v>
      </c>
      <c r="F1384" s="475" t="e">
        <f t="shared" si="171"/>
        <v>#DIV/0!</v>
      </c>
      <c r="G1384" s="79"/>
      <c r="H1384" s="80"/>
      <c r="I1384" s="452" t="e">
        <f t="shared" si="179"/>
        <v>#DIV/0!</v>
      </c>
      <c r="J1384" s="113"/>
      <c r="K1384" s="80"/>
      <c r="L1384" s="379"/>
      <c r="M1384" s="79"/>
      <c r="N1384" s="80"/>
      <c r="O1384" s="374"/>
      <c r="P1384" s="80"/>
      <c r="Q1384" s="80"/>
      <c r="R1384" s="265"/>
    </row>
    <row r="1385" spans="1:18" s="105" customFormat="1" ht="60.75" hidden="1" thickBot="1">
      <c r="A1385" s="111">
        <v>4740</v>
      </c>
      <c r="B1385" s="262" t="s">
        <v>288</v>
      </c>
      <c r="C1385" s="79"/>
      <c r="D1385" s="65">
        <f t="shared" si="174"/>
        <v>0</v>
      </c>
      <c r="E1385" s="80">
        <f t="shared" si="180"/>
        <v>0</v>
      </c>
      <c r="F1385" s="475" t="e">
        <f t="shared" si="171"/>
        <v>#DIV/0!</v>
      </c>
      <c r="G1385" s="79"/>
      <c r="H1385" s="80"/>
      <c r="I1385" s="452" t="e">
        <f t="shared" si="179"/>
        <v>#DIV/0!</v>
      </c>
      <c r="J1385" s="113"/>
      <c r="K1385" s="80"/>
      <c r="L1385" s="379"/>
      <c r="M1385" s="79"/>
      <c r="N1385" s="80"/>
      <c r="O1385" s="374"/>
      <c r="P1385" s="80"/>
      <c r="Q1385" s="80"/>
      <c r="R1385" s="265"/>
    </row>
    <row r="1386" spans="1:18" s="130" customFormat="1" ht="84.75" hidden="1" thickBot="1">
      <c r="A1386" s="122"/>
      <c r="B1386" s="328" t="s">
        <v>414</v>
      </c>
      <c r="C1386" s="124"/>
      <c r="D1386" s="126">
        <f t="shared" si="174"/>
        <v>0</v>
      </c>
      <c r="E1386" s="126">
        <f t="shared" si="180"/>
        <v>0</v>
      </c>
      <c r="F1386" s="475" t="e">
        <f t="shared" si="171"/>
        <v>#DIV/0!</v>
      </c>
      <c r="G1386" s="124">
        <f>SUM(G1387:G1410)</f>
        <v>0</v>
      </c>
      <c r="H1386" s="126">
        <f>SUM(H1387:H1410)</f>
        <v>0</v>
      </c>
      <c r="I1386" s="452" t="e">
        <f t="shared" si="179"/>
        <v>#DIV/0!</v>
      </c>
      <c r="J1386" s="127"/>
      <c r="K1386" s="126"/>
      <c r="L1386" s="392"/>
      <c r="M1386" s="127"/>
      <c r="N1386" s="126"/>
      <c r="O1386" s="374"/>
      <c r="P1386" s="126"/>
      <c r="Q1386" s="126"/>
      <c r="R1386" s="374"/>
    </row>
    <row r="1387" spans="1:18" s="105" customFormat="1" ht="13.5" hidden="1" thickBot="1">
      <c r="A1387" s="111">
        <v>3118</v>
      </c>
      <c r="B1387" s="262" t="s">
        <v>65</v>
      </c>
      <c r="C1387" s="79"/>
      <c r="D1387" s="65">
        <f t="shared" si="174"/>
        <v>0</v>
      </c>
      <c r="E1387" s="80">
        <f t="shared" si="180"/>
        <v>0</v>
      </c>
      <c r="F1387" s="475" t="e">
        <f t="shared" si="171"/>
        <v>#DIV/0!</v>
      </c>
      <c r="G1387" s="79">
        <f>40080-6012+3315-37383</f>
        <v>0</v>
      </c>
      <c r="H1387" s="80"/>
      <c r="I1387" s="452" t="e">
        <f t="shared" si="179"/>
        <v>#DIV/0!</v>
      </c>
      <c r="J1387" s="113"/>
      <c r="K1387" s="80"/>
      <c r="L1387" s="379"/>
      <c r="M1387" s="113"/>
      <c r="N1387" s="80"/>
      <c r="O1387" s="374"/>
      <c r="P1387" s="80"/>
      <c r="Q1387" s="80"/>
      <c r="R1387" s="265"/>
    </row>
    <row r="1388" spans="1:18" s="105" customFormat="1" ht="13.5" hidden="1" thickBot="1">
      <c r="A1388" s="111">
        <v>3119</v>
      </c>
      <c r="B1388" s="262" t="s">
        <v>65</v>
      </c>
      <c r="C1388" s="79"/>
      <c r="D1388" s="65">
        <f t="shared" si="174"/>
        <v>0</v>
      </c>
      <c r="E1388" s="80">
        <f t="shared" si="180"/>
        <v>0</v>
      </c>
      <c r="F1388" s="475" t="e">
        <f t="shared" si="171"/>
        <v>#DIV/0!</v>
      </c>
      <c r="G1388" s="79">
        <f>6012+585-6597</f>
        <v>0</v>
      </c>
      <c r="H1388" s="80"/>
      <c r="I1388" s="452" t="e">
        <f t="shared" si="179"/>
        <v>#DIV/0!</v>
      </c>
      <c r="J1388" s="113"/>
      <c r="K1388" s="80"/>
      <c r="L1388" s="379"/>
      <c r="M1388" s="113"/>
      <c r="N1388" s="80"/>
      <c r="O1388" s="374"/>
      <c r="P1388" s="80"/>
      <c r="Q1388" s="80"/>
      <c r="R1388" s="265"/>
    </row>
    <row r="1389" spans="1:18" s="105" customFormat="1" ht="24.75" hidden="1" thickBot="1">
      <c r="A1389" s="111">
        <v>4018</v>
      </c>
      <c r="B1389" s="262" t="s">
        <v>471</v>
      </c>
      <c r="C1389" s="79"/>
      <c r="D1389" s="65">
        <f t="shared" si="174"/>
        <v>0</v>
      </c>
      <c r="E1389" s="80">
        <f t="shared" si="180"/>
        <v>0</v>
      </c>
      <c r="F1389" s="475" t="e">
        <f aca="true" t="shared" si="181" ref="F1389:F1409">E1389/D1389*100</f>
        <v>#DIV/0!</v>
      </c>
      <c r="G1389" s="79">
        <f>38810-5822-32988</f>
        <v>0</v>
      </c>
      <c r="H1389" s="80"/>
      <c r="I1389" s="452" t="e">
        <f t="shared" si="179"/>
        <v>#DIV/0!</v>
      </c>
      <c r="J1389" s="113"/>
      <c r="K1389" s="80"/>
      <c r="L1389" s="379"/>
      <c r="M1389" s="113"/>
      <c r="N1389" s="80"/>
      <c r="O1389" s="374"/>
      <c r="P1389" s="80"/>
      <c r="Q1389" s="80"/>
      <c r="R1389" s="265"/>
    </row>
    <row r="1390" spans="1:18" s="105" customFormat="1" ht="24.75" hidden="1" thickBot="1">
      <c r="A1390" s="111">
        <v>4019</v>
      </c>
      <c r="B1390" s="262" t="s">
        <v>471</v>
      </c>
      <c r="C1390" s="79"/>
      <c r="D1390" s="65">
        <f t="shared" si="174"/>
        <v>0</v>
      </c>
      <c r="E1390" s="80">
        <f t="shared" si="180"/>
        <v>0</v>
      </c>
      <c r="F1390" s="475" t="e">
        <f t="shared" si="181"/>
        <v>#DIV/0!</v>
      </c>
      <c r="G1390" s="79">
        <f>5822-5822</f>
        <v>0</v>
      </c>
      <c r="H1390" s="80"/>
      <c r="I1390" s="452" t="e">
        <f t="shared" si="179"/>
        <v>#DIV/0!</v>
      </c>
      <c r="J1390" s="113"/>
      <c r="K1390" s="80"/>
      <c r="L1390" s="379"/>
      <c r="M1390" s="113"/>
      <c r="N1390" s="80"/>
      <c r="O1390" s="374"/>
      <c r="P1390" s="80"/>
      <c r="Q1390" s="80"/>
      <c r="R1390" s="265"/>
    </row>
    <row r="1391" spans="1:18" s="105" customFormat="1" ht="24.75" hidden="1" thickBot="1">
      <c r="A1391" s="111">
        <v>4118</v>
      </c>
      <c r="B1391" s="262" t="s">
        <v>477</v>
      </c>
      <c r="C1391" s="79"/>
      <c r="D1391" s="65">
        <f t="shared" si="174"/>
        <v>0</v>
      </c>
      <c r="E1391" s="80">
        <f t="shared" si="180"/>
        <v>0</v>
      </c>
      <c r="F1391" s="475" t="e">
        <f t="shared" si="181"/>
        <v>#DIV/0!</v>
      </c>
      <c r="G1391" s="79">
        <f>12354-1854-1217-9283</f>
        <v>0</v>
      </c>
      <c r="H1391" s="80"/>
      <c r="I1391" s="452" t="e">
        <f t="shared" si="179"/>
        <v>#DIV/0!</v>
      </c>
      <c r="J1391" s="113"/>
      <c r="K1391" s="80"/>
      <c r="L1391" s="379"/>
      <c r="M1391" s="113"/>
      <c r="N1391" s="80"/>
      <c r="O1391" s="374"/>
      <c r="P1391" s="80"/>
      <c r="Q1391" s="80"/>
      <c r="R1391" s="265"/>
    </row>
    <row r="1392" spans="1:18" s="105" customFormat="1" ht="24.75" hidden="1" thickBot="1">
      <c r="A1392" s="111">
        <v>4119</v>
      </c>
      <c r="B1392" s="262" t="s">
        <v>477</v>
      </c>
      <c r="C1392" s="79"/>
      <c r="D1392" s="65">
        <f t="shared" si="174"/>
        <v>0</v>
      </c>
      <c r="E1392" s="80">
        <f t="shared" si="180"/>
        <v>0</v>
      </c>
      <c r="F1392" s="475" t="e">
        <f t="shared" si="181"/>
        <v>#DIV/0!</v>
      </c>
      <c r="G1392" s="79">
        <f>1854-216-1638</f>
        <v>0</v>
      </c>
      <c r="H1392" s="80"/>
      <c r="I1392" s="452" t="e">
        <f t="shared" si="179"/>
        <v>#DIV/0!</v>
      </c>
      <c r="J1392" s="113"/>
      <c r="K1392" s="80"/>
      <c r="L1392" s="379"/>
      <c r="M1392" s="113"/>
      <c r="N1392" s="80"/>
      <c r="O1392" s="374"/>
      <c r="P1392" s="80"/>
      <c r="Q1392" s="80"/>
      <c r="R1392" s="265"/>
    </row>
    <row r="1393" spans="1:18" s="105" customFormat="1" ht="13.5" hidden="1" thickBot="1">
      <c r="A1393" s="111">
        <v>4128</v>
      </c>
      <c r="B1393" s="262" t="s">
        <v>547</v>
      </c>
      <c r="C1393" s="79"/>
      <c r="D1393" s="65">
        <f t="shared" si="174"/>
        <v>0</v>
      </c>
      <c r="E1393" s="80">
        <f t="shared" si="180"/>
        <v>0</v>
      </c>
      <c r="F1393" s="475" t="e">
        <f t="shared" si="181"/>
        <v>#DIV/0!</v>
      </c>
      <c r="G1393" s="79">
        <f>1886-283-187-1416</f>
        <v>0</v>
      </c>
      <c r="H1393" s="80"/>
      <c r="I1393" s="452" t="e">
        <f t="shared" si="179"/>
        <v>#DIV/0!</v>
      </c>
      <c r="J1393" s="113"/>
      <c r="K1393" s="80"/>
      <c r="L1393" s="379"/>
      <c r="M1393" s="113"/>
      <c r="N1393" s="80"/>
      <c r="O1393" s="374"/>
      <c r="P1393" s="80"/>
      <c r="Q1393" s="80"/>
      <c r="R1393" s="265"/>
    </row>
    <row r="1394" spans="1:18" s="105" customFormat="1" ht="13.5" hidden="1" thickBot="1">
      <c r="A1394" s="111">
        <v>4129</v>
      </c>
      <c r="B1394" s="262" t="s">
        <v>547</v>
      </c>
      <c r="C1394" s="79"/>
      <c r="D1394" s="65">
        <f t="shared" si="174"/>
        <v>0</v>
      </c>
      <c r="E1394" s="80">
        <f t="shared" si="180"/>
        <v>0</v>
      </c>
      <c r="F1394" s="475" t="e">
        <f t="shared" si="181"/>
        <v>#DIV/0!</v>
      </c>
      <c r="G1394" s="79">
        <f>283-33-250</f>
        <v>0</v>
      </c>
      <c r="H1394" s="80"/>
      <c r="I1394" s="452" t="e">
        <f t="shared" si="179"/>
        <v>#DIV/0!</v>
      </c>
      <c r="J1394" s="113"/>
      <c r="K1394" s="80"/>
      <c r="L1394" s="379"/>
      <c r="M1394" s="113"/>
      <c r="N1394" s="80"/>
      <c r="O1394" s="374"/>
      <c r="P1394" s="80"/>
      <c r="Q1394" s="80"/>
      <c r="R1394" s="265"/>
    </row>
    <row r="1395" spans="1:18" s="105" customFormat="1" ht="24.75" hidden="1" thickBot="1">
      <c r="A1395" s="111">
        <v>4178</v>
      </c>
      <c r="B1395" s="262" t="s">
        <v>511</v>
      </c>
      <c r="C1395" s="79"/>
      <c r="D1395" s="65">
        <f t="shared" si="174"/>
        <v>0</v>
      </c>
      <c r="E1395" s="80">
        <f t="shared" si="180"/>
        <v>0</v>
      </c>
      <c r="F1395" s="475" t="e">
        <f t="shared" si="181"/>
        <v>#DIV/0!</v>
      </c>
      <c r="G1395" s="79">
        <f>38150-5723-7605-24822</f>
        <v>0</v>
      </c>
      <c r="H1395" s="80"/>
      <c r="I1395" s="452" t="e">
        <f t="shared" si="179"/>
        <v>#DIV/0!</v>
      </c>
      <c r="J1395" s="113"/>
      <c r="K1395" s="80"/>
      <c r="L1395" s="379"/>
      <c r="M1395" s="113"/>
      <c r="N1395" s="80"/>
      <c r="O1395" s="374"/>
      <c r="P1395" s="80"/>
      <c r="Q1395" s="80"/>
      <c r="R1395" s="265"/>
    </row>
    <row r="1396" spans="1:18" s="105" customFormat="1" ht="24.75" hidden="1" thickBot="1">
      <c r="A1396" s="111">
        <v>4179</v>
      </c>
      <c r="B1396" s="262" t="s">
        <v>511</v>
      </c>
      <c r="C1396" s="79"/>
      <c r="D1396" s="65">
        <f t="shared" si="174"/>
        <v>0</v>
      </c>
      <c r="E1396" s="80">
        <f t="shared" si="180"/>
        <v>0</v>
      </c>
      <c r="F1396" s="475" t="e">
        <f t="shared" si="181"/>
        <v>#DIV/0!</v>
      </c>
      <c r="G1396" s="79">
        <f>5723-1342-4381</f>
        <v>0</v>
      </c>
      <c r="H1396" s="80"/>
      <c r="I1396" s="452" t="e">
        <f t="shared" si="179"/>
        <v>#DIV/0!</v>
      </c>
      <c r="J1396" s="113"/>
      <c r="K1396" s="80"/>
      <c r="L1396" s="379"/>
      <c r="M1396" s="113"/>
      <c r="N1396" s="80"/>
      <c r="O1396" s="374"/>
      <c r="P1396" s="80"/>
      <c r="Q1396" s="80"/>
      <c r="R1396" s="265"/>
    </row>
    <row r="1397" spans="1:18" s="105" customFormat="1" ht="24.75" hidden="1" thickBot="1">
      <c r="A1397" s="111">
        <v>4218</v>
      </c>
      <c r="B1397" s="262" t="s">
        <v>481</v>
      </c>
      <c r="C1397" s="79"/>
      <c r="D1397" s="65">
        <f t="shared" si="174"/>
        <v>0</v>
      </c>
      <c r="E1397" s="80">
        <f t="shared" si="180"/>
        <v>0</v>
      </c>
      <c r="F1397" s="475" t="e">
        <f t="shared" si="181"/>
        <v>#DIV/0!</v>
      </c>
      <c r="G1397" s="79">
        <f>1020-153+1215-2082</f>
        <v>0</v>
      </c>
      <c r="H1397" s="80"/>
      <c r="I1397" s="452" t="e">
        <f t="shared" si="179"/>
        <v>#DIV/0!</v>
      </c>
      <c r="J1397" s="113"/>
      <c r="K1397" s="80"/>
      <c r="L1397" s="379"/>
      <c r="M1397" s="113"/>
      <c r="N1397" s="80"/>
      <c r="O1397" s="374"/>
      <c r="P1397" s="80"/>
      <c r="Q1397" s="80"/>
      <c r="R1397" s="265"/>
    </row>
    <row r="1398" spans="1:18" s="105" customFormat="1" ht="24.75" hidden="1" thickBot="1">
      <c r="A1398" s="111">
        <v>4219</v>
      </c>
      <c r="B1398" s="262" t="s">
        <v>481</v>
      </c>
      <c r="C1398" s="79"/>
      <c r="D1398" s="65">
        <f t="shared" si="174"/>
        <v>0</v>
      </c>
      <c r="E1398" s="80">
        <f t="shared" si="180"/>
        <v>0</v>
      </c>
      <c r="F1398" s="475" t="e">
        <f t="shared" si="181"/>
        <v>#DIV/0!</v>
      </c>
      <c r="G1398" s="79">
        <f>153+215-368</f>
        <v>0</v>
      </c>
      <c r="H1398" s="80"/>
      <c r="I1398" s="452" t="e">
        <f t="shared" si="179"/>
        <v>#DIV/0!</v>
      </c>
      <c r="J1398" s="113"/>
      <c r="K1398" s="80"/>
      <c r="L1398" s="379"/>
      <c r="M1398" s="113"/>
      <c r="N1398" s="80"/>
      <c r="O1398" s="374"/>
      <c r="P1398" s="80"/>
      <c r="Q1398" s="80"/>
      <c r="R1398" s="265"/>
    </row>
    <row r="1399" spans="1:18" s="105" customFormat="1" ht="24.75" hidden="1" thickBot="1">
      <c r="A1399" s="111">
        <v>4288</v>
      </c>
      <c r="B1399" s="262" t="s">
        <v>520</v>
      </c>
      <c r="C1399" s="79"/>
      <c r="D1399" s="65">
        <f>G1399+J1399+P1399+M1399</f>
        <v>0</v>
      </c>
      <c r="E1399" s="80">
        <f>SUM(H1399+K1399+N1399+Q1399)</f>
        <v>0</v>
      </c>
      <c r="F1399" s="475" t="e">
        <f>E1399/D1399*100</f>
        <v>#DIV/0!</v>
      </c>
      <c r="G1399" s="79">
        <f>893-893</f>
        <v>0</v>
      </c>
      <c r="H1399" s="80"/>
      <c r="I1399" s="452" t="e">
        <f t="shared" si="179"/>
        <v>#DIV/0!</v>
      </c>
      <c r="J1399" s="113"/>
      <c r="K1399" s="80"/>
      <c r="L1399" s="379"/>
      <c r="M1399" s="113"/>
      <c r="N1399" s="80"/>
      <c r="O1399" s="374"/>
      <c r="P1399" s="80"/>
      <c r="Q1399" s="80"/>
      <c r="R1399" s="265"/>
    </row>
    <row r="1400" spans="1:18" s="105" customFormat="1" ht="24.75" hidden="1" thickBot="1">
      <c r="A1400" s="111">
        <v>4289</v>
      </c>
      <c r="B1400" s="262" t="s">
        <v>520</v>
      </c>
      <c r="C1400" s="79"/>
      <c r="D1400" s="65">
        <f>G1400+J1400+P1400+M1400</f>
        <v>0</v>
      </c>
      <c r="E1400" s="80">
        <f>SUM(H1400+K1400+N1400+Q1400)</f>
        <v>0</v>
      </c>
      <c r="F1400" s="475" t="e">
        <f>E1400/D1400*100</f>
        <v>#DIV/0!</v>
      </c>
      <c r="G1400" s="79">
        <f>157-157</f>
        <v>0</v>
      </c>
      <c r="H1400" s="80"/>
      <c r="I1400" s="452" t="e">
        <f t="shared" si="179"/>
        <v>#DIV/0!</v>
      </c>
      <c r="J1400" s="113"/>
      <c r="K1400" s="80"/>
      <c r="L1400" s="379"/>
      <c r="M1400" s="113"/>
      <c r="N1400" s="80"/>
      <c r="O1400" s="374"/>
      <c r="P1400" s="80"/>
      <c r="Q1400" s="80"/>
      <c r="R1400" s="265"/>
    </row>
    <row r="1401" spans="1:18" s="105" customFormat="1" ht="24.75" hidden="1" thickBot="1">
      <c r="A1401" s="111">
        <v>4308</v>
      </c>
      <c r="B1401" s="262" t="s">
        <v>522</v>
      </c>
      <c r="C1401" s="79"/>
      <c r="D1401" s="65">
        <f t="shared" si="174"/>
        <v>0</v>
      </c>
      <c r="E1401" s="80">
        <f t="shared" si="180"/>
        <v>0</v>
      </c>
      <c r="F1401" s="475" t="e">
        <f t="shared" si="181"/>
        <v>#DIV/0!</v>
      </c>
      <c r="G1401" s="79">
        <f>85645-12846+2694-75493</f>
        <v>0</v>
      </c>
      <c r="H1401" s="80"/>
      <c r="I1401" s="452" t="e">
        <f t="shared" si="179"/>
        <v>#DIV/0!</v>
      </c>
      <c r="J1401" s="113"/>
      <c r="K1401" s="80"/>
      <c r="L1401" s="379"/>
      <c r="M1401" s="113"/>
      <c r="N1401" s="80"/>
      <c r="O1401" s="374"/>
      <c r="P1401" s="80"/>
      <c r="Q1401" s="80"/>
      <c r="R1401" s="265"/>
    </row>
    <row r="1402" spans="1:18" s="105" customFormat="1" ht="24.75" hidden="1" thickBot="1">
      <c r="A1402" s="111">
        <v>4309</v>
      </c>
      <c r="B1402" s="262" t="s">
        <v>522</v>
      </c>
      <c r="C1402" s="79"/>
      <c r="D1402" s="65">
        <f t="shared" si="174"/>
        <v>0</v>
      </c>
      <c r="E1402" s="80">
        <f t="shared" si="180"/>
        <v>0</v>
      </c>
      <c r="F1402" s="475" t="e">
        <f t="shared" si="181"/>
        <v>#DIV/0!</v>
      </c>
      <c r="G1402" s="79">
        <f>12846+476-13322</f>
        <v>0</v>
      </c>
      <c r="H1402" s="80"/>
      <c r="I1402" s="452" t="e">
        <f t="shared" si="179"/>
        <v>#DIV/0!</v>
      </c>
      <c r="J1402" s="113"/>
      <c r="K1402" s="80"/>
      <c r="L1402" s="379"/>
      <c r="M1402" s="113"/>
      <c r="N1402" s="80"/>
      <c r="O1402" s="374"/>
      <c r="P1402" s="80"/>
      <c r="Q1402" s="80"/>
      <c r="R1402" s="265"/>
    </row>
    <row r="1403" spans="1:18" s="105" customFormat="1" ht="24.75" hidden="1" thickBot="1">
      <c r="A1403" s="159">
        <v>4418</v>
      </c>
      <c r="B1403" s="326" t="s">
        <v>463</v>
      </c>
      <c r="C1403" s="79"/>
      <c r="D1403" s="65">
        <f t="shared" si="174"/>
        <v>0</v>
      </c>
      <c r="E1403" s="80">
        <f t="shared" si="180"/>
        <v>0</v>
      </c>
      <c r="F1403" s="475" t="e">
        <f t="shared" si="181"/>
        <v>#DIV/0!</v>
      </c>
      <c r="G1403" s="79">
        <f>6544-981-5563</f>
        <v>0</v>
      </c>
      <c r="H1403" s="80"/>
      <c r="I1403" s="452" t="e">
        <f t="shared" si="179"/>
        <v>#DIV/0!</v>
      </c>
      <c r="J1403" s="113"/>
      <c r="K1403" s="80"/>
      <c r="L1403" s="379"/>
      <c r="M1403" s="113"/>
      <c r="N1403" s="80"/>
      <c r="O1403" s="374"/>
      <c r="P1403" s="80"/>
      <c r="Q1403" s="80"/>
      <c r="R1403" s="265"/>
    </row>
    <row r="1404" spans="1:18" s="105" customFormat="1" ht="24.75" hidden="1" thickBot="1">
      <c r="A1404" s="159">
        <v>4419</v>
      </c>
      <c r="B1404" s="326" t="s">
        <v>463</v>
      </c>
      <c r="C1404" s="79"/>
      <c r="D1404" s="65">
        <f>G1404+J1404+P1404+M1404</f>
        <v>0</v>
      </c>
      <c r="E1404" s="80">
        <f t="shared" si="180"/>
        <v>0</v>
      </c>
      <c r="F1404" s="475" t="e">
        <f>E1404/D1404*100</f>
        <v>#DIV/0!</v>
      </c>
      <c r="G1404" s="79">
        <f>981-981</f>
        <v>0</v>
      </c>
      <c r="H1404" s="80"/>
      <c r="I1404" s="452" t="e">
        <f t="shared" si="179"/>
        <v>#DIV/0!</v>
      </c>
      <c r="J1404" s="113"/>
      <c r="K1404" s="80"/>
      <c r="L1404" s="379"/>
      <c r="M1404" s="113"/>
      <c r="N1404" s="80"/>
      <c r="O1404" s="374"/>
      <c r="P1404" s="80"/>
      <c r="Q1404" s="80"/>
      <c r="R1404" s="265"/>
    </row>
    <row r="1405" spans="1:18" s="105" customFormat="1" ht="13.5" hidden="1" thickBot="1">
      <c r="A1405" s="159">
        <v>4438</v>
      </c>
      <c r="B1405" s="326" t="s">
        <v>491</v>
      </c>
      <c r="C1405" s="79"/>
      <c r="D1405" s="65">
        <f>G1405+J1405+P1405+M1405</f>
        <v>0</v>
      </c>
      <c r="E1405" s="80">
        <f>SUM(H1405+K1405+N1405+Q1405)</f>
        <v>0</v>
      </c>
      <c r="F1405" s="475" t="e">
        <f>E1405/D1405*100</f>
        <v>#DIV/0!</v>
      </c>
      <c r="G1405" s="79">
        <f>892-892</f>
        <v>0</v>
      </c>
      <c r="H1405" s="80"/>
      <c r="I1405" s="452" t="e">
        <f t="shared" si="179"/>
        <v>#DIV/0!</v>
      </c>
      <c r="J1405" s="113"/>
      <c r="K1405" s="80"/>
      <c r="L1405" s="379"/>
      <c r="M1405" s="113"/>
      <c r="N1405" s="80"/>
      <c r="O1405" s="374"/>
      <c r="P1405" s="80"/>
      <c r="Q1405" s="80"/>
      <c r="R1405" s="265"/>
    </row>
    <row r="1406" spans="1:18" s="105" customFormat="1" ht="13.5" hidden="1" thickBot="1">
      <c r="A1406" s="159">
        <v>4439</v>
      </c>
      <c r="B1406" s="326" t="s">
        <v>491</v>
      </c>
      <c r="C1406" s="79"/>
      <c r="D1406" s="65">
        <f>G1406+J1406+P1406+M1406</f>
        <v>0</v>
      </c>
      <c r="E1406" s="80">
        <f>SUM(H1406+K1406+N1406+Q1406)</f>
        <v>0</v>
      </c>
      <c r="F1406" s="475" t="e">
        <f>E1406/D1406*100</f>
        <v>#DIV/0!</v>
      </c>
      <c r="G1406" s="79">
        <f>158-158</f>
        <v>0</v>
      </c>
      <c r="H1406" s="80"/>
      <c r="I1406" s="452" t="e">
        <f t="shared" si="179"/>
        <v>#DIV/0!</v>
      </c>
      <c r="J1406" s="113"/>
      <c r="K1406" s="80"/>
      <c r="L1406" s="379"/>
      <c r="M1406" s="113"/>
      <c r="N1406" s="80"/>
      <c r="O1406" s="374"/>
      <c r="P1406" s="80"/>
      <c r="Q1406" s="80"/>
      <c r="R1406" s="265"/>
    </row>
    <row r="1407" spans="1:18" s="105" customFormat="1" ht="60.75" hidden="1" thickBot="1">
      <c r="A1407" s="159">
        <v>4748</v>
      </c>
      <c r="B1407" s="326" t="s">
        <v>288</v>
      </c>
      <c r="C1407" s="79"/>
      <c r="D1407" s="65">
        <f>G1407+J1407+P1407+M1407</f>
        <v>0</v>
      </c>
      <c r="E1407" s="80">
        <f t="shared" si="180"/>
        <v>0</v>
      </c>
      <c r="F1407" s="475" t="e">
        <f>E1407/D1407*100</f>
        <v>#DIV/0!</v>
      </c>
      <c r="G1407" s="79">
        <f>610-92-518</f>
        <v>0</v>
      </c>
      <c r="H1407" s="80"/>
      <c r="I1407" s="452" t="e">
        <f t="shared" si="179"/>
        <v>#DIV/0!</v>
      </c>
      <c r="J1407" s="113"/>
      <c r="K1407" s="80"/>
      <c r="L1407" s="379"/>
      <c r="M1407" s="113"/>
      <c r="N1407" s="80"/>
      <c r="O1407" s="374"/>
      <c r="P1407" s="80"/>
      <c r="Q1407" s="80"/>
      <c r="R1407" s="265"/>
    </row>
    <row r="1408" spans="1:18" s="105" customFormat="1" ht="60.75" hidden="1" thickBot="1">
      <c r="A1408" s="159">
        <v>4749</v>
      </c>
      <c r="B1408" s="326" t="s">
        <v>288</v>
      </c>
      <c r="C1408" s="79"/>
      <c r="D1408" s="65">
        <f>G1408+J1408+P1408+M1408</f>
        <v>0</v>
      </c>
      <c r="E1408" s="80">
        <f t="shared" si="180"/>
        <v>0</v>
      </c>
      <c r="F1408" s="475" t="e">
        <f>E1408/D1408*100</f>
        <v>#DIV/0!</v>
      </c>
      <c r="G1408" s="79">
        <f>92-92</f>
        <v>0</v>
      </c>
      <c r="H1408" s="80"/>
      <c r="I1408" s="452" t="e">
        <f t="shared" si="179"/>
        <v>#DIV/0!</v>
      </c>
      <c r="J1408" s="113"/>
      <c r="K1408" s="80"/>
      <c r="L1408" s="379"/>
      <c r="M1408" s="113"/>
      <c r="N1408" s="80"/>
      <c r="O1408" s="374"/>
      <c r="P1408" s="80"/>
      <c r="Q1408" s="80"/>
      <c r="R1408" s="265"/>
    </row>
    <row r="1409" spans="1:18" s="105" customFormat="1" ht="36.75" hidden="1" thickBot="1">
      <c r="A1409" s="159">
        <v>4758</v>
      </c>
      <c r="B1409" s="326" t="s">
        <v>415</v>
      </c>
      <c r="C1409" s="79"/>
      <c r="D1409" s="65">
        <f t="shared" si="174"/>
        <v>0</v>
      </c>
      <c r="E1409" s="80">
        <f t="shared" si="180"/>
        <v>0</v>
      </c>
      <c r="F1409" s="475" t="e">
        <f t="shared" si="181"/>
        <v>#DIV/0!</v>
      </c>
      <c r="G1409" s="79">
        <f>1565-234-1331</f>
        <v>0</v>
      </c>
      <c r="H1409" s="80"/>
      <c r="I1409" s="452" t="e">
        <f t="shared" si="179"/>
        <v>#DIV/0!</v>
      </c>
      <c r="J1409" s="113"/>
      <c r="K1409" s="80"/>
      <c r="L1409" s="379"/>
      <c r="M1409" s="113"/>
      <c r="N1409" s="80"/>
      <c r="O1409" s="374"/>
      <c r="P1409" s="80"/>
      <c r="Q1409" s="80"/>
      <c r="R1409" s="265"/>
    </row>
    <row r="1410" spans="1:18" s="105" customFormat="1" ht="36.75" hidden="1" thickBot="1">
      <c r="A1410" s="159">
        <v>4759</v>
      </c>
      <c r="B1410" s="326" t="s">
        <v>415</v>
      </c>
      <c r="C1410" s="79"/>
      <c r="D1410" s="65">
        <f>G1410+J1410+P1410+M1410</f>
        <v>0</v>
      </c>
      <c r="E1410" s="80">
        <f t="shared" si="180"/>
        <v>0</v>
      </c>
      <c r="F1410" s="475" t="e">
        <f>E1410/D1410*100</f>
        <v>#DIV/0!</v>
      </c>
      <c r="G1410" s="79">
        <f>234-234</f>
        <v>0</v>
      </c>
      <c r="H1410" s="80"/>
      <c r="I1410" s="452" t="e">
        <f t="shared" si="179"/>
        <v>#DIV/0!</v>
      </c>
      <c r="J1410" s="113"/>
      <c r="K1410" s="80"/>
      <c r="L1410" s="379"/>
      <c r="M1410" s="113"/>
      <c r="N1410" s="80"/>
      <c r="O1410" s="374"/>
      <c r="P1410" s="80"/>
      <c r="Q1410" s="80"/>
      <c r="R1410" s="265"/>
    </row>
    <row r="1411" spans="1:18" s="105" customFormat="1" ht="108.75" hidden="1" thickBot="1">
      <c r="A1411" s="540"/>
      <c r="B1411" s="541" t="s">
        <v>670</v>
      </c>
      <c r="C1411" s="79"/>
      <c r="D1411" s="126">
        <f>G1411+J1411+P1411+M1411</f>
        <v>0</v>
      </c>
      <c r="E1411" s="126">
        <f>SUM(H1411+K1411+N1411+Q1411)</f>
        <v>0</v>
      </c>
      <c r="F1411" s="511" t="e">
        <f>E1411/D1411*100</f>
        <v>#DIV/0!</v>
      </c>
      <c r="G1411" s="79"/>
      <c r="H1411" s="80"/>
      <c r="I1411" s="452"/>
      <c r="J1411" s="127">
        <f>SUM(J1412:J1416)</f>
        <v>0</v>
      </c>
      <c r="K1411" s="126">
        <f>SUM(K1412:K1416)</f>
        <v>0</v>
      </c>
      <c r="L1411" s="392" t="e">
        <f aca="true" t="shared" si="182" ref="L1411:L1416">K1411/J1411*100</f>
        <v>#DIV/0!</v>
      </c>
      <c r="M1411" s="113"/>
      <c r="N1411" s="80"/>
      <c r="O1411" s="374"/>
      <c r="P1411" s="80"/>
      <c r="Q1411" s="80"/>
      <c r="R1411" s="265"/>
    </row>
    <row r="1412" spans="1:18" s="105" customFormat="1" ht="24.75" hidden="1" thickBot="1">
      <c r="A1412" s="111">
        <v>4110</v>
      </c>
      <c r="B1412" s="262" t="s">
        <v>477</v>
      </c>
      <c r="C1412" s="79"/>
      <c r="D1412" s="65">
        <f>G1412+J1412+P1412+M1412</f>
        <v>0</v>
      </c>
      <c r="E1412" s="80">
        <f>SUM(H1412+K1412+N1412+Q1412)</f>
        <v>0</v>
      </c>
      <c r="F1412" s="475" t="e">
        <f>E1412/D1412*100</f>
        <v>#DIV/0!</v>
      </c>
      <c r="G1412" s="79"/>
      <c r="H1412" s="80"/>
      <c r="I1412" s="452"/>
      <c r="J1412" s="113"/>
      <c r="K1412" s="80"/>
      <c r="L1412" s="379" t="e">
        <f t="shared" si="182"/>
        <v>#DIV/0!</v>
      </c>
      <c r="M1412" s="113"/>
      <c r="N1412" s="80"/>
      <c r="O1412" s="374"/>
      <c r="P1412" s="80"/>
      <c r="Q1412" s="80"/>
      <c r="R1412" s="265"/>
    </row>
    <row r="1413" spans="1:18" s="105" customFormat="1" ht="13.5" hidden="1" thickBot="1">
      <c r="A1413" s="111">
        <v>4120</v>
      </c>
      <c r="B1413" s="262" t="s">
        <v>547</v>
      </c>
      <c r="C1413" s="79"/>
      <c r="D1413" s="65">
        <f aca="true" t="shared" si="183" ref="D1413:D1420">G1413+J1413+P1413+M1413</f>
        <v>0</v>
      </c>
      <c r="E1413" s="80">
        <f aca="true" t="shared" si="184" ref="E1413:E1420">SUM(H1413+K1413+N1413+Q1413)</f>
        <v>0</v>
      </c>
      <c r="F1413" s="475" t="e">
        <f aca="true" t="shared" si="185" ref="F1413:F1470">E1413/D1413*100</f>
        <v>#DIV/0!</v>
      </c>
      <c r="G1413" s="79"/>
      <c r="H1413" s="80"/>
      <c r="I1413" s="452"/>
      <c r="J1413" s="113"/>
      <c r="K1413" s="80"/>
      <c r="L1413" s="379" t="e">
        <f t="shared" si="182"/>
        <v>#DIV/0!</v>
      </c>
      <c r="M1413" s="113"/>
      <c r="N1413" s="80"/>
      <c r="O1413" s="374"/>
      <c r="P1413" s="80"/>
      <c r="Q1413" s="80"/>
      <c r="R1413" s="265"/>
    </row>
    <row r="1414" spans="1:18" s="105" customFormat="1" ht="24.75" hidden="1" thickBot="1">
      <c r="A1414" s="111">
        <v>4170</v>
      </c>
      <c r="B1414" s="262" t="s">
        <v>511</v>
      </c>
      <c r="C1414" s="79"/>
      <c r="D1414" s="65">
        <f t="shared" si="183"/>
        <v>0</v>
      </c>
      <c r="E1414" s="80">
        <f t="shared" si="184"/>
        <v>0</v>
      </c>
      <c r="F1414" s="475" t="e">
        <f t="shared" si="185"/>
        <v>#DIV/0!</v>
      </c>
      <c r="G1414" s="79"/>
      <c r="H1414" s="80"/>
      <c r="I1414" s="452"/>
      <c r="J1414" s="113"/>
      <c r="K1414" s="80"/>
      <c r="L1414" s="379" t="e">
        <f t="shared" si="182"/>
        <v>#DIV/0!</v>
      </c>
      <c r="M1414" s="113"/>
      <c r="N1414" s="80"/>
      <c r="O1414" s="374"/>
      <c r="P1414" s="80"/>
      <c r="Q1414" s="80"/>
      <c r="R1414" s="265"/>
    </row>
    <row r="1415" spans="1:18" s="105" customFormat="1" ht="24.75" hidden="1" thickBot="1">
      <c r="A1415" s="111">
        <v>4210</v>
      </c>
      <c r="B1415" s="262" t="s">
        <v>481</v>
      </c>
      <c r="C1415" s="79"/>
      <c r="D1415" s="65">
        <f t="shared" si="183"/>
        <v>0</v>
      </c>
      <c r="E1415" s="80">
        <f t="shared" si="184"/>
        <v>0</v>
      </c>
      <c r="F1415" s="475" t="e">
        <f t="shared" si="185"/>
        <v>#DIV/0!</v>
      </c>
      <c r="G1415" s="79"/>
      <c r="H1415" s="80"/>
      <c r="I1415" s="452"/>
      <c r="J1415" s="113"/>
      <c r="K1415" s="80"/>
      <c r="L1415" s="466" t="e">
        <f t="shared" si="182"/>
        <v>#DIV/0!</v>
      </c>
      <c r="M1415" s="113"/>
      <c r="N1415" s="80"/>
      <c r="O1415" s="374"/>
      <c r="P1415" s="80"/>
      <c r="Q1415" s="80"/>
      <c r="R1415" s="265"/>
    </row>
    <row r="1416" spans="1:18" s="105" customFormat="1" ht="24.75" hidden="1" thickBot="1">
      <c r="A1416" s="111">
        <v>4300</v>
      </c>
      <c r="B1416" s="262" t="s">
        <v>522</v>
      </c>
      <c r="C1416" s="79"/>
      <c r="D1416" s="65">
        <f t="shared" si="183"/>
        <v>0</v>
      </c>
      <c r="E1416" s="80">
        <f t="shared" si="184"/>
        <v>0</v>
      </c>
      <c r="F1416" s="475" t="e">
        <f t="shared" si="185"/>
        <v>#DIV/0!</v>
      </c>
      <c r="G1416" s="79"/>
      <c r="H1416" s="80"/>
      <c r="I1416" s="452"/>
      <c r="J1416" s="79"/>
      <c r="K1416" s="80"/>
      <c r="L1416" s="466" t="e">
        <f t="shared" si="182"/>
        <v>#DIV/0!</v>
      </c>
      <c r="M1416" s="113"/>
      <c r="N1416" s="80"/>
      <c r="O1416" s="374"/>
      <c r="P1416" s="80"/>
      <c r="Q1416" s="80"/>
      <c r="R1416" s="265"/>
    </row>
    <row r="1417" spans="1:18" s="105" customFormat="1" ht="81.75" hidden="1" thickBot="1">
      <c r="A1417" s="540"/>
      <c r="B1417" s="546" t="s">
        <v>49</v>
      </c>
      <c r="C1417" s="79"/>
      <c r="D1417" s="126">
        <f t="shared" si="183"/>
        <v>0</v>
      </c>
      <c r="E1417" s="126">
        <f t="shared" si="184"/>
        <v>0</v>
      </c>
      <c r="F1417" s="511" t="e">
        <f t="shared" si="185"/>
        <v>#DIV/0!</v>
      </c>
      <c r="G1417" s="79"/>
      <c r="H1417" s="80"/>
      <c r="I1417" s="452"/>
      <c r="J1417" s="127"/>
      <c r="K1417" s="126"/>
      <c r="L1417" s="392"/>
      <c r="M1417" s="113"/>
      <c r="N1417" s="80"/>
      <c r="O1417" s="374"/>
      <c r="P1417" s="126">
        <f>SUM(P1418:P1425)</f>
        <v>0</v>
      </c>
      <c r="Q1417" s="126">
        <f>SUM(Q1418:Q1425)</f>
        <v>0</v>
      </c>
      <c r="R1417" s="374" t="e">
        <f>Q1417/P1417*100</f>
        <v>#DIV/0!</v>
      </c>
    </row>
    <row r="1418" spans="1:18" s="105" customFormat="1" ht="24.75" hidden="1" thickBot="1">
      <c r="A1418" s="111">
        <v>4110</v>
      </c>
      <c r="B1418" s="262" t="s">
        <v>477</v>
      </c>
      <c r="C1418" s="79"/>
      <c r="D1418" s="65">
        <f t="shared" si="183"/>
        <v>0</v>
      </c>
      <c r="E1418" s="80">
        <f t="shared" si="184"/>
        <v>0</v>
      </c>
      <c r="F1418" s="475" t="e">
        <f t="shared" si="185"/>
        <v>#DIV/0!</v>
      </c>
      <c r="G1418" s="79"/>
      <c r="H1418" s="80"/>
      <c r="I1418" s="452"/>
      <c r="J1418" s="80"/>
      <c r="K1418" s="80"/>
      <c r="L1418" s="466"/>
      <c r="M1418" s="113"/>
      <c r="N1418" s="80"/>
      <c r="O1418" s="374"/>
      <c r="P1418" s="80">
        <f>4840-4840</f>
        <v>0</v>
      </c>
      <c r="Q1418" s="80"/>
      <c r="R1418" s="265" t="e">
        <f aca="true" t="shared" si="186" ref="R1418:R1425">Q1418/P1418*100</f>
        <v>#DIV/0!</v>
      </c>
    </row>
    <row r="1419" spans="1:18" s="105" customFormat="1" ht="13.5" hidden="1" thickBot="1">
      <c r="A1419" s="111">
        <v>4120</v>
      </c>
      <c r="B1419" s="262" t="s">
        <v>547</v>
      </c>
      <c r="C1419" s="79"/>
      <c r="D1419" s="65">
        <f t="shared" si="183"/>
        <v>0</v>
      </c>
      <c r="E1419" s="80">
        <f t="shared" si="184"/>
        <v>0</v>
      </c>
      <c r="F1419" s="475" t="e">
        <f t="shared" si="185"/>
        <v>#DIV/0!</v>
      </c>
      <c r="G1419" s="79"/>
      <c r="H1419" s="80"/>
      <c r="I1419" s="452"/>
      <c r="J1419" s="80"/>
      <c r="K1419" s="80"/>
      <c r="L1419" s="466"/>
      <c r="M1419" s="113"/>
      <c r="N1419" s="80"/>
      <c r="O1419" s="374"/>
      <c r="P1419" s="80">
        <f>741-741</f>
        <v>0</v>
      </c>
      <c r="Q1419" s="80"/>
      <c r="R1419" s="265" t="e">
        <f t="shared" si="186"/>
        <v>#DIV/0!</v>
      </c>
    </row>
    <row r="1420" spans="1:18" s="105" customFormat="1" ht="24.75" hidden="1" thickBot="1">
      <c r="A1420" s="111">
        <v>4170</v>
      </c>
      <c r="B1420" s="262" t="s">
        <v>511</v>
      </c>
      <c r="C1420" s="79"/>
      <c r="D1420" s="65">
        <f t="shared" si="183"/>
        <v>0</v>
      </c>
      <c r="E1420" s="80">
        <f t="shared" si="184"/>
        <v>0</v>
      </c>
      <c r="F1420" s="475" t="e">
        <f t="shared" si="185"/>
        <v>#DIV/0!</v>
      </c>
      <c r="G1420" s="79"/>
      <c r="H1420" s="80"/>
      <c r="I1420" s="452"/>
      <c r="J1420" s="80"/>
      <c r="K1420" s="80"/>
      <c r="L1420" s="466"/>
      <c r="M1420" s="113"/>
      <c r="N1420" s="80"/>
      <c r="O1420" s="374"/>
      <c r="P1420" s="80">
        <f>30219-30219</f>
        <v>0</v>
      </c>
      <c r="Q1420" s="80"/>
      <c r="R1420" s="265" t="e">
        <f t="shared" si="186"/>
        <v>#DIV/0!</v>
      </c>
    </row>
    <row r="1421" spans="1:18" s="105" customFormat="1" ht="24.75" hidden="1" thickBot="1">
      <c r="A1421" s="111">
        <v>4210</v>
      </c>
      <c r="B1421" s="262" t="s">
        <v>481</v>
      </c>
      <c r="C1421" s="79"/>
      <c r="D1421" s="65">
        <f>G1421+J1421+P1421+M1421</f>
        <v>0</v>
      </c>
      <c r="E1421" s="80">
        <f>SUM(H1421+K1421+N1421+Q1421)</f>
        <v>0</v>
      </c>
      <c r="F1421" s="475" t="e">
        <f t="shared" si="185"/>
        <v>#DIV/0!</v>
      </c>
      <c r="G1421" s="79"/>
      <c r="H1421" s="80"/>
      <c r="I1421" s="452"/>
      <c r="J1421" s="80"/>
      <c r="K1421" s="80"/>
      <c r="L1421" s="466"/>
      <c r="M1421" s="113"/>
      <c r="N1421" s="80"/>
      <c r="O1421" s="374"/>
      <c r="P1421" s="80">
        <f>4300-4300</f>
        <v>0</v>
      </c>
      <c r="Q1421" s="80"/>
      <c r="R1421" s="265" t="e">
        <f t="shared" si="186"/>
        <v>#DIV/0!</v>
      </c>
    </row>
    <row r="1422" spans="1:18" s="105" customFormat="1" ht="24.75" hidden="1" thickBot="1">
      <c r="A1422" s="111">
        <v>4240</v>
      </c>
      <c r="B1422" s="262" t="s">
        <v>641</v>
      </c>
      <c r="C1422" s="79"/>
      <c r="D1422" s="65">
        <f>G1422+J1422+P1422+M1422</f>
        <v>0</v>
      </c>
      <c r="E1422" s="80">
        <f>SUM(H1422+K1422+N1422+Q1422)</f>
        <v>0</v>
      </c>
      <c r="F1422" s="475" t="e">
        <f t="shared" si="185"/>
        <v>#DIV/0!</v>
      </c>
      <c r="G1422" s="79"/>
      <c r="H1422" s="80"/>
      <c r="I1422" s="452"/>
      <c r="J1422" s="80"/>
      <c r="K1422" s="80"/>
      <c r="L1422" s="466"/>
      <c r="M1422" s="113"/>
      <c r="N1422" s="80"/>
      <c r="O1422" s="374"/>
      <c r="P1422" s="80"/>
      <c r="Q1422" s="80"/>
      <c r="R1422" s="265" t="e">
        <f t="shared" si="186"/>
        <v>#DIV/0!</v>
      </c>
    </row>
    <row r="1423" spans="1:18" s="105" customFormat="1" ht="24.75" hidden="1" thickBot="1">
      <c r="A1423" s="111">
        <v>4300</v>
      </c>
      <c r="B1423" s="276" t="s">
        <v>489</v>
      </c>
      <c r="C1423" s="79"/>
      <c r="D1423" s="65">
        <f>G1423+J1423+P1423+M1423</f>
        <v>0</v>
      </c>
      <c r="E1423" s="80">
        <f>SUM(H1423+K1423+N1423+Q1423)</f>
        <v>0</v>
      </c>
      <c r="F1423" s="475" t="e">
        <f t="shared" si="185"/>
        <v>#DIV/0!</v>
      </c>
      <c r="G1423" s="79"/>
      <c r="H1423" s="80"/>
      <c r="I1423" s="452"/>
      <c r="J1423" s="79"/>
      <c r="K1423" s="80"/>
      <c r="L1423" s="466"/>
      <c r="M1423" s="113"/>
      <c r="N1423" s="80"/>
      <c r="O1423" s="374"/>
      <c r="P1423" s="80">
        <f>10100-10100</f>
        <v>0</v>
      </c>
      <c r="Q1423" s="80"/>
      <c r="R1423" s="265" t="e">
        <f t="shared" si="186"/>
        <v>#DIV/0!</v>
      </c>
    </row>
    <row r="1424" spans="1:18" s="105" customFormat="1" ht="60.75" hidden="1" thickBot="1">
      <c r="A1424" s="159">
        <v>4740</v>
      </c>
      <c r="B1424" s="326" t="s">
        <v>288</v>
      </c>
      <c r="C1424" s="79"/>
      <c r="D1424" s="65">
        <f>G1424+J1424+P1424+M1424</f>
        <v>0</v>
      </c>
      <c r="E1424" s="80">
        <f>SUM(H1424+K1424+N1424+Q1424)</f>
        <v>0</v>
      </c>
      <c r="F1424" s="475" t="e">
        <f t="shared" si="185"/>
        <v>#DIV/0!</v>
      </c>
      <c r="G1424" s="79"/>
      <c r="H1424" s="80"/>
      <c r="I1424" s="452"/>
      <c r="J1424" s="79"/>
      <c r="K1424" s="80"/>
      <c r="L1424" s="466"/>
      <c r="M1424" s="113"/>
      <c r="N1424" s="80"/>
      <c r="O1424" s="374"/>
      <c r="P1424" s="80">
        <f>100-100</f>
        <v>0</v>
      </c>
      <c r="Q1424" s="80"/>
      <c r="R1424" s="265" t="e">
        <f t="shared" si="186"/>
        <v>#DIV/0!</v>
      </c>
    </row>
    <row r="1425" spans="1:18" s="105" customFormat="1" ht="36.75" hidden="1" thickBot="1">
      <c r="A1425" s="159">
        <v>4750</v>
      </c>
      <c r="B1425" s="326" t="s">
        <v>50</v>
      </c>
      <c r="C1425" s="79"/>
      <c r="D1425" s="65">
        <f>G1425+J1425+P1425+M1425</f>
        <v>0</v>
      </c>
      <c r="E1425" s="80">
        <f>SUM(H1425+K1425+N1425+Q1425)</f>
        <v>0</v>
      </c>
      <c r="F1425" s="475" t="e">
        <f t="shared" si="185"/>
        <v>#DIV/0!</v>
      </c>
      <c r="G1425" s="79"/>
      <c r="H1425" s="80"/>
      <c r="I1425" s="452"/>
      <c r="J1425" s="113"/>
      <c r="K1425" s="80"/>
      <c r="L1425" s="379"/>
      <c r="M1425" s="113"/>
      <c r="N1425" s="80"/>
      <c r="O1425" s="374"/>
      <c r="P1425" s="80">
        <f>836-836</f>
        <v>0</v>
      </c>
      <c r="Q1425" s="80"/>
      <c r="R1425" s="265" t="e">
        <f t="shared" si="186"/>
        <v>#DIV/0!</v>
      </c>
    </row>
    <row r="1426" spans="1:18" s="130" customFormat="1" ht="49.5" thickBot="1" thickTop="1">
      <c r="A1426" s="118">
        <v>853</v>
      </c>
      <c r="B1426" s="292" t="s">
        <v>93</v>
      </c>
      <c r="C1426" s="120">
        <f>C1427+C1434+C1431+C1451+C1449</f>
        <v>5016817</v>
      </c>
      <c r="D1426" s="51">
        <f>D1427+D1434+D1431+D1451+D1449</f>
        <v>5304129</v>
      </c>
      <c r="E1426" s="51">
        <f>E1427+E1434+E1431+E1451+E1449</f>
        <v>2343914</v>
      </c>
      <c r="F1426" s="517">
        <f t="shared" si="185"/>
        <v>44.190365656642214</v>
      </c>
      <c r="G1426" s="120">
        <f>G1427+G1434+G1431+G1451</f>
        <v>4296910</v>
      </c>
      <c r="H1426" s="51">
        <f>H1427+H1434+H1431+H1451</f>
        <v>1767123</v>
      </c>
      <c r="I1426" s="480">
        <f t="shared" si="179"/>
        <v>41.12543665098873</v>
      </c>
      <c r="J1426" s="121"/>
      <c r="K1426" s="51"/>
      <c r="L1426" s="407"/>
      <c r="M1426" s="121">
        <f>M1427+M1434+M1451+M1431</f>
        <v>891219</v>
      </c>
      <c r="N1426" s="51">
        <f>N1427+N1434+N1451+N1431</f>
        <v>518808</v>
      </c>
      <c r="O1426" s="373">
        <f>N1426/M1426*100</f>
        <v>58.213301107808526</v>
      </c>
      <c r="P1426" s="51">
        <f>P1434+P1449</f>
        <v>116000</v>
      </c>
      <c r="Q1426" s="51">
        <f>Q1434+Q1449</f>
        <v>57983</v>
      </c>
      <c r="R1426" s="373">
        <f>Q1426/P1426*100</f>
        <v>49.98534482758621</v>
      </c>
    </row>
    <row r="1427" spans="1:18" s="105" customFormat="1" ht="13.5" thickTop="1">
      <c r="A1427" s="106">
        <v>85305</v>
      </c>
      <c r="B1427" s="261" t="s">
        <v>94</v>
      </c>
      <c r="C1427" s="108">
        <f>SUM(C1428:C1430)</f>
        <v>3216000</v>
      </c>
      <c r="D1427" s="86">
        <f>G1427+J1427+P1427+M1427</f>
        <v>3345500</v>
      </c>
      <c r="E1427" s="495">
        <f aca="true" t="shared" si="187" ref="E1427:E1433">SUM(H1427+K1427+N1427+Q1427)</f>
        <v>1633550</v>
      </c>
      <c r="F1427" s="513">
        <f t="shared" si="185"/>
        <v>48.82827678971753</v>
      </c>
      <c r="G1427" s="108">
        <f>SUM(G1428:G1430)</f>
        <v>3345500</v>
      </c>
      <c r="H1427" s="75">
        <f>SUM(H1428:H1430)</f>
        <v>1633550</v>
      </c>
      <c r="I1427" s="451">
        <f t="shared" si="179"/>
        <v>48.82827678971753</v>
      </c>
      <c r="J1427" s="110"/>
      <c r="K1427" s="75"/>
      <c r="L1427" s="406"/>
      <c r="M1427" s="75"/>
      <c r="N1427" s="75"/>
      <c r="O1427" s="369"/>
      <c r="P1427" s="75"/>
      <c r="Q1427" s="75"/>
      <c r="R1427" s="360"/>
    </row>
    <row r="1428" spans="1:18" s="105" customFormat="1" ht="36">
      <c r="A1428" s="131">
        <v>2510</v>
      </c>
      <c r="B1428" s="287" t="s">
        <v>535</v>
      </c>
      <c r="C1428" s="133">
        <v>3050000</v>
      </c>
      <c r="D1428" s="134">
        <f aca="true" t="shared" si="188" ref="D1428:D1581">G1428+J1428+P1428+M1428</f>
        <v>3101000</v>
      </c>
      <c r="E1428" s="136">
        <f t="shared" si="187"/>
        <v>1633550</v>
      </c>
      <c r="F1428" s="432">
        <f t="shared" si="185"/>
        <v>52.67816833279587</v>
      </c>
      <c r="G1428" s="133">
        <f>3050000+26500+24500</f>
        <v>3101000</v>
      </c>
      <c r="H1428" s="136">
        <v>1633550</v>
      </c>
      <c r="I1428" s="451">
        <f t="shared" si="179"/>
        <v>52.67816833279587</v>
      </c>
      <c r="J1428" s="135"/>
      <c r="K1428" s="136"/>
      <c r="L1428" s="395"/>
      <c r="M1428" s="136"/>
      <c r="N1428" s="136"/>
      <c r="O1428" s="369"/>
      <c r="P1428" s="136"/>
      <c r="Q1428" s="136"/>
      <c r="R1428" s="360"/>
    </row>
    <row r="1429" spans="1:18" s="105" customFormat="1" ht="24">
      <c r="A1429" s="111">
        <v>6050</v>
      </c>
      <c r="B1429" s="262" t="s">
        <v>549</v>
      </c>
      <c r="C1429" s="79"/>
      <c r="D1429" s="65">
        <f>G1429+J1429+P1429+M1429</f>
        <v>78500</v>
      </c>
      <c r="E1429" s="80">
        <f>SUM(H1429+K1429+N1429+Q1429)</f>
        <v>0</v>
      </c>
      <c r="F1429" s="426">
        <f>E1429/D1429*100</f>
        <v>0</v>
      </c>
      <c r="G1429" s="79">
        <v>78500</v>
      </c>
      <c r="H1429" s="80"/>
      <c r="I1429" s="426">
        <f t="shared" si="179"/>
        <v>0</v>
      </c>
      <c r="J1429" s="113"/>
      <c r="K1429" s="80"/>
      <c r="L1429" s="379"/>
      <c r="M1429" s="80"/>
      <c r="N1429" s="80"/>
      <c r="O1429" s="356"/>
      <c r="P1429" s="80"/>
      <c r="Q1429" s="80"/>
      <c r="R1429" s="350"/>
    </row>
    <row r="1430" spans="1:18" s="105" customFormat="1" ht="72.75" customHeight="1">
      <c r="A1430" s="184">
        <v>6210</v>
      </c>
      <c r="B1430" s="185" t="s">
        <v>536</v>
      </c>
      <c r="C1430" s="147">
        <v>166000</v>
      </c>
      <c r="D1430" s="148">
        <f>G1430+J1430+P1430+M1430</f>
        <v>166000</v>
      </c>
      <c r="E1430" s="142">
        <f t="shared" si="187"/>
        <v>0</v>
      </c>
      <c r="F1430" s="512">
        <f>E1430/D1430*100</f>
        <v>0</v>
      </c>
      <c r="G1430" s="147">
        <v>166000</v>
      </c>
      <c r="H1430" s="142"/>
      <c r="I1430" s="446">
        <f t="shared" si="179"/>
        <v>0</v>
      </c>
      <c r="J1430" s="149"/>
      <c r="K1430" s="142"/>
      <c r="L1430" s="404"/>
      <c r="M1430" s="142"/>
      <c r="N1430" s="142"/>
      <c r="O1430" s="375"/>
      <c r="P1430" s="142"/>
      <c r="Q1430" s="142"/>
      <c r="R1430" s="354"/>
    </row>
    <row r="1431" spans="1:18" s="130" customFormat="1" ht="48">
      <c r="A1431" s="137">
        <v>85311</v>
      </c>
      <c r="B1431" s="284" t="s">
        <v>98</v>
      </c>
      <c r="C1431" s="85">
        <f>SUM(C1432:C1433)</f>
        <v>200000</v>
      </c>
      <c r="D1431" s="86">
        <f t="shared" si="188"/>
        <v>199237</v>
      </c>
      <c r="E1431" s="86">
        <f t="shared" si="187"/>
        <v>82200</v>
      </c>
      <c r="F1431" s="513">
        <f t="shared" si="185"/>
        <v>41.25739696943841</v>
      </c>
      <c r="G1431" s="85"/>
      <c r="H1431" s="86"/>
      <c r="I1431" s="451"/>
      <c r="J1431" s="158"/>
      <c r="K1431" s="86"/>
      <c r="L1431" s="406"/>
      <c r="M1431" s="85">
        <f>SUM(M1432:M1433)</f>
        <v>199237</v>
      </c>
      <c r="N1431" s="86">
        <f>SUM(N1432:N1433)</f>
        <v>82200</v>
      </c>
      <c r="O1431" s="451">
        <f>N1431/M1431*100</f>
        <v>41.25739696943841</v>
      </c>
      <c r="P1431" s="86"/>
      <c r="Q1431" s="86"/>
      <c r="R1431" s="358"/>
    </row>
    <row r="1432" spans="1:18" s="12" customFormat="1" ht="51.75" customHeight="1">
      <c r="A1432" s="181">
        <v>2580</v>
      </c>
      <c r="B1432" s="291" t="s">
        <v>343</v>
      </c>
      <c r="C1432" s="93">
        <v>200000</v>
      </c>
      <c r="D1432" s="65">
        <f>G1432+J1432+P1432+M1432</f>
        <v>116385</v>
      </c>
      <c r="E1432" s="80">
        <f t="shared" si="187"/>
        <v>53430</v>
      </c>
      <c r="F1432" s="479">
        <f t="shared" si="185"/>
        <v>45.90797783219487</v>
      </c>
      <c r="G1432" s="93"/>
      <c r="H1432" s="94"/>
      <c r="I1432" s="454"/>
      <c r="J1432" s="183"/>
      <c r="K1432" s="94"/>
      <c r="L1432" s="403"/>
      <c r="M1432" s="93">
        <f>200000-83615</f>
        <v>116385</v>
      </c>
      <c r="N1432" s="94">
        <v>53430</v>
      </c>
      <c r="O1432" s="452">
        <f>N1432/M1432*100</f>
        <v>45.90797783219487</v>
      </c>
      <c r="P1432" s="94"/>
      <c r="Q1432" s="94"/>
      <c r="R1432" s="353"/>
    </row>
    <row r="1433" spans="1:18" s="105" customFormat="1" ht="62.25" customHeight="1">
      <c r="A1433" s="159">
        <v>2580</v>
      </c>
      <c r="B1433" s="277" t="s">
        <v>45</v>
      </c>
      <c r="C1433" s="147"/>
      <c r="D1433" s="65">
        <f>G1433+J1433+P1433+M1433</f>
        <v>82852</v>
      </c>
      <c r="E1433" s="80">
        <f t="shared" si="187"/>
        <v>28770</v>
      </c>
      <c r="F1433" s="446"/>
      <c r="G1433" s="147"/>
      <c r="H1433" s="142"/>
      <c r="I1433" s="453"/>
      <c r="J1433" s="149"/>
      <c r="K1433" s="142"/>
      <c r="L1433" s="404"/>
      <c r="M1433" s="147">
        <v>82852</v>
      </c>
      <c r="N1433" s="142">
        <v>28770</v>
      </c>
      <c r="O1433" s="452">
        <f>N1433/M1433*100</f>
        <v>34.72456911118621</v>
      </c>
      <c r="P1433" s="142"/>
      <c r="Q1433" s="142"/>
      <c r="R1433" s="354"/>
    </row>
    <row r="1434" spans="1:18" s="105" customFormat="1" ht="24">
      <c r="A1434" s="106">
        <v>85321</v>
      </c>
      <c r="B1434" s="261" t="s">
        <v>248</v>
      </c>
      <c r="C1434" s="108">
        <f>SUM(C1435:C1448)</f>
        <v>196000</v>
      </c>
      <c r="D1434" s="86">
        <f t="shared" si="188"/>
        <v>196000</v>
      </c>
      <c r="E1434" s="75">
        <f>H1434+K1434+Q1434+N1434</f>
        <v>96982</v>
      </c>
      <c r="F1434" s="513">
        <f t="shared" si="185"/>
        <v>49.48061224489796</v>
      </c>
      <c r="G1434" s="133"/>
      <c r="H1434" s="136"/>
      <c r="I1434" s="455"/>
      <c r="J1434" s="135"/>
      <c r="K1434" s="136"/>
      <c r="L1434" s="395"/>
      <c r="M1434" s="75">
        <f>SUM(M1435:M1448)</f>
        <v>80000</v>
      </c>
      <c r="N1434" s="75">
        <f>SUM(N1435:N1448)</f>
        <v>38999</v>
      </c>
      <c r="O1434" s="432">
        <f aca="true" t="shared" si="189" ref="O1434:O1447">N1434/M1434*100</f>
        <v>48.74875</v>
      </c>
      <c r="P1434" s="75">
        <f>SUM(P1435:P1448)</f>
        <v>116000</v>
      </c>
      <c r="Q1434" s="75">
        <f>SUM(Q1435:Q1448)</f>
        <v>57983</v>
      </c>
      <c r="R1434" s="432">
        <f aca="true" t="shared" si="190" ref="R1434:R1441">Q1434/P1434*100</f>
        <v>49.98534482758621</v>
      </c>
    </row>
    <row r="1435" spans="1:18" s="105" customFormat="1" ht="24">
      <c r="A1435" s="99">
        <v>4010</v>
      </c>
      <c r="B1435" s="272" t="s">
        <v>471</v>
      </c>
      <c r="C1435" s="81">
        <v>106066</v>
      </c>
      <c r="D1435" s="94">
        <f t="shared" si="188"/>
        <v>106066</v>
      </c>
      <c r="E1435" s="95">
        <f aca="true" t="shared" si="191" ref="E1435:E1540">SUM(H1435+K1435+N1435+Q1435)</f>
        <v>51280</v>
      </c>
      <c r="F1435" s="514">
        <f t="shared" si="185"/>
        <v>48.347255482435465</v>
      </c>
      <c r="G1435" s="81"/>
      <c r="H1435" s="95"/>
      <c r="I1435" s="456"/>
      <c r="J1435" s="187"/>
      <c r="K1435" s="95"/>
      <c r="L1435" s="403"/>
      <c r="M1435" s="95">
        <v>27266</v>
      </c>
      <c r="N1435" s="288">
        <v>16636</v>
      </c>
      <c r="O1435" s="448">
        <f t="shared" si="189"/>
        <v>61.01371671679014</v>
      </c>
      <c r="P1435" s="187">
        <v>78800</v>
      </c>
      <c r="Q1435" s="95">
        <v>34644</v>
      </c>
      <c r="R1435" s="426">
        <f t="shared" si="190"/>
        <v>43.96446700507614</v>
      </c>
    </row>
    <row r="1436" spans="1:18" s="105" customFormat="1" ht="24">
      <c r="A1436" s="111">
        <v>4040</v>
      </c>
      <c r="B1436" s="262" t="s">
        <v>475</v>
      </c>
      <c r="C1436" s="79">
        <v>8520</v>
      </c>
      <c r="D1436" s="65">
        <f t="shared" si="188"/>
        <v>8520</v>
      </c>
      <c r="E1436" s="80">
        <f t="shared" si="191"/>
        <v>8115</v>
      </c>
      <c r="F1436" s="479">
        <f t="shared" si="185"/>
        <v>95.24647887323944</v>
      </c>
      <c r="G1436" s="79"/>
      <c r="H1436" s="80"/>
      <c r="I1436" s="457"/>
      <c r="J1436" s="113"/>
      <c r="K1436" s="80"/>
      <c r="L1436" s="379"/>
      <c r="M1436" s="80">
        <v>8520</v>
      </c>
      <c r="N1436" s="207">
        <v>8115</v>
      </c>
      <c r="O1436" s="426">
        <f t="shared" si="189"/>
        <v>95.24647887323944</v>
      </c>
      <c r="P1436" s="113"/>
      <c r="Q1436" s="80"/>
      <c r="R1436" s="426"/>
    </row>
    <row r="1437" spans="1:18" s="105" customFormat="1" ht="24">
      <c r="A1437" s="111">
        <v>4110</v>
      </c>
      <c r="B1437" s="262" t="s">
        <v>477</v>
      </c>
      <c r="C1437" s="79">
        <v>17423</v>
      </c>
      <c r="D1437" s="65">
        <f t="shared" si="188"/>
        <v>17423</v>
      </c>
      <c r="E1437" s="80">
        <f t="shared" si="191"/>
        <v>9888</v>
      </c>
      <c r="F1437" s="479">
        <f t="shared" si="185"/>
        <v>56.752568444010784</v>
      </c>
      <c r="G1437" s="79"/>
      <c r="H1437" s="80"/>
      <c r="I1437" s="457"/>
      <c r="J1437" s="113"/>
      <c r="K1437" s="80"/>
      <c r="L1437" s="379"/>
      <c r="M1437" s="80">
        <v>11823</v>
      </c>
      <c r="N1437" s="207">
        <v>5624</v>
      </c>
      <c r="O1437" s="426">
        <f t="shared" si="189"/>
        <v>47.56829907806817</v>
      </c>
      <c r="P1437" s="113">
        <v>5600</v>
      </c>
      <c r="Q1437" s="80">
        <f>4265-1</f>
        <v>4264</v>
      </c>
      <c r="R1437" s="426">
        <f t="shared" si="190"/>
        <v>76.14285714285714</v>
      </c>
    </row>
    <row r="1438" spans="1:18" s="105" customFormat="1" ht="16.5" customHeight="1">
      <c r="A1438" s="111">
        <v>4120</v>
      </c>
      <c r="B1438" s="262" t="s">
        <v>553</v>
      </c>
      <c r="C1438" s="79">
        <v>2700</v>
      </c>
      <c r="D1438" s="65">
        <f t="shared" si="188"/>
        <v>2700</v>
      </c>
      <c r="E1438" s="80">
        <f t="shared" si="191"/>
        <v>1494</v>
      </c>
      <c r="F1438" s="479">
        <f t="shared" si="185"/>
        <v>55.333333333333336</v>
      </c>
      <c r="G1438" s="79"/>
      <c r="H1438" s="80"/>
      <c r="I1438" s="457"/>
      <c r="J1438" s="113"/>
      <c r="K1438" s="80"/>
      <c r="L1438" s="379"/>
      <c r="M1438" s="80">
        <v>1000</v>
      </c>
      <c r="N1438" s="207">
        <v>418</v>
      </c>
      <c r="O1438" s="426">
        <f t="shared" si="189"/>
        <v>41.8</v>
      </c>
      <c r="P1438" s="113">
        <v>1700</v>
      </c>
      <c r="Q1438" s="80">
        <v>1076</v>
      </c>
      <c r="R1438" s="426">
        <f t="shared" si="190"/>
        <v>63.294117647058826</v>
      </c>
    </row>
    <row r="1439" spans="1:18" s="105" customFormat="1" ht="24">
      <c r="A1439" s="111">
        <v>4170</v>
      </c>
      <c r="B1439" s="262" t="s">
        <v>511</v>
      </c>
      <c r="C1439" s="79">
        <v>10603</v>
      </c>
      <c r="D1439" s="65">
        <f t="shared" si="188"/>
        <v>10603</v>
      </c>
      <c r="E1439" s="80">
        <f t="shared" si="191"/>
        <v>3400</v>
      </c>
      <c r="F1439" s="479">
        <f t="shared" si="185"/>
        <v>32.06639630293313</v>
      </c>
      <c r="G1439" s="79"/>
      <c r="H1439" s="80"/>
      <c r="I1439" s="457"/>
      <c r="J1439" s="113"/>
      <c r="K1439" s="80"/>
      <c r="L1439" s="379"/>
      <c r="M1439" s="80">
        <v>5303</v>
      </c>
      <c r="N1439" s="207"/>
      <c r="O1439" s="426">
        <f t="shared" si="189"/>
        <v>0</v>
      </c>
      <c r="P1439" s="113">
        <v>5300</v>
      </c>
      <c r="Q1439" s="80">
        <v>3400</v>
      </c>
      <c r="R1439" s="426">
        <f t="shared" si="190"/>
        <v>64.15094339622641</v>
      </c>
    </row>
    <row r="1440" spans="1:18" s="105" customFormat="1" ht="24">
      <c r="A1440" s="111">
        <v>4210</v>
      </c>
      <c r="B1440" s="262" t="s">
        <v>481</v>
      </c>
      <c r="C1440" s="79">
        <v>5010</v>
      </c>
      <c r="D1440" s="65">
        <f t="shared" si="188"/>
        <v>5010</v>
      </c>
      <c r="E1440" s="80">
        <f t="shared" si="191"/>
        <v>1540</v>
      </c>
      <c r="F1440" s="479">
        <f t="shared" si="185"/>
        <v>30.738522954091817</v>
      </c>
      <c r="G1440" s="79"/>
      <c r="H1440" s="80"/>
      <c r="I1440" s="457"/>
      <c r="J1440" s="113"/>
      <c r="K1440" s="80"/>
      <c r="L1440" s="379"/>
      <c r="M1440" s="80">
        <v>5010</v>
      </c>
      <c r="N1440" s="207">
        <f>1540-1+1</f>
        <v>1540</v>
      </c>
      <c r="O1440" s="426">
        <f t="shared" si="189"/>
        <v>30.738522954091817</v>
      </c>
      <c r="P1440" s="113"/>
      <c r="Q1440" s="80"/>
      <c r="R1440" s="426"/>
    </row>
    <row r="1441" spans="1:18" s="105" customFormat="1" ht="12" customHeight="1">
      <c r="A1441" s="111">
        <v>4300</v>
      </c>
      <c r="B1441" s="262" t="s">
        <v>489</v>
      </c>
      <c r="C1441" s="79">
        <v>37753</v>
      </c>
      <c r="D1441" s="65">
        <f t="shared" si="188"/>
        <v>37753</v>
      </c>
      <c r="E1441" s="80">
        <f t="shared" si="191"/>
        <v>16640</v>
      </c>
      <c r="F1441" s="479">
        <f t="shared" si="185"/>
        <v>44.075967472783624</v>
      </c>
      <c r="G1441" s="79"/>
      <c r="H1441" s="80"/>
      <c r="I1441" s="457"/>
      <c r="J1441" s="113"/>
      <c r="K1441" s="80"/>
      <c r="L1441" s="379"/>
      <c r="M1441" s="80">
        <v>13153</v>
      </c>
      <c r="N1441" s="207">
        <v>2041</v>
      </c>
      <c r="O1441" s="426">
        <f t="shared" si="189"/>
        <v>15.51737246255607</v>
      </c>
      <c r="P1441" s="113">
        <v>24600</v>
      </c>
      <c r="Q1441" s="80">
        <v>14599</v>
      </c>
      <c r="R1441" s="426">
        <f t="shared" si="190"/>
        <v>59.34552845528456</v>
      </c>
    </row>
    <row r="1442" spans="1:18" s="105" customFormat="1" ht="24">
      <c r="A1442" s="111">
        <v>4350</v>
      </c>
      <c r="B1442" s="115" t="s">
        <v>7</v>
      </c>
      <c r="C1442" s="79">
        <v>500</v>
      </c>
      <c r="D1442" s="65">
        <f t="shared" si="188"/>
        <v>500</v>
      </c>
      <c r="E1442" s="80">
        <f t="shared" si="191"/>
        <v>300</v>
      </c>
      <c r="F1442" s="479">
        <f t="shared" si="185"/>
        <v>60</v>
      </c>
      <c r="G1442" s="79"/>
      <c r="H1442" s="80"/>
      <c r="I1442" s="457"/>
      <c r="J1442" s="113"/>
      <c r="K1442" s="80"/>
      <c r="L1442" s="379"/>
      <c r="M1442" s="80">
        <v>500</v>
      </c>
      <c r="N1442" s="207">
        <v>300</v>
      </c>
      <c r="O1442" s="426">
        <f t="shared" si="189"/>
        <v>60</v>
      </c>
      <c r="P1442" s="113"/>
      <c r="Q1442" s="80"/>
      <c r="R1442" s="426"/>
    </row>
    <row r="1443" spans="1:18" s="105" customFormat="1" ht="39.75" customHeight="1">
      <c r="A1443" s="184">
        <v>4370</v>
      </c>
      <c r="B1443" s="185" t="s">
        <v>296</v>
      </c>
      <c r="C1443" s="147">
        <v>1500</v>
      </c>
      <c r="D1443" s="148">
        <f t="shared" si="188"/>
        <v>1500</v>
      </c>
      <c r="E1443" s="142">
        <f t="shared" si="191"/>
        <v>1400</v>
      </c>
      <c r="F1443" s="512">
        <f t="shared" si="185"/>
        <v>93.33333333333333</v>
      </c>
      <c r="G1443" s="147"/>
      <c r="H1443" s="142"/>
      <c r="I1443" s="459"/>
      <c r="J1443" s="149"/>
      <c r="K1443" s="142"/>
      <c r="L1443" s="404"/>
      <c r="M1443" s="142">
        <v>1500</v>
      </c>
      <c r="N1443" s="231">
        <v>1400</v>
      </c>
      <c r="O1443" s="446">
        <f t="shared" si="189"/>
        <v>93.33333333333333</v>
      </c>
      <c r="P1443" s="149"/>
      <c r="Q1443" s="142"/>
      <c r="R1443" s="446"/>
    </row>
    <row r="1444" spans="1:18" s="105" customFormat="1" ht="16.5" customHeight="1">
      <c r="A1444" s="111">
        <v>4410</v>
      </c>
      <c r="B1444" s="262" t="s">
        <v>463</v>
      </c>
      <c r="C1444" s="79">
        <v>500</v>
      </c>
      <c r="D1444" s="65">
        <f t="shared" si="188"/>
        <v>500</v>
      </c>
      <c r="E1444" s="80">
        <f t="shared" si="191"/>
        <v>0</v>
      </c>
      <c r="F1444" s="479">
        <f t="shared" si="185"/>
        <v>0</v>
      </c>
      <c r="G1444" s="79"/>
      <c r="H1444" s="80"/>
      <c r="I1444" s="457"/>
      <c r="J1444" s="113"/>
      <c r="K1444" s="80"/>
      <c r="L1444" s="379"/>
      <c r="M1444" s="80">
        <v>500</v>
      </c>
      <c r="N1444" s="207"/>
      <c r="O1444" s="426">
        <f t="shared" si="189"/>
        <v>0</v>
      </c>
      <c r="P1444" s="113"/>
      <c r="Q1444" s="80"/>
      <c r="R1444" s="426"/>
    </row>
    <row r="1445" spans="1:18" s="105" customFormat="1" ht="12.75">
      <c r="A1445" s="111">
        <v>4440</v>
      </c>
      <c r="B1445" s="276" t="s">
        <v>652</v>
      </c>
      <c r="C1445" s="79">
        <v>2925</v>
      </c>
      <c r="D1445" s="65">
        <f t="shared" si="188"/>
        <v>2925</v>
      </c>
      <c r="E1445" s="80">
        <f>SUM(H1445+K1445+N1445+Q1445)</f>
        <v>2925</v>
      </c>
      <c r="F1445" s="479">
        <f t="shared" si="185"/>
        <v>100</v>
      </c>
      <c r="G1445" s="79"/>
      <c r="H1445" s="80"/>
      <c r="I1445" s="457"/>
      <c r="J1445" s="113"/>
      <c r="K1445" s="80"/>
      <c r="L1445" s="379"/>
      <c r="M1445" s="80">
        <v>2925</v>
      </c>
      <c r="N1445" s="207">
        <v>2925</v>
      </c>
      <c r="O1445" s="426">
        <f t="shared" si="189"/>
        <v>100</v>
      </c>
      <c r="P1445" s="113"/>
      <c r="Q1445" s="80"/>
      <c r="R1445" s="426"/>
    </row>
    <row r="1446" spans="1:18" s="105" customFormat="1" ht="49.5" customHeight="1">
      <c r="A1446" s="159">
        <v>4740</v>
      </c>
      <c r="B1446" s="326" t="s">
        <v>288</v>
      </c>
      <c r="C1446" s="79">
        <v>500</v>
      </c>
      <c r="D1446" s="65">
        <f t="shared" si="188"/>
        <v>500</v>
      </c>
      <c r="E1446" s="80">
        <f t="shared" si="191"/>
        <v>0</v>
      </c>
      <c r="F1446" s="479">
        <f t="shared" si="185"/>
        <v>0</v>
      </c>
      <c r="G1446" s="79"/>
      <c r="H1446" s="80"/>
      <c r="I1446" s="457"/>
      <c r="J1446" s="113"/>
      <c r="K1446" s="80"/>
      <c r="L1446" s="379"/>
      <c r="M1446" s="80">
        <v>500</v>
      </c>
      <c r="N1446" s="207"/>
      <c r="O1446" s="426">
        <f t="shared" si="189"/>
        <v>0</v>
      </c>
      <c r="P1446" s="113"/>
      <c r="Q1446" s="80"/>
      <c r="R1446" s="426"/>
    </row>
    <row r="1447" spans="1:18" s="105" customFormat="1" ht="36">
      <c r="A1447" s="159">
        <v>4750</v>
      </c>
      <c r="B1447" s="326" t="s">
        <v>289</v>
      </c>
      <c r="C1447" s="79">
        <v>2000</v>
      </c>
      <c r="D1447" s="65">
        <f t="shared" si="188"/>
        <v>2000</v>
      </c>
      <c r="E1447" s="80">
        <f t="shared" si="191"/>
        <v>0</v>
      </c>
      <c r="F1447" s="479">
        <f t="shared" si="185"/>
        <v>0</v>
      </c>
      <c r="G1447" s="79"/>
      <c r="H1447" s="80"/>
      <c r="I1447" s="457"/>
      <c r="J1447" s="113"/>
      <c r="K1447" s="80"/>
      <c r="L1447" s="379"/>
      <c r="M1447" s="80">
        <v>2000</v>
      </c>
      <c r="N1447" s="207"/>
      <c r="O1447" s="426">
        <f t="shared" si="189"/>
        <v>0</v>
      </c>
      <c r="P1447" s="113"/>
      <c r="Q1447" s="80"/>
      <c r="R1447" s="426"/>
    </row>
    <row r="1448" spans="1:18" s="105" customFormat="1" ht="36" hidden="1">
      <c r="A1448" s="145">
        <v>6060</v>
      </c>
      <c r="B1448" s="263" t="s">
        <v>8</v>
      </c>
      <c r="C1448" s="147"/>
      <c r="D1448" s="65">
        <f t="shared" si="188"/>
        <v>0</v>
      </c>
      <c r="E1448" s="80">
        <f t="shared" si="191"/>
        <v>0</v>
      </c>
      <c r="F1448" s="479" t="e">
        <f t="shared" si="185"/>
        <v>#DIV/0!</v>
      </c>
      <c r="G1448" s="147"/>
      <c r="H1448" s="142"/>
      <c r="I1448" s="459"/>
      <c r="J1448" s="149"/>
      <c r="K1448" s="142"/>
      <c r="L1448" s="404"/>
      <c r="M1448" s="142"/>
      <c r="N1448" s="231"/>
      <c r="O1448" s="259" t="e">
        <f>N1448/M1448*100</f>
        <v>#DIV/0!</v>
      </c>
      <c r="P1448" s="149"/>
      <c r="Q1448" s="142"/>
      <c r="R1448" s="446"/>
    </row>
    <row r="1449" spans="1:18" s="130" customFormat="1" ht="24" hidden="1">
      <c r="A1449" s="137">
        <v>85334</v>
      </c>
      <c r="B1449" s="284" t="s">
        <v>89</v>
      </c>
      <c r="C1449" s="85"/>
      <c r="D1449" s="65">
        <f t="shared" si="188"/>
        <v>0</v>
      </c>
      <c r="E1449" s="80">
        <f t="shared" si="191"/>
        <v>0</v>
      </c>
      <c r="F1449" s="468" t="e">
        <f t="shared" si="185"/>
        <v>#DIV/0!</v>
      </c>
      <c r="G1449" s="85"/>
      <c r="H1449" s="86"/>
      <c r="I1449" s="455"/>
      <c r="J1449" s="158"/>
      <c r="K1449" s="86"/>
      <c r="L1449" s="406"/>
      <c r="M1449" s="86"/>
      <c r="N1449" s="206"/>
      <c r="O1449" s="256"/>
      <c r="P1449" s="158">
        <f>SUM(P1450)</f>
        <v>0</v>
      </c>
      <c r="Q1449" s="86">
        <f>SUM(Q1450)</f>
        <v>0</v>
      </c>
      <c r="R1449" s="460" t="e">
        <f>Q1449/P1449*100</f>
        <v>#DIV/0!</v>
      </c>
    </row>
    <row r="1450" spans="1:18" s="105" customFormat="1" ht="12.75" hidden="1">
      <c r="A1450" s="111">
        <v>3110</v>
      </c>
      <c r="B1450" s="277" t="s">
        <v>65</v>
      </c>
      <c r="C1450" s="147"/>
      <c r="D1450" s="65">
        <f t="shared" si="188"/>
        <v>0</v>
      </c>
      <c r="E1450" s="80">
        <f t="shared" si="191"/>
        <v>0</v>
      </c>
      <c r="F1450" s="479" t="e">
        <f t="shared" si="185"/>
        <v>#DIV/0!</v>
      </c>
      <c r="G1450" s="147"/>
      <c r="H1450" s="142"/>
      <c r="I1450" s="459"/>
      <c r="J1450" s="149"/>
      <c r="K1450" s="142"/>
      <c r="L1450" s="404"/>
      <c r="M1450" s="142"/>
      <c r="N1450" s="231"/>
      <c r="O1450" s="259"/>
      <c r="P1450" s="149"/>
      <c r="Q1450" s="142"/>
      <c r="R1450" s="453" t="e">
        <f>Q1450/P1450*100</f>
        <v>#DIV/0!</v>
      </c>
    </row>
    <row r="1451" spans="1:18" s="130" customFormat="1" ht="12.75">
      <c r="A1451" s="137">
        <v>85395</v>
      </c>
      <c r="B1451" s="284" t="s">
        <v>437</v>
      </c>
      <c r="C1451" s="85">
        <f>C1453+C1488+C1513</f>
        <v>1404817</v>
      </c>
      <c r="D1451" s="86">
        <f>G1451+J1451+P1451+M1451</f>
        <v>1563392</v>
      </c>
      <c r="E1451" s="86">
        <f t="shared" si="191"/>
        <v>531182</v>
      </c>
      <c r="F1451" s="468">
        <f t="shared" si="185"/>
        <v>33.976251637465204</v>
      </c>
      <c r="G1451" s="85">
        <f>SUM(G1454:G1488)</f>
        <v>951410</v>
      </c>
      <c r="H1451" s="86">
        <f>SUM(H1454:H1488)</f>
        <v>133573</v>
      </c>
      <c r="I1451" s="593">
        <f>H1451/G1451*100</f>
        <v>14.03947824807391</v>
      </c>
      <c r="J1451" s="158"/>
      <c r="K1451" s="86"/>
      <c r="L1451" s="406"/>
      <c r="M1451" s="86">
        <f>M1513+M1452</f>
        <v>611982</v>
      </c>
      <c r="N1451" s="206">
        <f>N1513+N1452</f>
        <v>397609</v>
      </c>
      <c r="O1451" s="468">
        <f>N1451/M1451*100</f>
        <v>64.97070175266593</v>
      </c>
      <c r="P1451" s="158"/>
      <c r="Q1451" s="86"/>
      <c r="R1451" s="460"/>
    </row>
    <row r="1452" spans="1:18" s="12" customFormat="1" ht="24" hidden="1">
      <c r="A1452" s="159">
        <v>4300</v>
      </c>
      <c r="B1452" s="334" t="s">
        <v>489</v>
      </c>
      <c r="C1452" s="161"/>
      <c r="D1452" s="154">
        <f>G1452+J1452+P1452+M1452</f>
        <v>0</v>
      </c>
      <c r="E1452" s="154">
        <f>SUM(H1452+K1452+N1452+Q1452)</f>
        <v>0</v>
      </c>
      <c r="F1452" s="426" t="e">
        <f>E1452/D1452*100</f>
        <v>#DIV/0!</v>
      </c>
      <c r="G1452" s="161"/>
      <c r="H1452" s="65"/>
      <c r="I1452" s="457"/>
      <c r="J1452" s="162"/>
      <c r="K1452" s="65"/>
      <c r="L1452" s="379"/>
      <c r="M1452" s="65"/>
      <c r="N1452" s="210"/>
      <c r="O1452" s="211"/>
      <c r="P1452" s="162"/>
      <c r="Q1452" s="65"/>
      <c r="R1452" s="452"/>
    </row>
    <row r="1453" spans="1:18" s="534" customFormat="1" ht="40.5">
      <c r="A1453" s="540"/>
      <c r="B1453" s="591" t="s">
        <v>436</v>
      </c>
      <c r="C1453" s="214">
        <f>SUM(C1454:C1487)</f>
        <v>942284</v>
      </c>
      <c r="D1453" s="215">
        <f t="shared" si="188"/>
        <v>951410</v>
      </c>
      <c r="E1453" s="215">
        <f t="shared" si="191"/>
        <v>133573</v>
      </c>
      <c r="F1453" s="443">
        <f t="shared" si="185"/>
        <v>14.03947824807391</v>
      </c>
      <c r="G1453" s="214">
        <f>SUM(G1454:G1487)</f>
        <v>951410</v>
      </c>
      <c r="H1453" s="215">
        <f>SUM(H1454:H1487)</f>
        <v>133573</v>
      </c>
      <c r="I1453" s="569">
        <f>H1453/G1453*100</f>
        <v>14.03947824807391</v>
      </c>
      <c r="J1453" s="216"/>
      <c r="K1453" s="215"/>
      <c r="L1453" s="547"/>
      <c r="M1453" s="215"/>
      <c r="N1453" s="528"/>
      <c r="O1453" s="543"/>
      <c r="P1453" s="216"/>
      <c r="Q1453" s="215"/>
      <c r="R1453" s="532"/>
    </row>
    <row r="1454" spans="1:18" s="130" customFormat="1" ht="12.75">
      <c r="A1454" s="111">
        <v>3119</v>
      </c>
      <c r="B1454" s="262" t="s">
        <v>65</v>
      </c>
      <c r="C1454" s="161">
        <v>94232</v>
      </c>
      <c r="D1454" s="65">
        <f t="shared" si="188"/>
        <v>95141</v>
      </c>
      <c r="E1454" s="80">
        <f t="shared" si="191"/>
        <v>40880</v>
      </c>
      <c r="F1454" s="426">
        <f t="shared" si="185"/>
        <v>42.96780567788861</v>
      </c>
      <c r="G1454" s="161">
        <f>94232+909</f>
        <v>95141</v>
      </c>
      <c r="H1454" s="65">
        <v>40880</v>
      </c>
      <c r="I1454" s="457">
        <f>H1454/G1454*100</f>
        <v>42.96780567788861</v>
      </c>
      <c r="J1454" s="127"/>
      <c r="K1454" s="126"/>
      <c r="L1454" s="392"/>
      <c r="M1454" s="65"/>
      <c r="N1454" s="210"/>
      <c r="O1454" s="211"/>
      <c r="P1454" s="127"/>
      <c r="Q1454" s="126"/>
      <c r="R1454" s="461"/>
    </row>
    <row r="1455" spans="1:18" s="130" customFormat="1" ht="24">
      <c r="A1455" s="111">
        <v>4018</v>
      </c>
      <c r="B1455" s="276" t="s">
        <v>471</v>
      </c>
      <c r="C1455" s="161">
        <v>196690</v>
      </c>
      <c r="D1455" s="65">
        <f t="shared" si="188"/>
        <v>196690</v>
      </c>
      <c r="E1455" s="80">
        <f t="shared" si="191"/>
        <v>60452</v>
      </c>
      <c r="F1455" s="426">
        <f t="shared" si="185"/>
        <v>30.734658599827142</v>
      </c>
      <c r="G1455" s="161">
        <v>196690</v>
      </c>
      <c r="H1455" s="65">
        <v>60452</v>
      </c>
      <c r="I1455" s="457">
        <f aca="true" t="shared" si="192" ref="I1455:I1512">H1455/G1455*100</f>
        <v>30.734658599827142</v>
      </c>
      <c r="J1455" s="127"/>
      <c r="K1455" s="126"/>
      <c r="L1455" s="392"/>
      <c r="M1455" s="65"/>
      <c r="N1455" s="210"/>
      <c r="O1455" s="211"/>
      <c r="P1455" s="127"/>
      <c r="Q1455" s="126"/>
      <c r="R1455" s="461"/>
    </row>
    <row r="1456" spans="1:18" s="130" customFormat="1" ht="24">
      <c r="A1456" s="111">
        <v>4019</v>
      </c>
      <c r="B1456" s="262" t="s">
        <v>471</v>
      </c>
      <c r="C1456" s="161">
        <v>11580</v>
      </c>
      <c r="D1456" s="65">
        <f t="shared" si="188"/>
        <v>11580</v>
      </c>
      <c r="E1456" s="80">
        <f t="shared" si="191"/>
        <v>3559</v>
      </c>
      <c r="F1456" s="426">
        <f t="shared" si="185"/>
        <v>30.734024179620036</v>
      </c>
      <c r="G1456" s="161">
        <v>11580</v>
      </c>
      <c r="H1456" s="65">
        <v>3559</v>
      </c>
      <c r="I1456" s="457">
        <f t="shared" si="192"/>
        <v>30.734024179620036</v>
      </c>
      <c r="J1456" s="127"/>
      <c r="K1456" s="126"/>
      <c r="L1456" s="392"/>
      <c r="M1456" s="65"/>
      <c r="N1456" s="210"/>
      <c r="O1456" s="211"/>
      <c r="P1456" s="127"/>
      <c r="Q1456" s="126"/>
      <c r="R1456" s="461"/>
    </row>
    <row r="1457" spans="1:18" s="130" customFormat="1" ht="24">
      <c r="A1457" s="111">
        <v>4048</v>
      </c>
      <c r="B1457" s="262" t="s">
        <v>475</v>
      </c>
      <c r="C1457" s="161"/>
      <c r="D1457" s="65">
        <f>G1457+J1457+P1457+M1457</f>
        <v>4671</v>
      </c>
      <c r="E1457" s="80">
        <f>SUM(H1457+K1457+N1457+Q1457)</f>
        <v>0</v>
      </c>
      <c r="F1457" s="426">
        <f>E1457/D1457*100</f>
        <v>0</v>
      </c>
      <c r="G1457" s="161">
        <v>4671</v>
      </c>
      <c r="H1457" s="65"/>
      <c r="I1457" s="457">
        <f t="shared" si="192"/>
        <v>0</v>
      </c>
      <c r="J1457" s="127"/>
      <c r="K1457" s="126"/>
      <c r="L1457" s="392"/>
      <c r="M1457" s="65"/>
      <c r="N1457" s="210"/>
      <c r="O1457" s="211"/>
      <c r="P1457" s="127"/>
      <c r="Q1457" s="126"/>
      <c r="R1457" s="461"/>
    </row>
    <row r="1458" spans="1:18" s="130" customFormat="1" ht="24">
      <c r="A1458" s="111">
        <v>4049</v>
      </c>
      <c r="B1458" s="262" t="s">
        <v>475</v>
      </c>
      <c r="C1458" s="161"/>
      <c r="D1458" s="65">
        <f>G1458+J1458+P1458+M1458</f>
        <v>275</v>
      </c>
      <c r="E1458" s="80">
        <f>SUM(H1458+K1458+N1458+Q1458)</f>
        <v>0</v>
      </c>
      <c r="F1458" s="426">
        <f>E1458/D1458*100</f>
        <v>0</v>
      </c>
      <c r="G1458" s="161">
        <v>275</v>
      </c>
      <c r="H1458" s="65"/>
      <c r="I1458" s="457">
        <f t="shared" si="192"/>
        <v>0</v>
      </c>
      <c r="J1458" s="127"/>
      <c r="K1458" s="126"/>
      <c r="L1458" s="392"/>
      <c r="M1458" s="65"/>
      <c r="N1458" s="210"/>
      <c r="O1458" s="211"/>
      <c r="P1458" s="127"/>
      <c r="Q1458" s="126"/>
      <c r="R1458" s="461"/>
    </row>
    <row r="1459" spans="1:18" s="130" customFormat="1" ht="24">
      <c r="A1459" s="111">
        <v>4118</v>
      </c>
      <c r="B1459" s="262" t="s">
        <v>477</v>
      </c>
      <c r="C1459" s="161">
        <v>38649</v>
      </c>
      <c r="D1459" s="65">
        <f t="shared" si="188"/>
        <v>43298</v>
      </c>
      <c r="E1459" s="80">
        <f t="shared" si="191"/>
        <v>9616</v>
      </c>
      <c r="F1459" s="426">
        <f t="shared" si="185"/>
        <v>22.208878008222086</v>
      </c>
      <c r="G1459" s="161">
        <f>38649+4649</f>
        <v>43298</v>
      </c>
      <c r="H1459" s="65">
        <v>9616</v>
      </c>
      <c r="I1459" s="457">
        <f t="shared" si="192"/>
        <v>22.208878008222086</v>
      </c>
      <c r="J1459" s="127"/>
      <c r="K1459" s="126"/>
      <c r="L1459" s="392"/>
      <c r="M1459" s="65"/>
      <c r="N1459" s="210"/>
      <c r="O1459" s="211"/>
      <c r="P1459" s="127"/>
      <c r="Q1459" s="126"/>
      <c r="R1459" s="461"/>
    </row>
    <row r="1460" spans="1:18" s="130" customFormat="1" ht="24">
      <c r="A1460" s="111">
        <v>4119</v>
      </c>
      <c r="B1460" s="262" t="s">
        <v>477</v>
      </c>
      <c r="C1460" s="161">
        <v>2275</v>
      </c>
      <c r="D1460" s="65">
        <f t="shared" si="188"/>
        <v>2549</v>
      </c>
      <c r="E1460" s="80">
        <f t="shared" si="191"/>
        <v>566</v>
      </c>
      <c r="F1460" s="426">
        <f t="shared" si="185"/>
        <v>22.204786190663008</v>
      </c>
      <c r="G1460" s="161">
        <f>2275+274</f>
        <v>2549</v>
      </c>
      <c r="H1460" s="65">
        <v>566</v>
      </c>
      <c r="I1460" s="457">
        <f t="shared" si="192"/>
        <v>22.204786190663008</v>
      </c>
      <c r="J1460" s="127"/>
      <c r="K1460" s="126"/>
      <c r="L1460" s="392"/>
      <c r="M1460" s="65"/>
      <c r="N1460" s="210"/>
      <c r="O1460" s="211"/>
      <c r="P1460" s="127"/>
      <c r="Q1460" s="126"/>
      <c r="R1460" s="461"/>
    </row>
    <row r="1461" spans="1:18" s="130" customFormat="1" ht="17.25" customHeight="1">
      <c r="A1461" s="111">
        <v>4128</v>
      </c>
      <c r="B1461" s="262" t="s">
        <v>553</v>
      </c>
      <c r="C1461" s="161">
        <v>5911</v>
      </c>
      <c r="D1461" s="65">
        <f t="shared" si="188"/>
        <v>6623</v>
      </c>
      <c r="E1461" s="80">
        <f t="shared" si="191"/>
        <v>1448</v>
      </c>
      <c r="F1461" s="426">
        <f t="shared" si="185"/>
        <v>21.863203986109013</v>
      </c>
      <c r="G1461" s="161">
        <f>5911+712</f>
        <v>6623</v>
      </c>
      <c r="H1461" s="65">
        <v>1448</v>
      </c>
      <c r="I1461" s="457">
        <f t="shared" si="192"/>
        <v>21.863203986109013</v>
      </c>
      <c r="J1461" s="127"/>
      <c r="K1461" s="126"/>
      <c r="L1461" s="392"/>
      <c r="M1461" s="65"/>
      <c r="N1461" s="210"/>
      <c r="O1461" s="211"/>
      <c r="P1461" s="127"/>
      <c r="Q1461" s="126"/>
      <c r="R1461" s="461"/>
    </row>
    <row r="1462" spans="1:18" s="130" customFormat="1" ht="18" customHeight="1">
      <c r="A1462" s="111">
        <v>4129</v>
      </c>
      <c r="B1462" s="262" t="s">
        <v>553</v>
      </c>
      <c r="C1462" s="161">
        <v>348</v>
      </c>
      <c r="D1462" s="65">
        <f t="shared" si="188"/>
        <v>390</v>
      </c>
      <c r="E1462" s="80">
        <f t="shared" si="191"/>
        <v>85</v>
      </c>
      <c r="F1462" s="426">
        <f t="shared" si="185"/>
        <v>21.794871794871796</v>
      </c>
      <c r="G1462" s="161">
        <f>348+42</f>
        <v>390</v>
      </c>
      <c r="H1462" s="65">
        <v>85</v>
      </c>
      <c r="I1462" s="457">
        <f t="shared" si="192"/>
        <v>21.794871794871796</v>
      </c>
      <c r="J1462" s="127"/>
      <c r="K1462" s="126"/>
      <c r="L1462" s="392"/>
      <c r="M1462" s="65"/>
      <c r="N1462" s="210"/>
      <c r="O1462" s="211"/>
      <c r="P1462" s="127"/>
      <c r="Q1462" s="126"/>
      <c r="R1462" s="461"/>
    </row>
    <row r="1463" spans="1:18" s="130" customFormat="1" ht="24">
      <c r="A1463" s="111">
        <v>4178</v>
      </c>
      <c r="B1463" s="262" t="s">
        <v>511</v>
      </c>
      <c r="C1463" s="161">
        <v>58364</v>
      </c>
      <c r="D1463" s="65">
        <f t="shared" si="188"/>
        <v>82722</v>
      </c>
      <c r="E1463" s="80">
        <f t="shared" si="191"/>
        <v>2361</v>
      </c>
      <c r="F1463" s="426">
        <f t="shared" si="185"/>
        <v>2.85413795604555</v>
      </c>
      <c r="G1463" s="161">
        <f>58364+24358</f>
        <v>82722</v>
      </c>
      <c r="H1463" s="65">
        <v>2361</v>
      </c>
      <c r="I1463" s="457">
        <f t="shared" si="192"/>
        <v>2.85413795604555</v>
      </c>
      <c r="J1463" s="127"/>
      <c r="K1463" s="126"/>
      <c r="L1463" s="392"/>
      <c r="M1463" s="65"/>
      <c r="N1463" s="210"/>
      <c r="O1463" s="211"/>
      <c r="P1463" s="127"/>
      <c r="Q1463" s="126"/>
      <c r="R1463" s="461"/>
    </row>
    <row r="1464" spans="1:18" s="130" customFormat="1" ht="24">
      <c r="A1464" s="111">
        <v>4179</v>
      </c>
      <c r="B1464" s="262" t="s">
        <v>511</v>
      </c>
      <c r="C1464" s="161">
        <v>3436</v>
      </c>
      <c r="D1464" s="65">
        <f t="shared" si="188"/>
        <v>4870</v>
      </c>
      <c r="E1464" s="80">
        <f t="shared" si="191"/>
        <v>139</v>
      </c>
      <c r="F1464" s="426">
        <f t="shared" si="185"/>
        <v>2.8542094455852154</v>
      </c>
      <c r="G1464" s="161">
        <f>3436+1434</f>
        <v>4870</v>
      </c>
      <c r="H1464" s="65">
        <v>139</v>
      </c>
      <c r="I1464" s="457">
        <f t="shared" si="192"/>
        <v>2.8542094455852154</v>
      </c>
      <c r="J1464" s="127"/>
      <c r="K1464" s="126"/>
      <c r="L1464" s="392"/>
      <c r="M1464" s="65"/>
      <c r="N1464" s="210"/>
      <c r="O1464" s="211"/>
      <c r="P1464" s="127"/>
      <c r="Q1464" s="126"/>
      <c r="R1464" s="461"/>
    </row>
    <row r="1465" spans="1:18" s="130" customFormat="1" ht="24">
      <c r="A1465" s="111">
        <v>4218</v>
      </c>
      <c r="B1465" s="262" t="s">
        <v>481</v>
      </c>
      <c r="C1465" s="161">
        <v>133164</v>
      </c>
      <c r="D1465" s="65">
        <f t="shared" si="188"/>
        <v>29047</v>
      </c>
      <c r="E1465" s="80">
        <f t="shared" si="191"/>
        <v>7180</v>
      </c>
      <c r="F1465" s="426">
        <f t="shared" si="185"/>
        <v>24.718559575859814</v>
      </c>
      <c r="G1465" s="161">
        <f>133164-104117</f>
        <v>29047</v>
      </c>
      <c r="H1465" s="65">
        <v>7180</v>
      </c>
      <c r="I1465" s="457">
        <f t="shared" si="192"/>
        <v>24.718559575859814</v>
      </c>
      <c r="J1465" s="127"/>
      <c r="K1465" s="126"/>
      <c r="L1465" s="392"/>
      <c r="M1465" s="65"/>
      <c r="N1465" s="210"/>
      <c r="O1465" s="211"/>
      <c r="P1465" s="127"/>
      <c r="Q1465" s="126"/>
      <c r="R1465" s="461"/>
    </row>
    <row r="1466" spans="1:18" s="130" customFormat="1" ht="23.25" customHeight="1">
      <c r="A1466" s="111">
        <v>4219</v>
      </c>
      <c r="B1466" s="262" t="s">
        <v>481</v>
      </c>
      <c r="C1466" s="161">
        <v>7840</v>
      </c>
      <c r="D1466" s="65">
        <f t="shared" si="188"/>
        <v>1669</v>
      </c>
      <c r="E1466" s="80">
        <f t="shared" si="191"/>
        <v>423</v>
      </c>
      <c r="F1466" s="426">
        <f t="shared" si="185"/>
        <v>25.34451767525464</v>
      </c>
      <c r="G1466" s="161">
        <f>7840-6171</f>
        <v>1669</v>
      </c>
      <c r="H1466" s="65">
        <v>423</v>
      </c>
      <c r="I1466" s="457">
        <f t="shared" si="192"/>
        <v>25.34451767525464</v>
      </c>
      <c r="J1466" s="127"/>
      <c r="K1466" s="126"/>
      <c r="L1466" s="392"/>
      <c r="M1466" s="65"/>
      <c r="N1466" s="210"/>
      <c r="O1466" s="211"/>
      <c r="P1466" s="127"/>
      <c r="Q1466" s="126"/>
      <c r="R1466" s="461"/>
    </row>
    <row r="1467" spans="1:18" s="130" customFormat="1" ht="24">
      <c r="A1467" s="145">
        <v>4288</v>
      </c>
      <c r="B1467" s="263" t="s">
        <v>520</v>
      </c>
      <c r="C1467" s="163">
        <v>9444</v>
      </c>
      <c r="D1467" s="148">
        <f>G1467+J1467+P1467+M1467</f>
        <v>8500</v>
      </c>
      <c r="E1467" s="142">
        <f>SUM(H1467+K1467+N1467+Q1467)</f>
        <v>0</v>
      </c>
      <c r="F1467" s="446">
        <f>E1467/D1467*100</f>
        <v>0</v>
      </c>
      <c r="G1467" s="163">
        <f>9444-944</f>
        <v>8500</v>
      </c>
      <c r="H1467" s="148"/>
      <c r="I1467" s="459">
        <f t="shared" si="192"/>
        <v>0</v>
      </c>
      <c r="J1467" s="191"/>
      <c r="K1467" s="109"/>
      <c r="L1467" s="409"/>
      <c r="M1467" s="148"/>
      <c r="N1467" s="258"/>
      <c r="O1467" s="259"/>
      <c r="P1467" s="191"/>
      <c r="Q1467" s="109"/>
      <c r="R1467" s="504"/>
    </row>
    <row r="1468" spans="1:18" s="130" customFormat="1" ht="24">
      <c r="A1468" s="111">
        <v>4289</v>
      </c>
      <c r="B1468" s="262" t="s">
        <v>520</v>
      </c>
      <c r="C1468" s="161">
        <v>556</v>
      </c>
      <c r="D1468" s="65">
        <f>G1468+J1468+P1468+M1468</f>
        <v>500</v>
      </c>
      <c r="E1468" s="80">
        <f>SUM(H1468+K1468+N1468+Q1468)</f>
        <v>0</v>
      </c>
      <c r="F1468" s="426">
        <f>E1468/D1468*100</f>
        <v>0</v>
      </c>
      <c r="G1468" s="161">
        <f>556-56</f>
        <v>500</v>
      </c>
      <c r="H1468" s="65"/>
      <c r="I1468" s="457">
        <f t="shared" si="192"/>
        <v>0</v>
      </c>
      <c r="J1468" s="127"/>
      <c r="K1468" s="126"/>
      <c r="L1468" s="392"/>
      <c r="M1468" s="65"/>
      <c r="N1468" s="210"/>
      <c r="O1468" s="211"/>
      <c r="P1468" s="127"/>
      <c r="Q1468" s="126"/>
      <c r="R1468" s="461"/>
    </row>
    <row r="1469" spans="1:18" s="130" customFormat="1" ht="18.75" customHeight="1">
      <c r="A1469" s="111">
        <v>4308</v>
      </c>
      <c r="B1469" s="262" t="s">
        <v>502</v>
      </c>
      <c r="C1469" s="161">
        <v>306141</v>
      </c>
      <c r="D1469" s="65">
        <f t="shared" si="188"/>
        <v>412283</v>
      </c>
      <c r="E1469" s="80">
        <f t="shared" si="191"/>
        <v>2200</v>
      </c>
      <c r="F1469" s="426">
        <f t="shared" si="185"/>
        <v>0.5336140466621229</v>
      </c>
      <c r="G1469" s="161">
        <f>306141+7798+98344</f>
        <v>412283</v>
      </c>
      <c r="H1469" s="65">
        <v>2200</v>
      </c>
      <c r="I1469" s="457">
        <f t="shared" si="192"/>
        <v>0.5336140466621229</v>
      </c>
      <c r="J1469" s="127"/>
      <c r="K1469" s="126"/>
      <c r="L1469" s="392"/>
      <c r="M1469" s="65"/>
      <c r="N1469" s="210"/>
      <c r="O1469" s="211"/>
      <c r="P1469" s="127"/>
      <c r="Q1469" s="126"/>
      <c r="R1469" s="461"/>
    </row>
    <row r="1470" spans="1:18" s="130" customFormat="1" ht="18.75" customHeight="1">
      <c r="A1470" s="111">
        <v>4309</v>
      </c>
      <c r="B1470" s="262" t="s">
        <v>502</v>
      </c>
      <c r="C1470" s="161">
        <v>18024</v>
      </c>
      <c r="D1470" s="65">
        <f t="shared" si="188"/>
        <v>24273</v>
      </c>
      <c r="E1470" s="80">
        <f t="shared" si="191"/>
        <v>130</v>
      </c>
      <c r="F1470" s="426">
        <f t="shared" si="185"/>
        <v>0.5355745066534833</v>
      </c>
      <c r="G1470" s="161">
        <f>18024+419+5830</f>
        <v>24273</v>
      </c>
      <c r="H1470" s="65">
        <v>130</v>
      </c>
      <c r="I1470" s="457">
        <f t="shared" si="192"/>
        <v>0.5355745066534833</v>
      </c>
      <c r="J1470" s="127"/>
      <c r="K1470" s="126"/>
      <c r="L1470" s="392"/>
      <c r="M1470" s="65"/>
      <c r="N1470" s="210"/>
      <c r="O1470" s="211"/>
      <c r="P1470" s="127"/>
      <c r="Q1470" s="126"/>
      <c r="R1470" s="461"/>
    </row>
    <row r="1471" spans="1:18" s="130" customFormat="1" ht="24">
      <c r="A1471" s="111">
        <v>4358</v>
      </c>
      <c r="B1471" s="262" t="s">
        <v>7</v>
      </c>
      <c r="C1471" s="161">
        <v>2125</v>
      </c>
      <c r="D1471" s="65">
        <f t="shared" si="188"/>
        <v>0</v>
      </c>
      <c r="E1471" s="80">
        <f>SUM(H1471+K1471+N1471+Q1471)</f>
        <v>0</v>
      </c>
      <c r="F1471" s="426"/>
      <c r="G1471" s="161">
        <f>2125-2125</f>
        <v>0</v>
      </c>
      <c r="H1471" s="65"/>
      <c r="I1471" s="457"/>
      <c r="J1471" s="127"/>
      <c r="K1471" s="126"/>
      <c r="L1471" s="392"/>
      <c r="M1471" s="65"/>
      <c r="N1471" s="210"/>
      <c r="O1471" s="211"/>
      <c r="P1471" s="127"/>
      <c r="Q1471" s="126"/>
      <c r="R1471" s="461"/>
    </row>
    <row r="1472" spans="1:18" s="130" customFormat="1" ht="24">
      <c r="A1472" s="111">
        <v>4359</v>
      </c>
      <c r="B1472" s="262" t="s">
        <v>7</v>
      </c>
      <c r="C1472" s="161">
        <v>125</v>
      </c>
      <c r="D1472" s="65">
        <f t="shared" si="188"/>
        <v>0</v>
      </c>
      <c r="E1472" s="80">
        <f>SUM(H1472+K1472+N1472+Q1472)</f>
        <v>0</v>
      </c>
      <c r="F1472" s="426"/>
      <c r="G1472" s="161">
        <f>125-125</f>
        <v>0</v>
      </c>
      <c r="H1472" s="65"/>
      <c r="I1472" s="457"/>
      <c r="J1472" s="127"/>
      <c r="K1472" s="126"/>
      <c r="L1472" s="392"/>
      <c r="M1472" s="65"/>
      <c r="N1472" s="210"/>
      <c r="O1472" s="211"/>
      <c r="P1472" s="127"/>
      <c r="Q1472" s="126"/>
      <c r="R1472" s="461"/>
    </row>
    <row r="1473" spans="1:18" s="130" customFormat="1" ht="39" customHeight="1">
      <c r="A1473" s="111">
        <v>4368</v>
      </c>
      <c r="B1473" s="326" t="s">
        <v>285</v>
      </c>
      <c r="C1473" s="161">
        <v>2361</v>
      </c>
      <c r="D1473" s="65">
        <f t="shared" si="188"/>
        <v>0</v>
      </c>
      <c r="E1473" s="80">
        <f t="shared" si="191"/>
        <v>0</v>
      </c>
      <c r="F1473" s="426"/>
      <c r="G1473" s="161">
        <f>2361-2361</f>
        <v>0</v>
      </c>
      <c r="H1473" s="65"/>
      <c r="I1473" s="457"/>
      <c r="J1473" s="127"/>
      <c r="K1473" s="126"/>
      <c r="L1473" s="392"/>
      <c r="M1473" s="65"/>
      <c r="N1473" s="210"/>
      <c r="O1473" s="211"/>
      <c r="P1473" s="127"/>
      <c r="Q1473" s="126"/>
      <c r="R1473" s="461"/>
    </row>
    <row r="1474" spans="1:18" s="130" customFormat="1" ht="38.25" customHeight="1">
      <c r="A1474" s="111">
        <v>4369</v>
      </c>
      <c r="B1474" s="326" t="s">
        <v>285</v>
      </c>
      <c r="C1474" s="161">
        <v>139</v>
      </c>
      <c r="D1474" s="65">
        <f t="shared" si="188"/>
        <v>0</v>
      </c>
      <c r="E1474" s="80">
        <f t="shared" si="191"/>
        <v>0</v>
      </c>
      <c r="F1474" s="426"/>
      <c r="G1474" s="161">
        <f>139-139</f>
        <v>0</v>
      </c>
      <c r="H1474" s="65"/>
      <c r="I1474" s="457"/>
      <c r="J1474" s="127"/>
      <c r="K1474" s="126"/>
      <c r="L1474" s="392"/>
      <c r="M1474" s="65"/>
      <c r="N1474" s="210"/>
      <c r="O1474" s="211"/>
      <c r="P1474" s="127"/>
      <c r="Q1474" s="126"/>
      <c r="R1474" s="461"/>
    </row>
    <row r="1475" spans="1:18" s="130" customFormat="1" ht="37.5" customHeight="1">
      <c r="A1475" s="111">
        <v>4378</v>
      </c>
      <c r="B1475" s="326" t="s">
        <v>296</v>
      </c>
      <c r="C1475" s="161">
        <v>1889</v>
      </c>
      <c r="D1475" s="65">
        <f t="shared" si="188"/>
        <v>0</v>
      </c>
      <c r="E1475" s="80">
        <f t="shared" si="191"/>
        <v>0</v>
      </c>
      <c r="F1475" s="426"/>
      <c r="G1475" s="161">
        <f>1889-1889</f>
        <v>0</v>
      </c>
      <c r="H1475" s="65"/>
      <c r="I1475" s="457"/>
      <c r="J1475" s="127"/>
      <c r="K1475" s="126"/>
      <c r="L1475" s="392"/>
      <c r="M1475" s="65"/>
      <c r="N1475" s="210"/>
      <c r="O1475" s="211"/>
      <c r="P1475" s="127"/>
      <c r="Q1475" s="126"/>
      <c r="R1475" s="461"/>
    </row>
    <row r="1476" spans="1:18" s="130" customFormat="1" ht="36.75" customHeight="1">
      <c r="A1476" s="111">
        <v>4379</v>
      </c>
      <c r="B1476" s="326" t="s">
        <v>296</v>
      </c>
      <c r="C1476" s="161">
        <v>111</v>
      </c>
      <c r="D1476" s="65">
        <f t="shared" si="188"/>
        <v>0</v>
      </c>
      <c r="E1476" s="80">
        <f t="shared" si="191"/>
        <v>0</v>
      </c>
      <c r="F1476" s="426"/>
      <c r="G1476" s="161">
        <f>111-111</f>
        <v>0</v>
      </c>
      <c r="H1476" s="65"/>
      <c r="I1476" s="457"/>
      <c r="J1476" s="127"/>
      <c r="K1476" s="126"/>
      <c r="L1476" s="392"/>
      <c r="M1476" s="65"/>
      <c r="N1476" s="210"/>
      <c r="O1476" s="211"/>
      <c r="P1476" s="127"/>
      <c r="Q1476" s="126"/>
      <c r="R1476" s="461"/>
    </row>
    <row r="1477" spans="1:18" s="130" customFormat="1" ht="16.5" customHeight="1">
      <c r="A1477" s="159">
        <v>4418</v>
      </c>
      <c r="B1477" s="326" t="s">
        <v>463</v>
      </c>
      <c r="C1477" s="161">
        <v>8500</v>
      </c>
      <c r="D1477" s="65">
        <f t="shared" si="188"/>
        <v>0</v>
      </c>
      <c r="E1477" s="80">
        <f t="shared" si="191"/>
        <v>0</v>
      </c>
      <c r="F1477" s="426"/>
      <c r="G1477" s="161">
        <f>8500-8500</f>
        <v>0</v>
      </c>
      <c r="H1477" s="65"/>
      <c r="I1477" s="457"/>
      <c r="J1477" s="127"/>
      <c r="K1477" s="126"/>
      <c r="L1477" s="392"/>
      <c r="M1477" s="65"/>
      <c r="N1477" s="210"/>
      <c r="O1477" s="211"/>
      <c r="P1477" s="127"/>
      <c r="Q1477" s="126"/>
      <c r="R1477" s="461"/>
    </row>
    <row r="1478" spans="1:18" s="130" customFormat="1" ht="16.5" customHeight="1">
      <c r="A1478" s="159">
        <v>4419</v>
      </c>
      <c r="B1478" s="326" t="s">
        <v>463</v>
      </c>
      <c r="C1478" s="161">
        <v>500</v>
      </c>
      <c r="D1478" s="65">
        <f t="shared" si="188"/>
        <v>0</v>
      </c>
      <c r="E1478" s="80">
        <f t="shared" si="191"/>
        <v>0</v>
      </c>
      <c r="F1478" s="426"/>
      <c r="G1478" s="161">
        <f>500-500</f>
        <v>0</v>
      </c>
      <c r="H1478" s="65"/>
      <c r="I1478" s="457"/>
      <c r="J1478" s="127"/>
      <c r="K1478" s="126"/>
      <c r="L1478" s="392"/>
      <c r="M1478" s="65"/>
      <c r="N1478" s="210"/>
      <c r="O1478" s="211"/>
      <c r="P1478" s="127"/>
      <c r="Q1478" s="126"/>
      <c r="R1478" s="461"/>
    </row>
    <row r="1479" spans="1:18" s="130" customFormat="1" ht="12.75">
      <c r="A1479" s="159">
        <v>4438</v>
      </c>
      <c r="B1479" s="326" t="s">
        <v>491</v>
      </c>
      <c r="C1479" s="161">
        <v>6139</v>
      </c>
      <c r="D1479" s="65">
        <f t="shared" si="188"/>
        <v>7650</v>
      </c>
      <c r="E1479" s="80">
        <f t="shared" si="191"/>
        <v>1011</v>
      </c>
      <c r="F1479" s="426">
        <f aca="true" t="shared" si="193" ref="F1479:F1485">E1479/D1479*100</f>
        <v>13.215686274509805</v>
      </c>
      <c r="G1479" s="161">
        <f>6139+1511</f>
        <v>7650</v>
      </c>
      <c r="H1479" s="65">
        <v>1011</v>
      </c>
      <c r="I1479" s="457">
        <f t="shared" si="192"/>
        <v>13.215686274509805</v>
      </c>
      <c r="J1479" s="127"/>
      <c r="K1479" s="126"/>
      <c r="L1479" s="392"/>
      <c r="M1479" s="65"/>
      <c r="N1479" s="210"/>
      <c r="O1479" s="211"/>
      <c r="P1479" s="127"/>
      <c r="Q1479" s="126"/>
      <c r="R1479" s="461"/>
    </row>
    <row r="1480" spans="1:18" s="130" customFormat="1" ht="12.75">
      <c r="A1480" s="159">
        <v>4439</v>
      </c>
      <c r="B1480" s="326" t="s">
        <v>491</v>
      </c>
      <c r="C1480" s="161">
        <v>361</v>
      </c>
      <c r="D1480" s="65">
        <f t="shared" si="188"/>
        <v>450</v>
      </c>
      <c r="E1480" s="80">
        <f t="shared" si="191"/>
        <v>60</v>
      </c>
      <c r="F1480" s="426">
        <f t="shared" si="193"/>
        <v>13.333333333333334</v>
      </c>
      <c r="G1480" s="161">
        <f>361+89</f>
        <v>450</v>
      </c>
      <c r="H1480" s="65">
        <v>60</v>
      </c>
      <c r="I1480" s="457">
        <f t="shared" si="192"/>
        <v>13.333333333333334</v>
      </c>
      <c r="J1480" s="127"/>
      <c r="K1480" s="126"/>
      <c r="L1480" s="392"/>
      <c r="M1480" s="65"/>
      <c r="N1480" s="210"/>
      <c r="O1480" s="211"/>
      <c r="P1480" s="127"/>
      <c r="Q1480" s="126"/>
      <c r="R1480" s="461"/>
    </row>
    <row r="1481" spans="1:18" s="130" customFormat="1" ht="12.75">
      <c r="A1481" s="111">
        <v>4448</v>
      </c>
      <c r="B1481" s="276" t="s">
        <v>493</v>
      </c>
      <c r="C1481" s="161"/>
      <c r="D1481" s="65">
        <f>G1481+J1481+P1481+M1481</f>
        <v>5667</v>
      </c>
      <c r="E1481" s="80">
        <f>SUM(H1481+K1481+N1481+Q1481)</f>
        <v>0</v>
      </c>
      <c r="F1481" s="426">
        <f t="shared" si="193"/>
        <v>0</v>
      </c>
      <c r="G1481" s="161">
        <v>5667</v>
      </c>
      <c r="H1481" s="65"/>
      <c r="I1481" s="457">
        <f t="shared" si="192"/>
        <v>0</v>
      </c>
      <c r="J1481" s="127"/>
      <c r="K1481" s="126"/>
      <c r="L1481" s="392"/>
      <c r="M1481" s="65"/>
      <c r="N1481" s="210"/>
      <c r="O1481" s="211"/>
      <c r="P1481" s="127"/>
      <c r="Q1481" s="126"/>
      <c r="R1481" s="461"/>
    </row>
    <row r="1482" spans="1:18" s="130" customFormat="1" ht="12.75">
      <c r="A1482" s="111">
        <v>4449</v>
      </c>
      <c r="B1482" s="276" t="s">
        <v>493</v>
      </c>
      <c r="C1482" s="161"/>
      <c r="D1482" s="65">
        <f>G1482+J1482+P1482+M1482</f>
        <v>334</v>
      </c>
      <c r="E1482" s="80">
        <f>SUM(H1482+K1482+N1482+Q1482)</f>
        <v>0</v>
      </c>
      <c r="F1482" s="426">
        <f t="shared" si="193"/>
        <v>0</v>
      </c>
      <c r="G1482" s="161">
        <v>334</v>
      </c>
      <c r="H1482" s="65"/>
      <c r="I1482" s="457">
        <f t="shared" si="192"/>
        <v>0</v>
      </c>
      <c r="J1482" s="127"/>
      <c r="K1482" s="126"/>
      <c r="L1482" s="392"/>
      <c r="M1482" s="65"/>
      <c r="N1482" s="210"/>
      <c r="O1482" s="211"/>
      <c r="P1482" s="127"/>
      <c r="Q1482" s="126"/>
      <c r="R1482" s="461"/>
    </row>
    <row r="1483" spans="1:18" s="130" customFormat="1" ht="51.75" customHeight="1">
      <c r="A1483" s="111">
        <v>4748</v>
      </c>
      <c r="B1483" s="326" t="s">
        <v>288</v>
      </c>
      <c r="C1483" s="161">
        <v>18888</v>
      </c>
      <c r="D1483" s="65">
        <f t="shared" si="188"/>
        <v>771</v>
      </c>
      <c r="E1483" s="80">
        <f t="shared" si="191"/>
        <v>409</v>
      </c>
      <c r="F1483" s="426">
        <f t="shared" si="193"/>
        <v>53.047989623865114</v>
      </c>
      <c r="G1483" s="161">
        <f>18888-18117</f>
        <v>771</v>
      </c>
      <c r="H1483" s="65">
        <v>409</v>
      </c>
      <c r="I1483" s="457">
        <f t="shared" si="192"/>
        <v>53.047989623865114</v>
      </c>
      <c r="J1483" s="127"/>
      <c r="K1483" s="126"/>
      <c r="L1483" s="392"/>
      <c r="M1483" s="65"/>
      <c r="N1483" s="210"/>
      <c r="O1483" s="211"/>
      <c r="P1483" s="127"/>
      <c r="Q1483" s="126"/>
      <c r="R1483" s="461"/>
    </row>
    <row r="1484" spans="1:18" s="130" customFormat="1" ht="51.75" customHeight="1">
      <c r="A1484" s="111">
        <v>4749</v>
      </c>
      <c r="B1484" s="326" t="s">
        <v>288</v>
      </c>
      <c r="C1484" s="161">
        <v>1112</v>
      </c>
      <c r="D1484" s="65">
        <f t="shared" si="188"/>
        <v>45</v>
      </c>
      <c r="E1484" s="80">
        <f t="shared" si="191"/>
        <v>24</v>
      </c>
      <c r="F1484" s="426">
        <f t="shared" si="193"/>
        <v>53.333333333333336</v>
      </c>
      <c r="G1484" s="161">
        <f>1112-1067</f>
        <v>45</v>
      </c>
      <c r="H1484" s="65">
        <v>24</v>
      </c>
      <c r="I1484" s="457">
        <f t="shared" si="192"/>
        <v>53.333333333333336</v>
      </c>
      <c r="J1484" s="127"/>
      <c r="K1484" s="126"/>
      <c r="L1484" s="392"/>
      <c r="M1484" s="65"/>
      <c r="N1484" s="210"/>
      <c r="O1484" s="211"/>
      <c r="P1484" s="127"/>
      <c r="Q1484" s="126"/>
      <c r="R1484" s="461"/>
    </row>
    <row r="1485" spans="1:18" s="130" customFormat="1" ht="36">
      <c r="A1485" s="145">
        <v>4758</v>
      </c>
      <c r="B1485" s="185" t="s">
        <v>289</v>
      </c>
      <c r="C1485" s="163">
        <v>12636</v>
      </c>
      <c r="D1485" s="148">
        <f t="shared" si="188"/>
        <v>10777</v>
      </c>
      <c r="E1485" s="142">
        <f t="shared" si="191"/>
        <v>2862</v>
      </c>
      <c r="F1485" s="446">
        <f t="shared" si="193"/>
        <v>26.556555627725714</v>
      </c>
      <c r="G1485" s="163">
        <f>12636-1859</f>
        <v>10777</v>
      </c>
      <c r="H1485" s="148">
        <v>2862</v>
      </c>
      <c r="I1485" s="459">
        <f t="shared" si="192"/>
        <v>26.556555627725714</v>
      </c>
      <c r="J1485" s="191"/>
      <c r="K1485" s="109"/>
      <c r="L1485" s="409"/>
      <c r="M1485" s="148"/>
      <c r="N1485" s="258"/>
      <c r="O1485" s="259"/>
      <c r="P1485" s="191"/>
      <c r="Q1485" s="109"/>
      <c r="R1485" s="504"/>
    </row>
    <row r="1486" spans="1:18" s="130" customFormat="1" ht="12.75" hidden="1">
      <c r="A1486" s="111">
        <v>4990</v>
      </c>
      <c r="B1486" s="326" t="s">
        <v>326</v>
      </c>
      <c r="C1486" s="161"/>
      <c r="D1486" s="65"/>
      <c r="E1486" s="80">
        <f>SUM(H1486+K1486+N1486+Q1486)</f>
        <v>0</v>
      </c>
      <c r="F1486" s="426"/>
      <c r="G1486" s="161"/>
      <c r="H1486" s="65"/>
      <c r="I1486" s="457"/>
      <c r="J1486" s="127"/>
      <c r="K1486" s="126"/>
      <c r="L1486" s="392"/>
      <c r="M1486" s="65"/>
      <c r="N1486" s="210"/>
      <c r="O1486" s="211"/>
      <c r="P1486" s="127"/>
      <c r="Q1486" s="126"/>
      <c r="R1486" s="461"/>
    </row>
    <row r="1487" spans="1:18" s="105" customFormat="1" ht="36">
      <c r="A1487" s="111">
        <v>4759</v>
      </c>
      <c r="B1487" s="326" t="s">
        <v>289</v>
      </c>
      <c r="C1487" s="79">
        <v>744</v>
      </c>
      <c r="D1487" s="65">
        <f t="shared" si="188"/>
        <v>635</v>
      </c>
      <c r="E1487" s="80">
        <f t="shared" si="191"/>
        <v>168</v>
      </c>
      <c r="F1487" s="426">
        <f aca="true" t="shared" si="194" ref="F1487:F1550">E1487/D1487*100</f>
        <v>26.456692913385826</v>
      </c>
      <c r="G1487" s="79">
        <f>744-109</f>
        <v>635</v>
      </c>
      <c r="H1487" s="80">
        <v>168</v>
      </c>
      <c r="I1487" s="457">
        <f t="shared" si="192"/>
        <v>26.456692913385826</v>
      </c>
      <c r="J1487" s="113"/>
      <c r="K1487" s="80"/>
      <c r="L1487" s="379"/>
      <c r="M1487" s="65"/>
      <c r="N1487" s="210"/>
      <c r="O1487" s="211"/>
      <c r="P1487" s="113"/>
      <c r="Q1487" s="80"/>
      <c r="R1487" s="452"/>
    </row>
    <row r="1488" spans="1:18" s="130" customFormat="1" ht="84" hidden="1">
      <c r="A1488" s="122"/>
      <c r="B1488" s="328" t="s">
        <v>414</v>
      </c>
      <c r="C1488" s="124"/>
      <c r="D1488" s="126">
        <f t="shared" si="188"/>
        <v>0</v>
      </c>
      <c r="E1488" s="126">
        <f t="shared" si="191"/>
        <v>0</v>
      </c>
      <c r="F1488" s="475" t="e">
        <f t="shared" si="194"/>
        <v>#DIV/0!</v>
      </c>
      <c r="G1488" s="124">
        <f>SUM(G1489:G1512)</f>
        <v>0</v>
      </c>
      <c r="H1488" s="126">
        <f>SUM(H1489:H1512)</f>
        <v>0</v>
      </c>
      <c r="I1488" s="452" t="e">
        <f t="shared" si="192"/>
        <v>#DIV/0!</v>
      </c>
      <c r="J1488" s="127"/>
      <c r="K1488" s="126"/>
      <c r="L1488" s="392"/>
      <c r="M1488" s="127"/>
      <c r="N1488" s="126"/>
      <c r="O1488" s="374"/>
      <c r="P1488" s="126"/>
      <c r="Q1488" s="126"/>
      <c r="R1488" s="374"/>
    </row>
    <row r="1489" spans="1:18" s="105" customFormat="1" ht="12.75" hidden="1">
      <c r="A1489" s="111">
        <v>3118</v>
      </c>
      <c r="B1489" s="262" t="s">
        <v>65</v>
      </c>
      <c r="C1489" s="79"/>
      <c r="D1489" s="65">
        <f t="shared" si="188"/>
        <v>0</v>
      </c>
      <c r="E1489" s="80">
        <f t="shared" si="191"/>
        <v>0</v>
      </c>
      <c r="F1489" s="475" t="e">
        <f t="shared" si="194"/>
        <v>#DIV/0!</v>
      </c>
      <c r="G1489" s="79"/>
      <c r="H1489" s="80"/>
      <c r="I1489" s="452" t="e">
        <f t="shared" si="192"/>
        <v>#DIV/0!</v>
      </c>
      <c r="J1489" s="113"/>
      <c r="K1489" s="80"/>
      <c r="L1489" s="379"/>
      <c r="M1489" s="113"/>
      <c r="N1489" s="80"/>
      <c r="O1489" s="374"/>
      <c r="P1489" s="80"/>
      <c r="Q1489" s="80"/>
      <c r="R1489" s="265"/>
    </row>
    <row r="1490" spans="1:18" s="105" customFormat="1" ht="12.75" hidden="1">
      <c r="A1490" s="111">
        <v>3119</v>
      </c>
      <c r="B1490" s="262" t="s">
        <v>65</v>
      </c>
      <c r="C1490" s="79"/>
      <c r="D1490" s="65">
        <f t="shared" si="188"/>
        <v>0</v>
      </c>
      <c r="E1490" s="80">
        <f t="shared" si="191"/>
        <v>0</v>
      </c>
      <c r="F1490" s="475" t="e">
        <f t="shared" si="194"/>
        <v>#DIV/0!</v>
      </c>
      <c r="G1490" s="79"/>
      <c r="H1490" s="80"/>
      <c r="I1490" s="452" t="e">
        <f t="shared" si="192"/>
        <v>#DIV/0!</v>
      </c>
      <c r="J1490" s="113"/>
      <c r="K1490" s="80"/>
      <c r="L1490" s="379"/>
      <c r="M1490" s="113"/>
      <c r="N1490" s="80"/>
      <c r="O1490" s="374"/>
      <c r="P1490" s="80"/>
      <c r="Q1490" s="80"/>
      <c r="R1490" s="265"/>
    </row>
    <row r="1491" spans="1:18" s="105" customFormat="1" ht="24" hidden="1">
      <c r="A1491" s="111">
        <v>4018</v>
      </c>
      <c r="B1491" s="262" t="s">
        <v>471</v>
      </c>
      <c r="C1491" s="79"/>
      <c r="D1491" s="65">
        <f t="shared" si="188"/>
        <v>0</v>
      </c>
      <c r="E1491" s="80">
        <f t="shared" si="191"/>
        <v>0</v>
      </c>
      <c r="F1491" s="475" t="e">
        <f t="shared" si="194"/>
        <v>#DIV/0!</v>
      </c>
      <c r="G1491" s="79"/>
      <c r="H1491" s="80"/>
      <c r="I1491" s="452" t="e">
        <f t="shared" si="192"/>
        <v>#DIV/0!</v>
      </c>
      <c r="J1491" s="113"/>
      <c r="K1491" s="80"/>
      <c r="L1491" s="379"/>
      <c r="M1491" s="113"/>
      <c r="N1491" s="80"/>
      <c r="O1491" s="374"/>
      <c r="P1491" s="80"/>
      <c r="Q1491" s="80"/>
      <c r="R1491" s="265"/>
    </row>
    <row r="1492" spans="1:18" s="105" customFormat="1" ht="24" hidden="1">
      <c r="A1492" s="111">
        <v>4019</v>
      </c>
      <c r="B1492" s="262" t="s">
        <v>471</v>
      </c>
      <c r="C1492" s="79"/>
      <c r="D1492" s="65">
        <f t="shared" si="188"/>
        <v>0</v>
      </c>
      <c r="E1492" s="80">
        <f t="shared" si="191"/>
        <v>0</v>
      </c>
      <c r="F1492" s="475" t="e">
        <f t="shared" si="194"/>
        <v>#DIV/0!</v>
      </c>
      <c r="G1492" s="79"/>
      <c r="H1492" s="80"/>
      <c r="I1492" s="452" t="e">
        <f t="shared" si="192"/>
        <v>#DIV/0!</v>
      </c>
      <c r="J1492" s="113"/>
      <c r="K1492" s="80"/>
      <c r="L1492" s="379"/>
      <c r="M1492" s="113"/>
      <c r="N1492" s="80"/>
      <c r="O1492" s="374"/>
      <c r="P1492" s="80"/>
      <c r="Q1492" s="80"/>
      <c r="R1492" s="265"/>
    </row>
    <row r="1493" spans="1:18" s="105" customFormat="1" ht="24" hidden="1">
      <c r="A1493" s="111">
        <v>4118</v>
      </c>
      <c r="B1493" s="262" t="s">
        <v>477</v>
      </c>
      <c r="C1493" s="79"/>
      <c r="D1493" s="65">
        <f t="shared" si="188"/>
        <v>0</v>
      </c>
      <c r="E1493" s="80">
        <f t="shared" si="191"/>
        <v>0</v>
      </c>
      <c r="F1493" s="475" t="e">
        <f t="shared" si="194"/>
        <v>#DIV/0!</v>
      </c>
      <c r="G1493" s="79"/>
      <c r="H1493" s="80"/>
      <c r="I1493" s="452" t="e">
        <f t="shared" si="192"/>
        <v>#DIV/0!</v>
      </c>
      <c r="J1493" s="113"/>
      <c r="K1493" s="80"/>
      <c r="L1493" s="379"/>
      <c r="M1493" s="113"/>
      <c r="N1493" s="80"/>
      <c r="O1493" s="374"/>
      <c r="P1493" s="80"/>
      <c r="Q1493" s="80"/>
      <c r="R1493" s="265"/>
    </row>
    <row r="1494" spans="1:18" s="105" customFormat="1" ht="24" hidden="1">
      <c r="A1494" s="111">
        <v>4119</v>
      </c>
      <c r="B1494" s="262" t="s">
        <v>477</v>
      </c>
      <c r="C1494" s="79"/>
      <c r="D1494" s="65">
        <f t="shared" si="188"/>
        <v>0</v>
      </c>
      <c r="E1494" s="80">
        <f t="shared" si="191"/>
        <v>0</v>
      </c>
      <c r="F1494" s="475" t="e">
        <f t="shared" si="194"/>
        <v>#DIV/0!</v>
      </c>
      <c r="G1494" s="79"/>
      <c r="H1494" s="80"/>
      <c r="I1494" s="452" t="e">
        <f t="shared" si="192"/>
        <v>#DIV/0!</v>
      </c>
      <c r="J1494" s="113"/>
      <c r="K1494" s="80"/>
      <c r="L1494" s="379"/>
      <c r="M1494" s="113"/>
      <c r="N1494" s="80"/>
      <c r="O1494" s="374"/>
      <c r="P1494" s="80"/>
      <c r="Q1494" s="80"/>
      <c r="R1494" s="265"/>
    </row>
    <row r="1495" spans="1:18" s="105" customFormat="1" ht="12.75" hidden="1">
      <c r="A1495" s="111">
        <v>4128</v>
      </c>
      <c r="B1495" s="262" t="s">
        <v>547</v>
      </c>
      <c r="C1495" s="79"/>
      <c r="D1495" s="65">
        <f t="shared" si="188"/>
        <v>0</v>
      </c>
      <c r="E1495" s="80">
        <f t="shared" si="191"/>
        <v>0</v>
      </c>
      <c r="F1495" s="475" t="e">
        <f t="shared" si="194"/>
        <v>#DIV/0!</v>
      </c>
      <c r="G1495" s="79"/>
      <c r="H1495" s="80"/>
      <c r="I1495" s="452" t="e">
        <f t="shared" si="192"/>
        <v>#DIV/0!</v>
      </c>
      <c r="J1495" s="113"/>
      <c r="K1495" s="80"/>
      <c r="L1495" s="379"/>
      <c r="M1495" s="113"/>
      <c r="N1495" s="80"/>
      <c r="O1495" s="374"/>
      <c r="P1495" s="80"/>
      <c r="Q1495" s="80"/>
      <c r="R1495" s="265"/>
    </row>
    <row r="1496" spans="1:18" s="105" customFormat="1" ht="12.75" hidden="1">
      <c r="A1496" s="111">
        <v>4129</v>
      </c>
      <c r="B1496" s="262" t="s">
        <v>547</v>
      </c>
      <c r="C1496" s="79"/>
      <c r="D1496" s="65">
        <f t="shared" si="188"/>
        <v>0</v>
      </c>
      <c r="E1496" s="80">
        <f t="shared" si="191"/>
        <v>0</v>
      </c>
      <c r="F1496" s="475" t="e">
        <f t="shared" si="194"/>
        <v>#DIV/0!</v>
      </c>
      <c r="G1496" s="79"/>
      <c r="H1496" s="80"/>
      <c r="I1496" s="452" t="e">
        <f t="shared" si="192"/>
        <v>#DIV/0!</v>
      </c>
      <c r="J1496" s="113"/>
      <c r="K1496" s="80"/>
      <c r="L1496" s="379"/>
      <c r="M1496" s="113"/>
      <c r="N1496" s="80"/>
      <c r="O1496" s="374"/>
      <c r="P1496" s="80"/>
      <c r="Q1496" s="80"/>
      <c r="R1496" s="265"/>
    </row>
    <row r="1497" spans="1:18" s="105" customFormat="1" ht="24" hidden="1">
      <c r="A1497" s="111">
        <v>4178</v>
      </c>
      <c r="B1497" s="262" t="s">
        <v>511</v>
      </c>
      <c r="C1497" s="79"/>
      <c r="D1497" s="65">
        <f t="shared" si="188"/>
        <v>0</v>
      </c>
      <c r="E1497" s="80">
        <f t="shared" si="191"/>
        <v>0</v>
      </c>
      <c r="F1497" s="475" t="e">
        <f t="shared" si="194"/>
        <v>#DIV/0!</v>
      </c>
      <c r="G1497" s="79"/>
      <c r="H1497" s="80"/>
      <c r="I1497" s="452" t="e">
        <f t="shared" si="192"/>
        <v>#DIV/0!</v>
      </c>
      <c r="J1497" s="113"/>
      <c r="K1497" s="80"/>
      <c r="L1497" s="379"/>
      <c r="M1497" s="113"/>
      <c r="N1497" s="80"/>
      <c r="O1497" s="374"/>
      <c r="P1497" s="80"/>
      <c r="Q1497" s="80"/>
      <c r="R1497" s="265"/>
    </row>
    <row r="1498" spans="1:18" s="105" customFormat="1" ht="24" hidden="1">
      <c r="A1498" s="111">
        <v>4179</v>
      </c>
      <c r="B1498" s="262" t="s">
        <v>511</v>
      </c>
      <c r="C1498" s="79"/>
      <c r="D1498" s="65">
        <f t="shared" si="188"/>
        <v>0</v>
      </c>
      <c r="E1498" s="80">
        <f t="shared" si="191"/>
        <v>0</v>
      </c>
      <c r="F1498" s="475" t="e">
        <f t="shared" si="194"/>
        <v>#DIV/0!</v>
      </c>
      <c r="G1498" s="79"/>
      <c r="H1498" s="80"/>
      <c r="I1498" s="452" t="e">
        <f t="shared" si="192"/>
        <v>#DIV/0!</v>
      </c>
      <c r="J1498" s="113"/>
      <c r="K1498" s="80"/>
      <c r="L1498" s="379"/>
      <c r="M1498" s="113"/>
      <c r="N1498" s="80"/>
      <c r="O1498" s="374"/>
      <c r="P1498" s="80"/>
      <c r="Q1498" s="80"/>
      <c r="R1498" s="265"/>
    </row>
    <row r="1499" spans="1:18" s="105" customFormat="1" ht="24" hidden="1">
      <c r="A1499" s="111">
        <v>4218</v>
      </c>
      <c r="B1499" s="262" t="s">
        <v>481</v>
      </c>
      <c r="C1499" s="79"/>
      <c r="D1499" s="65">
        <f t="shared" si="188"/>
        <v>0</v>
      </c>
      <c r="E1499" s="80">
        <f t="shared" si="191"/>
        <v>0</v>
      </c>
      <c r="F1499" s="475" t="e">
        <f t="shared" si="194"/>
        <v>#DIV/0!</v>
      </c>
      <c r="G1499" s="79"/>
      <c r="H1499" s="80"/>
      <c r="I1499" s="452" t="e">
        <f t="shared" si="192"/>
        <v>#DIV/0!</v>
      </c>
      <c r="J1499" s="113"/>
      <c r="K1499" s="80"/>
      <c r="L1499" s="379"/>
      <c r="M1499" s="113"/>
      <c r="N1499" s="80"/>
      <c r="O1499" s="374"/>
      <c r="P1499" s="80"/>
      <c r="Q1499" s="80"/>
      <c r="R1499" s="265"/>
    </row>
    <row r="1500" spans="1:18" s="105" customFormat="1" ht="24" hidden="1">
      <c r="A1500" s="111">
        <v>4219</v>
      </c>
      <c r="B1500" s="262" t="s">
        <v>481</v>
      </c>
      <c r="C1500" s="79"/>
      <c r="D1500" s="65">
        <f t="shared" si="188"/>
        <v>0</v>
      </c>
      <c r="E1500" s="80">
        <f t="shared" si="191"/>
        <v>0</v>
      </c>
      <c r="F1500" s="475" t="e">
        <f t="shared" si="194"/>
        <v>#DIV/0!</v>
      </c>
      <c r="G1500" s="79"/>
      <c r="H1500" s="80"/>
      <c r="I1500" s="452" t="e">
        <f t="shared" si="192"/>
        <v>#DIV/0!</v>
      </c>
      <c r="J1500" s="113"/>
      <c r="K1500" s="80"/>
      <c r="L1500" s="379"/>
      <c r="M1500" s="113"/>
      <c r="N1500" s="80"/>
      <c r="O1500" s="374"/>
      <c r="P1500" s="80"/>
      <c r="Q1500" s="80"/>
      <c r="R1500" s="265"/>
    </row>
    <row r="1501" spans="1:18" s="105" customFormat="1" ht="24" hidden="1">
      <c r="A1501" s="111">
        <v>4288</v>
      </c>
      <c r="B1501" s="262" t="s">
        <v>520</v>
      </c>
      <c r="C1501" s="79"/>
      <c r="D1501" s="65">
        <f t="shared" si="188"/>
        <v>0</v>
      </c>
      <c r="E1501" s="80">
        <f t="shared" si="191"/>
        <v>0</v>
      </c>
      <c r="F1501" s="475" t="e">
        <f t="shared" si="194"/>
        <v>#DIV/0!</v>
      </c>
      <c r="G1501" s="79"/>
      <c r="H1501" s="80"/>
      <c r="I1501" s="452" t="e">
        <f t="shared" si="192"/>
        <v>#DIV/0!</v>
      </c>
      <c r="J1501" s="113"/>
      <c r="K1501" s="80"/>
      <c r="L1501" s="379"/>
      <c r="M1501" s="113"/>
      <c r="N1501" s="80"/>
      <c r="O1501" s="374"/>
      <c r="P1501" s="80"/>
      <c r="Q1501" s="80"/>
      <c r="R1501" s="265"/>
    </row>
    <row r="1502" spans="1:18" s="105" customFormat="1" ht="24" hidden="1">
      <c r="A1502" s="111">
        <v>4289</v>
      </c>
      <c r="B1502" s="262" t="s">
        <v>520</v>
      </c>
      <c r="C1502" s="79"/>
      <c r="D1502" s="65">
        <f t="shared" si="188"/>
        <v>0</v>
      </c>
      <c r="E1502" s="80">
        <f t="shared" si="191"/>
        <v>0</v>
      </c>
      <c r="F1502" s="475" t="e">
        <f t="shared" si="194"/>
        <v>#DIV/0!</v>
      </c>
      <c r="G1502" s="79"/>
      <c r="H1502" s="80"/>
      <c r="I1502" s="452" t="e">
        <f t="shared" si="192"/>
        <v>#DIV/0!</v>
      </c>
      <c r="J1502" s="113"/>
      <c r="K1502" s="80"/>
      <c r="L1502" s="379"/>
      <c r="M1502" s="113"/>
      <c r="N1502" s="80"/>
      <c r="O1502" s="374"/>
      <c r="P1502" s="80"/>
      <c r="Q1502" s="80"/>
      <c r="R1502" s="265"/>
    </row>
    <row r="1503" spans="1:18" s="105" customFormat="1" ht="24" hidden="1">
      <c r="A1503" s="111">
        <v>4308</v>
      </c>
      <c r="B1503" s="262" t="s">
        <v>522</v>
      </c>
      <c r="C1503" s="79"/>
      <c r="D1503" s="65">
        <f t="shared" si="188"/>
        <v>0</v>
      </c>
      <c r="E1503" s="80">
        <f t="shared" si="191"/>
        <v>0</v>
      </c>
      <c r="F1503" s="475" t="e">
        <f t="shared" si="194"/>
        <v>#DIV/0!</v>
      </c>
      <c r="G1503" s="79"/>
      <c r="H1503" s="80"/>
      <c r="I1503" s="452" t="e">
        <f t="shared" si="192"/>
        <v>#DIV/0!</v>
      </c>
      <c r="J1503" s="113"/>
      <c r="K1503" s="80"/>
      <c r="L1503" s="379"/>
      <c r="M1503" s="113"/>
      <c r="N1503" s="80"/>
      <c r="O1503" s="374"/>
      <c r="P1503" s="80"/>
      <c r="Q1503" s="80"/>
      <c r="R1503" s="265"/>
    </row>
    <row r="1504" spans="1:18" s="105" customFormat="1" ht="24" hidden="1">
      <c r="A1504" s="111">
        <v>4309</v>
      </c>
      <c r="B1504" s="262" t="s">
        <v>522</v>
      </c>
      <c r="C1504" s="79"/>
      <c r="D1504" s="65">
        <f t="shared" si="188"/>
        <v>0</v>
      </c>
      <c r="E1504" s="80">
        <f t="shared" si="191"/>
        <v>0</v>
      </c>
      <c r="F1504" s="475" t="e">
        <f t="shared" si="194"/>
        <v>#DIV/0!</v>
      </c>
      <c r="G1504" s="79"/>
      <c r="H1504" s="80"/>
      <c r="I1504" s="452" t="e">
        <f t="shared" si="192"/>
        <v>#DIV/0!</v>
      </c>
      <c r="J1504" s="113"/>
      <c r="K1504" s="80"/>
      <c r="L1504" s="379"/>
      <c r="M1504" s="113"/>
      <c r="N1504" s="80"/>
      <c r="O1504" s="374"/>
      <c r="P1504" s="80"/>
      <c r="Q1504" s="80"/>
      <c r="R1504" s="265"/>
    </row>
    <row r="1505" spans="1:18" s="105" customFormat="1" ht="24" hidden="1">
      <c r="A1505" s="159">
        <v>4418</v>
      </c>
      <c r="B1505" s="326" t="s">
        <v>463</v>
      </c>
      <c r="C1505" s="79"/>
      <c r="D1505" s="65">
        <f t="shared" si="188"/>
        <v>0</v>
      </c>
      <c r="E1505" s="80">
        <f t="shared" si="191"/>
        <v>0</v>
      </c>
      <c r="F1505" s="475" t="e">
        <f t="shared" si="194"/>
        <v>#DIV/0!</v>
      </c>
      <c r="G1505" s="79"/>
      <c r="H1505" s="80"/>
      <c r="I1505" s="452" t="e">
        <f t="shared" si="192"/>
        <v>#DIV/0!</v>
      </c>
      <c r="J1505" s="113"/>
      <c r="K1505" s="80"/>
      <c r="L1505" s="379"/>
      <c r="M1505" s="113"/>
      <c r="N1505" s="80"/>
      <c r="O1505" s="374"/>
      <c r="P1505" s="80"/>
      <c r="Q1505" s="80"/>
      <c r="R1505" s="265"/>
    </row>
    <row r="1506" spans="1:18" s="105" customFormat="1" ht="24" hidden="1">
      <c r="A1506" s="159">
        <v>4419</v>
      </c>
      <c r="B1506" s="326" t="s">
        <v>463</v>
      </c>
      <c r="C1506" s="79"/>
      <c r="D1506" s="65">
        <f t="shared" si="188"/>
        <v>0</v>
      </c>
      <c r="E1506" s="80">
        <f t="shared" si="191"/>
        <v>0</v>
      </c>
      <c r="F1506" s="475" t="e">
        <f t="shared" si="194"/>
        <v>#DIV/0!</v>
      </c>
      <c r="G1506" s="79"/>
      <c r="H1506" s="80"/>
      <c r="I1506" s="452" t="e">
        <f t="shared" si="192"/>
        <v>#DIV/0!</v>
      </c>
      <c r="J1506" s="113"/>
      <c r="K1506" s="80"/>
      <c r="L1506" s="379"/>
      <c r="M1506" s="113"/>
      <c r="N1506" s="80"/>
      <c r="O1506" s="374"/>
      <c r="P1506" s="80"/>
      <c r="Q1506" s="80"/>
      <c r="R1506" s="265"/>
    </row>
    <row r="1507" spans="1:18" s="105" customFormat="1" ht="12.75" hidden="1">
      <c r="A1507" s="159">
        <v>4438</v>
      </c>
      <c r="B1507" s="326" t="s">
        <v>491</v>
      </c>
      <c r="C1507" s="79"/>
      <c r="D1507" s="65">
        <f t="shared" si="188"/>
        <v>0</v>
      </c>
      <c r="E1507" s="80">
        <f t="shared" si="191"/>
        <v>0</v>
      </c>
      <c r="F1507" s="475" t="e">
        <f t="shared" si="194"/>
        <v>#DIV/0!</v>
      </c>
      <c r="G1507" s="79"/>
      <c r="H1507" s="80"/>
      <c r="I1507" s="452" t="e">
        <f t="shared" si="192"/>
        <v>#DIV/0!</v>
      </c>
      <c r="J1507" s="113"/>
      <c r="K1507" s="80"/>
      <c r="L1507" s="379"/>
      <c r="M1507" s="113"/>
      <c r="N1507" s="80"/>
      <c r="O1507" s="374"/>
      <c r="P1507" s="80"/>
      <c r="Q1507" s="80"/>
      <c r="R1507" s="265"/>
    </row>
    <row r="1508" spans="1:18" s="105" customFormat="1" ht="12.75" hidden="1">
      <c r="A1508" s="159">
        <v>4439</v>
      </c>
      <c r="B1508" s="326" t="s">
        <v>491</v>
      </c>
      <c r="C1508" s="79"/>
      <c r="D1508" s="65">
        <f t="shared" si="188"/>
        <v>0</v>
      </c>
      <c r="E1508" s="80">
        <f t="shared" si="191"/>
        <v>0</v>
      </c>
      <c r="F1508" s="475" t="e">
        <f t="shared" si="194"/>
        <v>#DIV/0!</v>
      </c>
      <c r="G1508" s="79"/>
      <c r="H1508" s="80"/>
      <c r="I1508" s="452" t="e">
        <f t="shared" si="192"/>
        <v>#DIV/0!</v>
      </c>
      <c r="J1508" s="113"/>
      <c r="K1508" s="80"/>
      <c r="L1508" s="379"/>
      <c r="M1508" s="113"/>
      <c r="N1508" s="80"/>
      <c r="O1508" s="374"/>
      <c r="P1508" s="80"/>
      <c r="Q1508" s="80"/>
      <c r="R1508" s="265"/>
    </row>
    <row r="1509" spans="1:18" s="105" customFormat="1" ht="60" hidden="1">
      <c r="A1509" s="159">
        <v>4748</v>
      </c>
      <c r="B1509" s="326" t="s">
        <v>288</v>
      </c>
      <c r="C1509" s="79"/>
      <c r="D1509" s="65">
        <f t="shared" si="188"/>
        <v>0</v>
      </c>
      <c r="E1509" s="80">
        <f t="shared" si="191"/>
        <v>0</v>
      </c>
      <c r="F1509" s="475" t="e">
        <f t="shared" si="194"/>
        <v>#DIV/0!</v>
      </c>
      <c r="G1509" s="79"/>
      <c r="H1509" s="80"/>
      <c r="I1509" s="452" t="e">
        <f t="shared" si="192"/>
        <v>#DIV/0!</v>
      </c>
      <c r="J1509" s="113"/>
      <c r="K1509" s="80"/>
      <c r="L1509" s="379"/>
      <c r="M1509" s="113"/>
      <c r="N1509" s="80"/>
      <c r="O1509" s="374"/>
      <c r="P1509" s="80"/>
      <c r="Q1509" s="80"/>
      <c r="R1509" s="265"/>
    </row>
    <row r="1510" spans="1:18" s="105" customFormat="1" ht="60" hidden="1">
      <c r="A1510" s="159">
        <v>4749</v>
      </c>
      <c r="B1510" s="326" t="s">
        <v>288</v>
      </c>
      <c r="C1510" s="79"/>
      <c r="D1510" s="65">
        <f t="shared" si="188"/>
        <v>0</v>
      </c>
      <c r="E1510" s="80">
        <f t="shared" si="191"/>
        <v>0</v>
      </c>
      <c r="F1510" s="475" t="e">
        <f t="shared" si="194"/>
        <v>#DIV/0!</v>
      </c>
      <c r="G1510" s="79"/>
      <c r="H1510" s="80"/>
      <c r="I1510" s="452" t="e">
        <f t="shared" si="192"/>
        <v>#DIV/0!</v>
      </c>
      <c r="J1510" s="113"/>
      <c r="K1510" s="80"/>
      <c r="L1510" s="379"/>
      <c r="M1510" s="113"/>
      <c r="N1510" s="80"/>
      <c r="O1510" s="374"/>
      <c r="P1510" s="80"/>
      <c r="Q1510" s="80"/>
      <c r="R1510" s="265"/>
    </row>
    <row r="1511" spans="1:18" s="105" customFormat="1" ht="36" hidden="1">
      <c r="A1511" s="159">
        <v>4758</v>
      </c>
      <c r="B1511" s="326" t="s">
        <v>415</v>
      </c>
      <c r="C1511" s="79"/>
      <c r="D1511" s="65">
        <f t="shared" si="188"/>
        <v>0</v>
      </c>
      <c r="E1511" s="80">
        <f t="shared" si="191"/>
        <v>0</v>
      </c>
      <c r="F1511" s="475" t="e">
        <f t="shared" si="194"/>
        <v>#DIV/0!</v>
      </c>
      <c r="G1511" s="79"/>
      <c r="H1511" s="80"/>
      <c r="I1511" s="452" t="e">
        <f t="shared" si="192"/>
        <v>#DIV/0!</v>
      </c>
      <c r="J1511" s="113"/>
      <c r="K1511" s="80"/>
      <c r="L1511" s="379"/>
      <c r="M1511" s="113"/>
      <c r="N1511" s="80"/>
      <c r="O1511" s="374"/>
      <c r="P1511" s="80"/>
      <c r="Q1511" s="80"/>
      <c r="R1511" s="265"/>
    </row>
    <row r="1512" spans="1:18" s="105" customFormat="1" ht="36" hidden="1">
      <c r="A1512" s="159">
        <v>4759</v>
      </c>
      <c r="B1512" s="326" t="s">
        <v>415</v>
      </c>
      <c r="C1512" s="79"/>
      <c r="D1512" s="65">
        <f t="shared" si="188"/>
        <v>0</v>
      </c>
      <c r="E1512" s="80">
        <f t="shared" si="191"/>
        <v>0</v>
      </c>
      <c r="F1512" s="475" t="e">
        <f t="shared" si="194"/>
        <v>#DIV/0!</v>
      </c>
      <c r="G1512" s="79"/>
      <c r="H1512" s="80"/>
      <c r="I1512" s="452" t="e">
        <f t="shared" si="192"/>
        <v>#DIV/0!</v>
      </c>
      <c r="J1512" s="113"/>
      <c r="K1512" s="80"/>
      <c r="L1512" s="379"/>
      <c r="M1512" s="113"/>
      <c r="N1512" s="80"/>
      <c r="O1512" s="374"/>
      <c r="P1512" s="80"/>
      <c r="Q1512" s="80"/>
      <c r="R1512" s="265"/>
    </row>
    <row r="1513" spans="1:18" s="264" customFormat="1" ht="27">
      <c r="A1513" s="212"/>
      <c r="B1513" s="546" t="s">
        <v>630</v>
      </c>
      <c r="C1513" s="214">
        <f>SUM(C1535:C1542)</f>
        <v>462533</v>
      </c>
      <c r="D1513" s="215">
        <f t="shared" si="188"/>
        <v>611982</v>
      </c>
      <c r="E1513" s="215">
        <f t="shared" si="191"/>
        <v>397609</v>
      </c>
      <c r="F1513" s="443">
        <f t="shared" si="194"/>
        <v>64.97070175266593</v>
      </c>
      <c r="G1513" s="494"/>
      <c r="H1513" s="215"/>
      <c r="I1513" s="569"/>
      <c r="J1513" s="216"/>
      <c r="K1513" s="215"/>
      <c r="L1513" s="392"/>
      <c r="M1513" s="494">
        <f>SUM(M1514:M1542)</f>
        <v>611982</v>
      </c>
      <c r="N1513" s="215">
        <f>SUM(N1514:N1542)</f>
        <v>397609</v>
      </c>
      <c r="O1513" s="457">
        <f aca="true" t="shared" si="195" ref="O1513:O1576">N1513/M1513*100</f>
        <v>64.97070175266593</v>
      </c>
      <c r="P1513" s="216"/>
      <c r="Q1513" s="215"/>
      <c r="R1513" s="461"/>
    </row>
    <row r="1514" spans="1:18" s="12" customFormat="1" ht="105" customHeight="1">
      <c r="A1514" s="159">
        <v>2338</v>
      </c>
      <c r="B1514" s="587" t="s">
        <v>311</v>
      </c>
      <c r="C1514" s="161"/>
      <c r="D1514" s="65">
        <f t="shared" si="188"/>
        <v>12369</v>
      </c>
      <c r="E1514" s="65">
        <f t="shared" si="191"/>
        <v>12368</v>
      </c>
      <c r="F1514" s="469">
        <f t="shared" si="194"/>
        <v>99.99191527205109</v>
      </c>
      <c r="G1514" s="205"/>
      <c r="H1514" s="65"/>
      <c r="I1514" s="457"/>
      <c r="J1514" s="162"/>
      <c r="K1514" s="65"/>
      <c r="L1514" s="356"/>
      <c r="M1514" s="205">
        <f>9578+2791</f>
        <v>12369</v>
      </c>
      <c r="N1514" s="65">
        <v>12368</v>
      </c>
      <c r="O1514" s="457">
        <f t="shared" si="195"/>
        <v>99.99191527205109</v>
      </c>
      <c r="P1514" s="162"/>
      <c r="Q1514" s="65"/>
      <c r="R1514" s="458"/>
    </row>
    <row r="1515" spans="1:18" s="12" customFormat="1" ht="105.75" customHeight="1">
      <c r="A1515" s="159">
        <v>2339</v>
      </c>
      <c r="B1515" s="587" t="s">
        <v>311</v>
      </c>
      <c r="C1515" s="161"/>
      <c r="D1515" s="65">
        <f t="shared" si="188"/>
        <v>166</v>
      </c>
      <c r="E1515" s="65">
        <f t="shared" si="191"/>
        <v>166</v>
      </c>
      <c r="F1515" s="469">
        <f>E1515/D1515*100</f>
        <v>100</v>
      </c>
      <c r="G1515" s="205"/>
      <c r="H1515" s="65"/>
      <c r="I1515" s="457"/>
      <c r="J1515" s="162"/>
      <c r="K1515" s="65"/>
      <c r="L1515" s="356"/>
      <c r="M1515" s="205">
        <f>129+37</f>
        <v>166</v>
      </c>
      <c r="N1515" s="65">
        <v>166</v>
      </c>
      <c r="O1515" s="457">
        <f t="shared" si="195"/>
        <v>100</v>
      </c>
      <c r="P1515" s="162"/>
      <c r="Q1515" s="65"/>
      <c r="R1515" s="458"/>
    </row>
    <row r="1516" spans="1:18" s="12" customFormat="1" ht="105.75" customHeight="1">
      <c r="A1516" s="159">
        <v>2678</v>
      </c>
      <c r="B1516" s="587" t="s">
        <v>312</v>
      </c>
      <c r="C1516" s="161"/>
      <c r="D1516" s="65">
        <f t="shared" si="188"/>
        <v>5329</v>
      </c>
      <c r="E1516" s="65">
        <f t="shared" si="191"/>
        <v>5329</v>
      </c>
      <c r="F1516" s="469">
        <f>E1516/D1516*100</f>
        <v>100</v>
      </c>
      <c r="G1516" s="205"/>
      <c r="H1516" s="65"/>
      <c r="I1516" s="457"/>
      <c r="J1516" s="162"/>
      <c r="K1516" s="65"/>
      <c r="L1516" s="356"/>
      <c r="M1516" s="205">
        <f>3494+1835</f>
        <v>5329</v>
      </c>
      <c r="N1516" s="65">
        <v>5329</v>
      </c>
      <c r="O1516" s="457">
        <f t="shared" si="195"/>
        <v>100</v>
      </c>
      <c r="P1516" s="162"/>
      <c r="Q1516" s="65"/>
      <c r="R1516" s="458"/>
    </row>
    <row r="1517" spans="1:18" s="12" customFormat="1" ht="107.25" customHeight="1">
      <c r="A1517" s="184">
        <v>2679</v>
      </c>
      <c r="B1517" s="612" t="s">
        <v>312</v>
      </c>
      <c r="C1517" s="163"/>
      <c r="D1517" s="148">
        <f t="shared" si="188"/>
        <v>72</v>
      </c>
      <c r="E1517" s="148">
        <f t="shared" si="191"/>
        <v>71</v>
      </c>
      <c r="F1517" s="482">
        <f>E1517/D1517*100</f>
        <v>98.61111111111111</v>
      </c>
      <c r="G1517" s="613"/>
      <c r="H1517" s="148"/>
      <c r="I1517" s="459"/>
      <c r="J1517" s="164"/>
      <c r="K1517" s="148"/>
      <c r="L1517" s="375"/>
      <c r="M1517" s="613">
        <f>7+65</f>
        <v>72</v>
      </c>
      <c r="N1517" s="148">
        <v>71</v>
      </c>
      <c r="O1517" s="459">
        <f t="shared" si="195"/>
        <v>98.61111111111111</v>
      </c>
      <c r="P1517" s="164"/>
      <c r="Q1517" s="148"/>
      <c r="R1517" s="614"/>
    </row>
    <row r="1518" spans="1:18" s="12" customFormat="1" ht="29.25" customHeight="1">
      <c r="A1518" s="159">
        <v>4018</v>
      </c>
      <c r="B1518" s="587" t="s">
        <v>471</v>
      </c>
      <c r="C1518" s="161"/>
      <c r="D1518" s="65">
        <f t="shared" si="188"/>
        <v>15986</v>
      </c>
      <c r="E1518" s="65">
        <f t="shared" si="191"/>
        <v>7601</v>
      </c>
      <c r="F1518" s="469">
        <f>E1518/D1518*100</f>
        <v>47.547854372576005</v>
      </c>
      <c r="G1518" s="205"/>
      <c r="H1518" s="65"/>
      <c r="I1518" s="457"/>
      <c r="J1518" s="162"/>
      <c r="K1518" s="65"/>
      <c r="L1518" s="356"/>
      <c r="M1518" s="205">
        <f>15099+887</f>
        <v>15986</v>
      </c>
      <c r="N1518" s="65">
        <v>7601</v>
      </c>
      <c r="O1518" s="457">
        <f t="shared" si="195"/>
        <v>47.547854372576005</v>
      </c>
      <c r="P1518" s="162"/>
      <c r="Q1518" s="65"/>
      <c r="R1518" s="458"/>
    </row>
    <row r="1519" spans="1:18" s="12" customFormat="1" ht="24.75" customHeight="1">
      <c r="A1519" s="159">
        <v>4019</v>
      </c>
      <c r="B1519" s="587" t="s">
        <v>471</v>
      </c>
      <c r="C1519" s="161"/>
      <c r="D1519" s="65">
        <f t="shared" si="188"/>
        <v>215</v>
      </c>
      <c r="E1519" s="65">
        <f t="shared" si="191"/>
        <v>89</v>
      </c>
      <c r="F1519" s="469">
        <f>E1519/D1519*100</f>
        <v>41.3953488372093</v>
      </c>
      <c r="G1519" s="205"/>
      <c r="H1519" s="65"/>
      <c r="I1519" s="457"/>
      <c r="J1519" s="162"/>
      <c r="K1519" s="65"/>
      <c r="L1519" s="356"/>
      <c r="M1519" s="205">
        <f>203+12</f>
        <v>215</v>
      </c>
      <c r="N1519" s="65">
        <v>89</v>
      </c>
      <c r="O1519" s="457">
        <f t="shared" si="195"/>
        <v>41.3953488372093</v>
      </c>
      <c r="P1519" s="162"/>
      <c r="Q1519" s="65"/>
      <c r="R1519" s="458"/>
    </row>
    <row r="1520" spans="1:18" s="12" customFormat="1" ht="24">
      <c r="A1520" s="159">
        <v>4110</v>
      </c>
      <c r="B1520" s="193" t="s">
        <v>477</v>
      </c>
      <c r="C1520" s="161"/>
      <c r="D1520" s="65">
        <f t="shared" si="188"/>
        <v>418</v>
      </c>
      <c r="E1520" s="65">
        <f t="shared" si="191"/>
        <v>0</v>
      </c>
      <c r="F1520" s="469">
        <f aca="true" t="shared" si="196" ref="F1520:F1539">E1520/D1520*100</f>
        <v>0</v>
      </c>
      <c r="G1520" s="205"/>
      <c r="H1520" s="65"/>
      <c r="I1520" s="457"/>
      <c r="J1520" s="162"/>
      <c r="K1520" s="65"/>
      <c r="L1520" s="356"/>
      <c r="M1520" s="205">
        <v>418</v>
      </c>
      <c r="N1520" s="65"/>
      <c r="O1520" s="457">
        <f t="shared" si="195"/>
        <v>0</v>
      </c>
      <c r="P1520" s="162"/>
      <c r="Q1520" s="65"/>
      <c r="R1520" s="458"/>
    </row>
    <row r="1521" spans="1:18" s="12" customFormat="1" ht="24">
      <c r="A1521" s="159">
        <v>4118</v>
      </c>
      <c r="B1521" s="193" t="s">
        <v>477</v>
      </c>
      <c r="C1521" s="161"/>
      <c r="D1521" s="65">
        <f t="shared" si="188"/>
        <v>15149</v>
      </c>
      <c r="E1521" s="65">
        <f t="shared" si="191"/>
        <v>10180</v>
      </c>
      <c r="F1521" s="469">
        <f t="shared" si="196"/>
        <v>67.19915505973991</v>
      </c>
      <c r="G1521" s="205"/>
      <c r="H1521" s="65"/>
      <c r="I1521" s="457"/>
      <c r="J1521" s="162"/>
      <c r="K1521" s="65"/>
      <c r="L1521" s="356"/>
      <c r="M1521" s="205">
        <f>10464+5096-411</f>
        <v>15149</v>
      </c>
      <c r="N1521" s="65">
        <v>10180</v>
      </c>
      <c r="O1521" s="457">
        <f t="shared" si="195"/>
        <v>67.19915505973991</v>
      </c>
      <c r="P1521" s="162"/>
      <c r="Q1521" s="65"/>
      <c r="R1521" s="458"/>
    </row>
    <row r="1522" spans="1:18" s="105" customFormat="1" ht="24">
      <c r="A1522" s="111">
        <v>4119</v>
      </c>
      <c r="B1522" s="193" t="s">
        <v>477</v>
      </c>
      <c r="C1522" s="79"/>
      <c r="D1522" s="65">
        <f t="shared" si="188"/>
        <v>9018</v>
      </c>
      <c r="E1522" s="65">
        <f t="shared" si="191"/>
        <v>7550</v>
      </c>
      <c r="F1522" s="469">
        <f t="shared" si="196"/>
        <v>83.7214459968951</v>
      </c>
      <c r="G1522" s="141"/>
      <c r="H1522" s="80"/>
      <c r="I1522" s="457"/>
      <c r="J1522" s="113"/>
      <c r="K1522" s="80"/>
      <c r="L1522" s="379"/>
      <c r="M1522" s="141">
        <f>8650+692-324</f>
        <v>9018</v>
      </c>
      <c r="N1522" s="80">
        <v>7550</v>
      </c>
      <c r="O1522" s="457">
        <f t="shared" si="195"/>
        <v>83.7214459968951</v>
      </c>
      <c r="P1522" s="113"/>
      <c r="Q1522" s="80"/>
      <c r="R1522" s="452"/>
    </row>
    <row r="1523" spans="1:18" s="105" customFormat="1" ht="12.75">
      <c r="A1523" s="111">
        <v>4120</v>
      </c>
      <c r="B1523" s="193" t="s">
        <v>547</v>
      </c>
      <c r="C1523" s="79"/>
      <c r="D1523" s="65">
        <f t="shared" si="188"/>
        <v>82</v>
      </c>
      <c r="E1523" s="65">
        <f t="shared" si="191"/>
        <v>0</v>
      </c>
      <c r="F1523" s="469">
        <f t="shared" si="196"/>
        <v>0</v>
      </c>
      <c r="G1523" s="141"/>
      <c r="H1523" s="80"/>
      <c r="I1523" s="457"/>
      <c r="J1523" s="113"/>
      <c r="K1523" s="80"/>
      <c r="L1523" s="379"/>
      <c r="M1523" s="141">
        <v>82</v>
      </c>
      <c r="N1523" s="80"/>
      <c r="O1523" s="457">
        <f t="shared" si="195"/>
        <v>0</v>
      </c>
      <c r="P1523" s="113"/>
      <c r="Q1523" s="80"/>
      <c r="R1523" s="452"/>
    </row>
    <row r="1524" spans="1:18" s="105" customFormat="1" ht="12.75">
      <c r="A1524" s="111">
        <v>4128</v>
      </c>
      <c r="B1524" s="193" t="s">
        <v>547</v>
      </c>
      <c r="C1524" s="79"/>
      <c r="D1524" s="65">
        <f t="shared" si="188"/>
        <v>2440</v>
      </c>
      <c r="E1524" s="65">
        <f t="shared" si="191"/>
        <v>1644</v>
      </c>
      <c r="F1524" s="469">
        <f t="shared" si="196"/>
        <v>67.37704918032786</v>
      </c>
      <c r="G1524" s="141"/>
      <c r="H1524" s="80"/>
      <c r="I1524" s="457"/>
      <c r="J1524" s="113"/>
      <c r="K1524" s="80"/>
      <c r="L1524" s="379"/>
      <c r="M1524" s="141">
        <f>1654+852-66</f>
        <v>2440</v>
      </c>
      <c r="N1524" s="80">
        <v>1644</v>
      </c>
      <c r="O1524" s="457">
        <f t="shared" si="195"/>
        <v>67.37704918032786</v>
      </c>
      <c r="P1524" s="113"/>
      <c r="Q1524" s="80"/>
      <c r="R1524" s="452"/>
    </row>
    <row r="1525" spans="1:18" s="105" customFormat="1" ht="12.75">
      <c r="A1525" s="111">
        <v>4129</v>
      </c>
      <c r="B1525" s="193" t="s">
        <v>547</v>
      </c>
      <c r="C1525" s="79"/>
      <c r="D1525" s="65">
        <f t="shared" si="188"/>
        <v>1450</v>
      </c>
      <c r="E1525" s="65">
        <f t="shared" si="191"/>
        <v>1207</v>
      </c>
      <c r="F1525" s="469">
        <f t="shared" si="196"/>
        <v>83.24137931034483</v>
      </c>
      <c r="G1525" s="141"/>
      <c r="H1525" s="80"/>
      <c r="I1525" s="457"/>
      <c r="J1525" s="113"/>
      <c r="K1525" s="80"/>
      <c r="L1525" s="379"/>
      <c r="M1525" s="141">
        <f>1391+112-53</f>
        <v>1450</v>
      </c>
      <c r="N1525" s="80">
        <v>1207</v>
      </c>
      <c r="O1525" s="457">
        <f t="shared" si="195"/>
        <v>83.24137931034483</v>
      </c>
      <c r="P1525" s="113"/>
      <c r="Q1525" s="80"/>
      <c r="R1525" s="452"/>
    </row>
    <row r="1526" spans="1:18" s="105" customFormat="1" ht="24">
      <c r="A1526" s="111">
        <v>4170</v>
      </c>
      <c r="B1526" s="193" t="s">
        <v>511</v>
      </c>
      <c r="C1526" s="79"/>
      <c r="D1526" s="65">
        <f t="shared" si="188"/>
        <v>2830</v>
      </c>
      <c r="E1526" s="65">
        <f t="shared" si="191"/>
        <v>0</v>
      </c>
      <c r="F1526" s="469">
        <f t="shared" si="196"/>
        <v>0</v>
      </c>
      <c r="G1526" s="141"/>
      <c r="H1526" s="80"/>
      <c r="I1526" s="457"/>
      <c r="J1526" s="113"/>
      <c r="K1526" s="80"/>
      <c r="L1526" s="379"/>
      <c r="M1526" s="141">
        <v>2830</v>
      </c>
      <c r="N1526" s="80"/>
      <c r="O1526" s="457">
        <f t="shared" si="195"/>
        <v>0</v>
      </c>
      <c r="P1526" s="113"/>
      <c r="Q1526" s="80"/>
      <c r="R1526" s="452"/>
    </row>
    <row r="1527" spans="1:18" s="105" customFormat="1" ht="23.25" customHeight="1">
      <c r="A1527" s="111">
        <v>4178</v>
      </c>
      <c r="B1527" s="193" t="s">
        <v>511</v>
      </c>
      <c r="C1527" s="79"/>
      <c r="D1527" s="65">
        <f t="shared" si="188"/>
        <v>103341</v>
      </c>
      <c r="E1527" s="80">
        <f t="shared" si="191"/>
        <v>68102</v>
      </c>
      <c r="F1527" s="443">
        <f t="shared" si="196"/>
        <v>65.9002719153095</v>
      </c>
      <c r="G1527" s="141"/>
      <c r="H1527" s="80"/>
      <c r="I1527" s="457"/>
      <c r="J1527" s="113"/>
      <c r="K1527" s="80"/>
      <c r="L1527" s="379"/>
      <c r="M1527" s="141">
        <f>71740+31124+477</f>
        <v>103341</v>
      </c>
      <c r="N1527" s="80">
        <v>68102</v>
      </c>
      <c r="O1527" s="457">
        <f t="shared" si="195"/>
        <v>65.9002719153095</v>
      </c>
      <c r="P1527" s="113"/>
      <c r="Q1527" s="80"/>
      <c r="R1527" s="452"/>
    </row>
    <row r="1528" spans="1:18" s="105" customFormat="1" ht="24">
      <c r="A1528" s="111">
        <v>4179</v>
      </c>
      <c r="B1528" s="193" t="s">
        <v>511</v>
      </c>
      <c r="C1528" s="79"/>
      <c r="D1528" s="65">
        <f t="shared" si="188"/>
        <v>61550</v>
      </c>
      <c r="E1528" s="80">
        <f t="shared" si="191"/>
        <v>49701</v>
      </c>
      <c r="F1528" s="443">
        <f t="shared" si="196"/>
        <v>80.74898456539398</v>
      </c>
      <c r="G1528" s="141"/>
      <c r="H1528" s="80"/>
      <c r="I1528" s="457"/>
      <c r="J1528" s="113"/>
      <c r="K1528" s="80"/>
      <c r="L1528" s="379"/>
      <c r="M1528" s="141">
        <f>56883+4290+377</f>
        <v>61550</v>
      </c>
      <c r="N1528" s="80">
        <v>49701</v>
      </c>
      <c r="O1528" s="457">
        <f t="shared" si="195"/>
        <v>80.74898456539398</v>
      </c>
      <c r="P1528" s="113"/>
      <c r="Q1528" s="80"/>
      <c r="R1528" s="452"/>
    </row>
    <row r="1529" spans="1:18" s="105" customFormat="1" ht="24">
      <c r="A1529" s="111">
        <v>4210</v>
      </c>
      <c r="B1529" s="193" t="s">
        <v>631</v>
      </c>
      <c r="C1529" s="79"/>
      <c r="D1529" s="65">
        <f t="shared" si="188"/>
        <v>5000</v>
      </c>
      <c r="E1529" s="80">
        <f t="shared" si="191"/>
        <v>0</v>
      </c>
      <c r="F1529" s="443">
        <f t="shared" si="196"/>
        <v>0</v>
      </c>
      <c r="G1529" s="141"/>
      <c r="H1529" s="80"/>
      <c r="I1529" s="457"/>
      <c r="J1529" s="113"/>
      <c r="K1529" s="80"/>
      <c r="L1529" s="379"/>
      <c r="M1529" s="141">
        <v>5000</v>
      </c>
      <c r="N1529" s="80"/>
      <c r="O1529" s="457">
        <f t="shared" si="195"/>
        <v>0</v>
      </c>
      <c r="P1529" s="113"/>
      <c r="Q1529" s="80"/>
      <c r="R1529" s="452"/>
    </row>
    <row r="1530" spans="1:18" s="105" customFormat="1" ht="24">
      <c r="A1530" s="111">
        <v>4218</v>
      </c>
      <c r="B1530" s="193" t="s">
        <v>631</v>
      </c>
      <c r="C1530" s="79"/>
      <c r="D1530" s="65">
        <f t="shared" si="188"/>
        <v>66190</v>
      </c>
      <c r="E1530" s="80">
        <f t="shared" si="191"/>
        <v>40213</v>
      </c>
      <c r="F1530" s="443">
        <f t="shared" si="196"/>
        <v>60.753890315757666</v>
      </c>
      <c r="G1530" s="141"/>
      <c r="H1530" s="80"/>
      <c r="I1530" s="457"/>
      <c r="J1530" s="113"/>
      <c r="K1530" s="80"/>
      <c r="L1530" s="379"/>
      <c r="M1530" s="141">
        <f>35427+34612-3849</f>
        <v>66190</v>
      </c>
      <c r="N1530" s="80">
        <v>40213</v>
      </c>
      <c r="O1530" s="457">
        <f t="shared" si="195"/>
        <v>60.753890315757666</v>
      </c>
      <c r="P1530" s="113"/>
      <c r="Q1530" s="80"/>
      <c r="R1530" s="452"/>
    </row>
    <row r="1531" spans="1:18" s="105" customFormat="1" ht="24">
      <c r="A1531" s="111">
        <v>4219</v>
      </c>
      <c r="B1531" s="193" t="s">
        <v>631</v>
      </c>
      <c r="C1531" s="79"/>
      <c r="D1531" s="65">
        <f t="shared" si="188"/>
        <v>13769</v>
      </c>
      <c r="E1531" s="80">
        <f t="shared" si="191"/>
        <v>3168</v>
      </c>
      <c r="F1531" s="443">
        <f t="shared" si="196"/>
        <v>23.008206841455443</v>
      </c>
      <c r="G1531" s="141"/>
      <c r="H1531" s="80"/>
      <c r="I1531" s="457"/>
      <c r="J1531" s="113"/>
      <c r="K1531" s="80"/>
      <c r="L1531" s="379"/>
      <c r="M1531" s="141">
        <f>10131+3690-52</f>
        <v>13769</v>
      </c>
      <c r="N1531" s="80">
        <v>3168</v>
      </c>
      <c r="O1531" s="457">
        <f t="shared" si="195"/>
        <v>23.008206841455443</v>
      </c>
      <c r="P1531" s="113"/>
      <c r="Q1531" s="80"/>
      <c r="R1531" s="452"/>
    </row>
    <row r="1532" spans="1:18" s="105" customFormat="1" ht="27" customHeight="1">
      <c r="A1532" s="111">
        <v>4248</v>
      </c>
      <c r="B1532" s="193" t="s">
        <v>539</v>
      </c>
      <c r="C1532" s="79"/>
      <c r="D1532" s="65">
        <f t="shared" si="188"/>
        <v>6215</v>
      </c>
      <c r="E1532" s="80">
        <f t="shared" si="191"/>
        <v>4267</v>
      </c>
      <c r="F1532" s="443">
        <f t="shared" si="196"/>
        <v>68.65647626709574</v>
      </c>
      <c r="G1532" s="141"/>
      <c r="H1532" s="80"/>
      <c r="I1532" s="457"/>
      <c r="J1532" s="113"/>
      <c r="K1532" s="80"/>
      <c r="L1532" s="379"/>
      <c r="M1532" s="141">
        <v>6215</v>
      </c>
      <c r="N1532" s="80">
        <v>4267</v>
      </c>
      <c r="O1532" s="457">
        <f t="shared" si="195"/>
        <v>68.65647626709574</v>
      </c>
      <c r="P1532" s="113"/>
      <c r="Q1532" s="80"/>
      <c r="R1532" s="452"/>
    </row>
    <row r="1533" spans="1:18" s="105" customFormat="1" ht="29.25" customHeight="1">
      <c r="A1533" s="111">
        <v>4249</v>
      </c>
      <c r="B1533" s="193" t="s">
        <v>539</v>
      </c>
      <c r="C1533" s="79"/>
      <c r="D1533" s="65">
        <f t="shared" si="188"/>
        <v>85</v>
      </c>
      <c r="E1533" s="80">
        <f t="shared" si="191"/>
        <v>57</v>
      </c>
      <c r="F1533" s="443">
        <f t="shared" si="196"/>
        <v>67.05882352941175</v>
      </c>
      <c r="G1533" s="141"/>
      <c r="H1533" s="80"/>
      <c r="I1533" s="457"/>
      <c r="J1533" s="113"/>
      <c r="K1533" s="80"/>
      <c r="L1533" s="379"/>
      <c r="M1533" s="141">
        <v>85</v>
      </c>
      <c r="N1533" s="80">
        <v>57</v>
      </c>
      <c r="O1533" s="457">
        <f t="shared" si="195"/>
        <v>67.05882352941175</v>
      </c>
      <c r="P1533" s="113"/>
      <c r="Q1533" s="80"/>
      <c r="R1533" s="452"/>
    </row>
    <row r="1534" spans="1:18" s="105" customFormat="1" ht="18.75" customHeight="1">
      <c r="A1534" s="111">
        <v>4300</v>
      </c>
      <c r="B1534" s="262" t="s">
        <v>522</v>
      </c>
      <c r="C1534" s="79"/>
      <c r="D1534" s="65">
        <f t="shared" si="188"/>
        <v>18113</v>
      </c>
      <c r="E1534" s="80">
        <f t="shared" si="191"/>
        <v>0</v>
      </c>
      <c r="F1534" s="443">
        <f t="shared" si="196"/>
        <v>0</v>
      </c>
      <c r="G1534" s="141"/>
      <c r="H1534" s="80"/>
      <c r="I1534" s="457"/>
      <c r="J1534" s="113"/>
      <c r="K1534" s="80"/>
      <c r="L1534" s="379"/>
      <c r="M1534" s="141">
        <f>23113-5000</f>
        <v>18113</v>
      </c>
      <c r="N1534" s="80"/>
      <c r="O1534" s="457">
        <f t="shared" si="195"/>
        <v>0</v>
      </c>
      <c r="P1534" s="113"/>
      <c r="Q1534" s="80"/>
      <c r="R1534" s="452"/>
    </row>
    <row r="1535" spans="1:18" s="105" customFormat="1" ht="19.5" customHeight="1">
      <c r="A1535" s="111">
        <v>4308</v>
      </c>
      <c r="B1535" s="262" t="s">
        <v>522</v>
      </c>
      <c r="C1535" s="141">
        <v>337578</v>
      </c>
      <c r="D1535" s="65">
        <f t="shared" si="188"/>
        <v>267984</v>
      </c>
      <c r="E1535" s="80">
        <f t="shared" si="191"/>
        <v>182979</v>
      </c>
      <c r="F1535" s="443">
        <f t="shared" si="196"/>
        <v>68.27982267598065</v>
      </c>
      <c r="G1535" s="141"/>
      <c r="H1535" s="80"/>
      <c r="I1535" s="457"/>
      <c r="J1535" s="113"/>
      <c r="K1535" s="80"/>
      <c r="L1535" s="379"/>
      <c r="M1535" s="141">
        <f>337578-136154+425+147471-85185+3849</f>
        <v>267984</v>
      </c>
      <c r="N1535" s="80">
        <v>182979</v>
      </c>
      <c r="O1535" s="457">
        <f t="shared" si="195"/>
        <v>68.27982267598065</v>
      </c>
      <c r="P1535" s="113"/>
      <c r="Q1535" s="80"/>
      <c r="R1535" s="452"/>
    </row>
    <row r="1536" spans="1:18" s="105" customFormat="1" ht="19.5" customHeight="1">
      <c r="A1536" s="111">
        <v>4309</v>
      </c>
      <c r="B1536" s="262" t="s">
        <v>522</v>
      </c>
      <c r="C1536" s="141">
        <v>124955</v>
      </c>
      <c r="D1536" s="65">
        <f t="shared" si="188"/>
        <v>3568</v>
      </c>
      <c r="E1536" s="80">
        <f t="shared" si="191"/>
        <v>2434</v>
      </c>
      <c r="F1536" s="443">
        <f t="shared" si="196"/>
        <v>68.21748878923766</v>
      </c>
      <c r="G1536" s="141"/>
      <c r="H1536" s="80"/>
      <c r="I1536" s="457"/>
      <c r="J1536" s="113"/>
      <c r="K1536" s="80"/>
      <c r="L1536" s="379"/>
      <c r="M1536" s="141">
        <f>124955-89696+1978-33721+52</f>
        <v>3568</v>
      </c>
      <c r="N1536" s="80">
        <v>2434</v>
      </c>
      <c r="O1536" s="457">
        <f t="shared" si="195"/>
        <v>68.21748878923766</v>
      </c>
      <c r="P1536" s="113"/>
      <c r="Q1536" s="80"/>
      <c r="R1536" s="452"/>
    </row>
    <row r="1537" spans="1:18" s="105" customFormat="1" ht="12.75">
      <c r="A1537" s="111">
        <v>4430</v>
      </c>
      <c r="B1537" s="115" t="s">
        <v>491</v>
      </c>
      <c r="C1537" s="79"/>
      <c r="D1537" s="65">
        <f t="shared" si="188"/>
        <v>480</v>
      </c>
      <c r="E1537" s="80">
        <f>SUM(H1537+K1537+N1537+Q1537)</f>
        <v>361</v>
      </c>
      <c r="F1537" s="443">
        <f>E1537/D1537*100</f>
        <v>75.20833333333333</v>
      </c>
      <c r="G1537" s="141"/>
      <c r="H1537" s="80"/>
      <c r="I1537" s="457"/>
      <c r="J1537" s="113"/>
      <c r="K1537" s="80"/>
      <c r="L1537" s="379"/>
      <c r="M1537" s="141">
        <v>480</v>
      </c>
      <c r="N1537" s="80">
        <v>361</v>
      </c>
      <c r="O1537" s="457">
        <f t="shared" si="195"/>
        <v>75.20833333333333</v>
      </c>
      <c r="P1537" s="113"/>
      <c r="Q1537" s="80"/>
      <c r="R1537" s="452"/>
    </row>
    <row r="1538" spans="1:18" s="105" customFormat="1" ht="50.25" customHeight="1">
      <c r="A1538" s="145">
        <v>4748</v>
      </c>
      <c r="B1538" s="185" t="s">
        <v>288</v>
      </c>
      <c r="C1538" s="147"/>
      <c r="D1538" s="148">
        <f t="shared" si="188"/>
        <v>160</v>
      </c>
      <c r="E1538" s="142">
        <f t="shared" si="191"/>
        <v>120</v>
      </c>
      <c r="F1538" s="472">
        <f t="shared" si="196"/>
        <v>75</v>
      </c>
      <c r="G1538" s="608"/>
      <c r="H1538" s="142"/>
      <c r="I1538" s="459"/>
      <c r="J1538" s="149"/>
      <c r="K1538" s="142"/>
      <c r="L1538" s="404"/>
      <c r="M1538" s="608">
        <f>488-328</f>
        <v>160</v>
      </c>
      <c r="N1538" s="142">
        <v>120</v>
      </c>
      <c r="O1538" s="459">
        <f t="shared" si="195"/>
        <v>75</v>
      </c>
      <c r="P1538" s="149"/>
      <c r="Q1538" s="142"/>
      <c r="R1538" s="453"/>
    </row>
    <row r="1539" spans="1:18" s="105" customFormat="1" ht="53.25" customHeight="1" thickBot="1">
      <c r="A1539" s="111">
        <v>4749</v>
      </c>
      <c r="B1539" s="326" t="s">
        <v>288</v>
      </c>
      <c r="C1539" s="79"/>
      <c r="D1539" s="65">
        <f t="shared" si="188"/>
        <v>3</v>
      </c>
      <c r="E1539" s="80">
        <f t="shared" si="191"/>
        <v>2</v>
      </c>
      <c r="F1539" s="443">
        <f t="shared" si="196"/>
        <v>66.66666666666666</v>
      </c>
      <c r="G1539" s="141"/>
      <c r="H1539" s="80"/>
      <c r="I1539" s="457"/>
      <c r="J1539" s="113"/>
      <c r="K1539" s="80"/>
      <c r="L1539" s="379"/>
      <c r="M1539" s="141">
        <f>87-84</f>
        <v>3</v>
      </c>
      <c r="N1539" s="80">
        <f>1+1</f>
        <v>2</v>
      </c>
      <c r="O1539" s="457">
        <f t="shared" si="195"/>
        <v>66.66666666666666</v>
      </c>
      <c r="P1539" s="113"/>
      <c r="Q1539" s="80"/>
      <c r="R1539" s="452"/>
    </row>
    <row r="1540" spans="1:18" s="105" customFormat="1" ht="36.75" hidden="1" thickBot="1">
      <c r="A1540" s="111">
        <v>4750</v>
      </c>
      <c r="B1540" s="326" t="s">
        <v>289</v>
      </c>
      <c r="C1540" s="79"/>
      <c r="D1540" s="65">
        <f t="shared" si="188"/>
        <v>0</v>
      </c>
      <c r="E1540" s="80">
        <f t="shared" si="191"/>
        <v>0</v>
      </c>
      <c r="F1540" s="443" t="e">
        <f t="shared" si="194"/>
        <v>#DIV/0!</v>
      </c>
      <c r="G1540" s="141"/>
      <c r="H1540" s="80"/>
      <c r="I1540" s="457"/>
      <c r="J1540" s="113"/>
      <c r="K1540" s="80"/>
      <c r="L1540" s="379"/>
      <c r="M1540" s="141"/>
      <c r="N1540" s="80"/>
      <c r="O1540" s="457" t="e">
        <f t="shared" si="195"/>
        <v>#DIV/0!</v>
      </c>
      <c r="P1540" s="113"/>
      <c r="Q1540" s="80"/>
      <c r="R1540" s="452"/>
    </row>
    <row r="1541" spans="1:18" s="105" customFormat="1" ht="36.75" hidden="1" thickBot="1">
      <c r="A1541" s="111">
        <v>4758</v>
      </c>
      <c r="B1541" s="326" t="s">
        <v>415</v>
      </c>
      <c r="C1541" s="79"/>
      <c r="D1541" s="65">
        <f t="shared" si="188"/>
        <v>0</v>
      </c>
      <c r="E1541" s="80"/>
      <c r="F1541" s="443"/>
      <c r="G1541" s="141"/>
      <c r="H1541" s="80"/>
      <c r="I1541" s="457"/>
      <c r="J1541" s="113"/>
      <c r="K1541" s="80"/>
      <c r="L1541" s="379"/>
      <c r="M1541" s="207"/>
      <c r="N1541" s="80"/>
      <c r="O1541" s="457" t="e">
        <f t="shared" si="195"/>
        <v>#DIV/0!</v>
      </c>
      <c r="P1541" s="113"/>
      <c r="Q1541" s="80"/>
      <c r="R1541" s="452"/>
    </row>
    <row r="1542" spans="1:18" s="105" customFormat="1" ht="36.75" hidden="1" thickBot="1">
      <c r="A1542" s="111">
        <v>4759</v>
      </c>
      <c r="B1542" s="326" t="s">
        <v>415</v>
      </c>
      <c r="C1542" s="79"/>
      <c r="D1542" s="65">
        <f>G1542+J1542+P1542+M1542</f>
        <v>0</v>
      </c>
      <c r="E1542" s="80">
        <f>SUM(H1542+K1542+N1542+Q1542)</f>
        <v>0</v>
      </c>
      <c r="F1542" s="443" t="e">
        <f t="shared" si="194"/>
        <v>#DIV/0!</v>
      </c>
      <c r="G1542" s="141"/>
      <c r="H1542" s="80"/>
      <c r="I1542" s="457"/>
      <c r="J1542" s="113"/>
      <c r="K1542" s="80"/>
      <c r="L1542" s="379"/>
      <c r="M1542" s="207"/>
      <c r="N1542" s="80"/>
      <c r="O1542" s="457" t="e">
        <f t="shared" si="195"/>
        <v>#DIV/0!</v>
      </c>
      <c r="P1542" s="113"/>
      <c r="Q1542" s="80"/>
      <c r="R1542" s="452"/>
    </row>
    <row r="1543" spans="1:18" s="275" customFormat="1" ht="38.25" customHeight="1" thickBot="1" thickTop="1">
      <c r="A1543" s="293">
        <v>854</v>
      </c>
      <c r="B1543" s="294" t="s">
        <v>99</v>
      </c>
      <c r="C1543" s="103">
        <f>C1544+C1560+C1587+C1623+C1647+C1694+C1674+C1717+C1722+C1715</f>
        <v>13465500</v>
      </c>
      <c r="D1543" s="51">
        <f t="shared" si="188"/>
        <v>12456305</v>
      </c>
      <c r="E1543" s="51">
        <f>H1543+K1543+Q1543+N1543</f>
        <v>6716343</v>
      </c>
      <c r="F1543" s="447">
        <f t="shared" si="194"/>
        <v>53.91922403955266</v>
      </c>
      <c r="G1543" s="209">
        <f>G1544+G1560+G1587+G1623+G1647+G1674+G1694+G1717+G1722+G1715</f>
        <v>2227655</v>
      </c>
      <c r="H1543" s="98">
        <f>H1544+H1560+H1587+H1623+H1647+H1674+H1694+H1717+H1722+H1715</f>
        <v>1018739</v>
      </c>
      <c r="I1543" s="480">
        <f aca="true" t="shared" si="197" ref="I1543:I1552">H1543/G1543*100</f>
        <v>45.731453030204406</v>
      </c>
      <c r="J1543" s="104"/>
      <c r="K1543" s="98"/>
      <c r="L1543" s="407"/>
      <c r="M1543" s="98">
        <f>M1544+M1560+M1587+M1623+M1647+M1672+M1674+M1694+M1717+M1722+M1715</f>
        <v>10228650</v>
      </c>
      <c r="N1543" s="98">
        <f>N1544+N1560+N1587+N1623+N1647+N1672+N1674+N1694+N1717+N1722+N1715</f>
        <v>5697604</v>
      </c>
      <c r="O1543" s="447">
        <f t="shared" si="195"/>
        <v>55.70240452063566</v>
      </c>
      <c r="P1543" s="98"/>
      <c r="Q1543" s="98"/>
      <c r="R1543" s="462"/>
    </row>
    <row r="1544" spans="1:18" s="105" customFormat="1" ht="15.75" customHeight="1" thickTop="1">
      <c r="A1544" s="175">
        <v>85401</v>
      </c>
      <c r="B1544" s="285" t="s">
        <v>100</v>
      </c>
      <c r="C1544" s="177">
        <f>SUM(C1545:C1559)</f>
        <v>1498100</v>
      </c>
      <c r="D1544" s="109">
        <f t="shared" si="188"/>
        <v>1498293</v>
      </c>
      <c r="E1544" s="179">
        <f>H1544+K1544+Q1544+N1544</f>
        <v>860306</v>
      </c>
      <c r="F1544" s="510">
        <f t="shared" si="194"/>
        <v>57.41907624209684</v>
      </c>
      <c r="G1544" s="177">
        <f>SUM(G1545:G1559)</f>
        <v>1244927</v>
      </c>
      <c r="H1544" s="179">
        <f>SUM(H1545:H1559)</f>
        <v>704535</v>
      </c>
      <c r="I1544" s="453">
        <f t="shared" si="197"/>
        <v>56.592474900134704</v>
      </c>
      <c r="J1544" s="180"/>
      <c r="K1544" s="179"/>
      <c r="L1544" s="409"/>
      <c r="M1544" s="179">
        <f>SUM(M1545:M1559)</f>
        <v>253366</v>
      </c>
      <c r="N1544" s="179">
        <f>SUM(N1545:N1559)</f>
        <v>155771</v>
      </c>
      <c r="O1544" s="446">
        <f t="shared" si="195"/>
        <v>61.48062486679349</v>
      </c>
      <c r="P1544" s="179"/>
      <c r="Q1544" s="179"/>
      <c r="R1544" s="463"/>
    </row>
    <row r="1545" spans="1:18" s="199" customFormat="1" ht="36">
      <c r="A1545" s="99">
        <v>3020</v>
      </c>
      <c r="B1545" s="272" t="s">
        <v>259</v>
      </c>
      <c r="C1545" s="81">
        <v>4100</v>
      </c>
      <c r="D1545" s="94">
        <f t="shared" si="188"/>
        <v>4100</v>
      </c>
      <c r="E1545" s="95">
        <f aca="true" t="shared" si="198" ref="E1545:E1559">SUM(H1545+K1545+N1545+Q1545)</f>
        <v>694</v>
      </c>
      <c r="F1545" s="509">
        <f t="shared" si="194"/>
        <v>16.926829268292686</v>
      </c>
      <c r="G1545" s="81">
        <v>3800</v>
      </c>
      <c r="H1545" s="95">
        <v>694</v>
      </c>
      <c r="I1545" s="454">
        <f t="shared" si="197"/>
        <v>18.263157894736842</v>
      </c>
      <c r="J1545" s="187"/>
      <c r="K1545" s="95"/>
      <c r="L1545" s="403"/>
      <c r="M1545" s="95">
        <v>300</v>
      </c>
      <c r="N1545" s="95"/>
      <c r="O1545" s="448">
        <f t="shared" si="195"/>
        <v>0</v>
      </c>
      <c r="P1545" s="95"/>
      <c r="Q1545" s="95"/>
      <c r="R1545" s="456"/>
    </row>
    <row r="1546" spans="1:18" s="199" customFormat="1" ht="27" customHeight="1">
      <c r="A1546" s="111">
        <v>4010</v>
      </c>
      <c r="B1546" s="276" t="s">
        <v>471</v>
      </c>
      <c r="C1546" s="79">
        <v>1071100</v>
      </c>
      <c r="D1546" s="65">
        <f t="shared" si="188"/>
        <v>1071100</v>
      </c>
      <c r="E1546" s="80">
        <f t="shared" si="198"/>
        <v>580757</v>
      </c>
      <c r="F1546" s="452">
        <f t="shared" si="194"/>
        <v>54.22061432172532</v>
      </c>
      <c r="G1546" s="113">
        <f>884300</f>
        <v>884300</v>
      </c>
      <c r="H1546" s="113">
        <v>470524</v>
      </c>
      <c r="I1546" s="426">
        <f t="shared" si="197"/>
        <v>53.20863960194504</v>
      </c>
      <c r="J1546" s="113"/>
      <c r="K1546" s="80"/>
      <c r="L1546" s="379"/>
      <c r="M1546" s="80">
        <v>186800</v>
      </c>
      <c r="N1546" s="80">
        <v>110233</v>
      </c>
      <c r="O1546" s="426">
        <f t="shared" si="195"/>
        <v>59.01124197002141</v>
      </c>
      <c r="P1546" s="80"/>
      <c r="Q1546" s="80"/>
      <c r="R1546" s="457"/>
    </row>
    <row r="1547" spans="1:18" s="199" customFormat="1" ht="24.75" customHeight="1">
      <c r="A1547" s="111">
        <v>4040</v>
      </c>
      <c r="B1547" s="262" t="s">
        <v>516</v>
      </c>
      <c r="C1547" s="79">
        <v>84500</v>
      </c>
      <c r="D1547" s="65">
        <f t="shared" si="188"/>
        <v>79700</v>
      </c>
      <c r="E1547" s="80">
        <f t="shared" si="198"/>
        <v>79562</v>
      </c>
      <c r="F1547" s="452">
        <f t="shared" si="194"/>
        <v>99.82685069008784</v>
      </c>
      <c r="G1547" s="80">
        <f>70000-2390</f>
        <v>67610</v>
      </c>
      <c r="H1547" s="113">
        <v>67472</v>
      </c>
      <c r="I1547" s="426">
        <f t="shared" si="197"/>
        <v>99.79588818222156</v>
      </c>
      <c r="J1547" s="113"/>
      <c r="K1547" s="80"/>
      <c r="L1547" s="379"/>
      <c r="M1547" s="80">
        <f>14500-2410</f>
        <v>12090</v>
      </c>
      <c r="N1547" s="80">
        <v>12090</v>
      </c>
      <c r="O1547" s="426">
        <f t="shared" si="195"/>
        <v>100</v>
      </c>
      <c r="P1547" s="80"/>
      <c r="Q1547" s="80"/>
      <c r="R1547" s="350"/>
    </row>
    <row r="1548" spans="1:18" s="199" customFormat="1" ht="24">
      <c r="A1548" s="111">
        <v>4110</v>
      </c>
      <c r="B1548" s="262" t="s">
        <v>477</v>
      </c>
      <c r="C1548" s="79">
        <v>189200</v>
      </c>
      <c r="D1548" s="65">
        <f t="shared" si="188"/>
        <v>189200</v>
      </c>
      <c r="E1548" s="80">
        <f t="shared" si="198"/>
        <v>97820</v>
      </c>
      <c r="F1548" s="452">
        <f t="shared" si="194"/>
        <v>51.701902748414376</v>
      </c>
      <c r="G1548" s="80">
        <v>158700</v>
      </c>
      <c r="H1548" s="113">
        <v>80419</v>
      </c>
      <c r="I1548" s="426">
        <f t="shared" si="197"/>
        <v>50.673597983616894</v>
      </c>
      <c r="J1548" s="113"/>
      <c r="K1548" s="80"/>
      <c r="L1548" s="379"/>
      <c r="M1548" s="80">
        <v>30500</v>
      </c>
      <c r="N1548" s="80">
        <v>17401</v>
      </c>
      <c r="O1548" s="426">
        <f t="shared" si="195"/>
        <v>57.05245901639344</v>
      </c>
      <c r="P1548" s="80"/>
      <c r="Q1548" s="80"/>
      <c r="R1548" s="350"/>
    </row>
    <row r="1549" spans="1:18" s="199" customFormat="1" ht="12.75">
      <c r="A1549" s="111">
        <v>4120</v>
      </c>
      <c r="B1549" s="262" t="s">
        <v>547</v>
      </c>
      <c r="C1549" s="79">
        <v>28500</v>
      </c>
      <c r="D1549" s="65">
        <f t="shared" si="188"/>
        <v>28500</v>
      </c>
      <c r="E1549" s="80">
        <f t="shared" si="198"/>
        <v>14939</v>
      </c>
      <c r="F1549" s="452">
        <f t="shared" si="194"/>
        <v>52.417543859649115</v>
      </c>
      <c r="G1549" s="80">
        <v>23700</v>
      </c>
      <c r="H1549" s="113">
        <v>12398</v>
      </c>
      <c r="I1549" s="426">
        <f t="shared" si="197"/>
        <v>52.312236286919834</v>
      </c>
      <c r="J1549" s="113"/>
      <c r="K1549" s="80"/>
      <c r="L1549" s="379"/>
      <c r="M1549" s="80">
        <v>4800</v>
      </c>
      <c r="N1549" s="80">
        <f>2542-1</f>
        <v>2541</v>
      </c>
      <c r="O1549" s="426">
        <f t="shared" si="195"/>
        <v>52.93750000000001</v>
      </c>
      <c r="P1549" s="80"/>
      <c r="Q1549" s="80"/>
      <c r="R1549" s="350"/>
    </row>
    <row r="1550" spans="1:18" s="199" customFormat="1" ht="12.75">
      <c r="A1550" s="111">
        <v>4140</v>
      </c>
      <c r="B1550" s="262" t="s">
        <v>519</v>
      </c>
      <c r="C1550" s="79">
        <v>3100</v>
      </c>
      <c r="D1550" s="65">
        <f t="shared" si="188"/>
        <v>3100</v>
      </c>
      <c r="E1550" s="80">
        <f t="shared" si="198"/>
        <v>1346</v>
      </c>
      <c r="F1550" s="452">
        <f t="shared" si="194"/>
        <v>43.41935483870968</v>
      </c>
      <c r="G1550" s="80">
        <v>3100</v>
      </c>
      <c r="H1550" s="113">
        <v>1346</v>
      </c>
      <c r="I1550" s="426">
        <f t="shared" si="197"/>
        <v>43.41935483870968</v>
      </c>
      <c r="J1550" s="113"/>
      <c r="K1550" s="80"/>
      <c r="L1550" s="379"/>
      <c r="M1550" s="80"/>
      <c r="N1550" s="80"/>
      <c r="O1550" s="211"/>
      <c r="P1550" s="80"/>
      <c r="Q1550" s="80"/>
      <c r="R1550" s="350"/>
    </row>
    <row r="1551" spans="1:18" s="199" customFormat="1" ht="24">
      <c r="A1551" s="111">
        <v>4210</v>
      </c>
      <c r="B1551" s="262" t="s">
        <v>481</v>
      </c>
      <c r="C1551" s="79">
        <v>21800</v>
      </c>
      <c r="D1551" s="65">
        <f t="shared" si="188"/>
        <v>21800</v>
      </c>
      <c r="E1551" s="80">
        <f t="shared" si="198"/>
        <v>9945</v>
      </c>
      <c r="F1551" s="452">
        <f aca="true" t="shared" si="199" ref="F1551:F1580">E1551/D1551*100</f>
        <v>45.61926605504587</v>
      </c>
      <c r="G1551" s="80">
        <v>19700</v>
      </c>
      <c r="H1551" s="113">
        <v>8931</v>
      </c>
      <c r="I1551" s="426">
        <f t="shared" si="197"/>
        <v>45.33502538071066</v>
      </c>
      <c r="J1551" s="113"/>
      <c r="K1551" s="80"/>
      <c r="L1551" s="379"/>
      <c r="M1551" s="80">
        <v>2100</v>
      </c>
      <c r="N1551" s="80">
        <f>1015-1</f>
        <v>1014</v>
      </c>
      <c r="O1551" s="426">
        <f t="shared" si="195"/>
        <v>48.285714285714285</v>
      </c>
      <c r="P1551" s="80"/>
      <c r="Q1551" s="80"/>
      <c r="R1551" s="350"/>
    </row>
    <row r="1552" spans="1:18" s="199" customFormat="1" ht="36">
      <c r="A1552" s="111">
        <v>4240</v>
      </c>
      <c r="B1552" s="262" t="s">
        <v>6</v>
      </c>
      <c r="C1552" s="79">
        <v>12800</v>
      </c>
      <c r="D1552" s="65">
        <f t="shared" si="188"/>
        <v>12800</v>
      </c>
      <c r="E1552" s="80">
        <f t="shared" si="198"/>
        <v>2576</v>
      </c>
      <c r="F1552" s="452">
        <f t="shared" si="199"/>
        <v>20.125</v>
      </c>
      <c r="G1552" s="80">
        <v>11800</v>
      </c>
      <c r="H1552" s="113">
        <v>2551</v>
      </c>
      <c r="I1552" s="426">
        <f t="shared" si="197"/>
        <v>21.61864406779661</v>
      </c>
      <c r="J1552" s="113"/>
      <c r="K1552" s="80"/>
      <c r="L1552" s="379"/>
      <c r="M1552" s="80">
        <v>1000</v>
      </c>
      <c r="N1552" s="80">
        <v>25</v>
      </c>
      <c r="O1552" s="426">
        <f t="shared" si="195"/>
        <v>2.5</v>
      </c>
      <c r="P1552" s="80"/>
      <c r="Q1552" s="80"/>
      <c r="R1552" s="350"/>
    </row>
    <row r="1553" spans="1:18" s="199" customFormat="1" ht="15" customHeight="1">
      <c r="A1553" s="111">
        <v>4260</v>
      </c>
      <c r="B1553" s="262" t="s">
        <v>485</v>
      </c>
      <c r="C1553" s="79">
        <v>3000</v>
      </c>
      <c r="D1553" s="65">
        <f t="shared" si="188"/>
        <v>3000</v>
      </c>
      <c r="E1553" s="80">
        <f t="shared" si="198"/>
        <v>3000</v>
      </c>
      <c r="F1553" s="452">
        <f t="shared" si="199"/>
        <v>100</v>
      </c>
      <c r="G1553" s="80"/>
      <c r="H1553" s="113"/>
      <c r="I1553" s="426"/>
      <c r="J1553" s="113"/>
      <c r="K1553" s="80"/>
      <c r="L1553" s="379"/>
      <c r="M1553" s="80">
        <v>3000</v>
      </c>
      <c r="N1553" s="80">
        <v>3000</v>
      </c>
      <c r="O1553" s="426">
        <f t="shared" si="195"/>
        <v>100</v>
      </c>
      <c r="P1553" s="80"/>
      <c r="Q1553" s="80"/>
      <c r="R1553" s="350"/>
    </row>
    <row r="1554" spans="1:18" s="199" customFormat="1" ht="18" customHeight="1">
      <c r="A1554" s="111">
        <v>4270</v>
      </c>
      <c r="B1554" s="262" t="s">
        <v>487</v>
      </c>
      <c r="C1554" s="79">
        <v>300</v>
      </c>
      <c r="D1554" s="65">
        <f t="shared" si="188"/>
        <v>300</v>
      </c>
      <c r="E1554" s="80">
        <f t="shared" si="198"/>
        <v>0</v>
      </c>
      <c r="F1554" s="452">
        <f t="shared" si="199"/>
        <v>0</v>
      </c>
      <c r="G1554" s="80"/>
      <c r="H1554" s="113"/>
      <c r="I1554" s="426"/>
      <c r="J1554" s="113"/>
      <c r="K1554" s="80"/>
      <c r="L1554" s="379"/>
      <c r="M1554" s="80">
        <v>300</v>
      </c>
      <c r="N1554" s="80"/>
      <c r="O1554" s="426">
        <f t="shared" si="195"/>
        <v>0</v>
      </c>
      <c r="P1554" s="79"/>
      <c r="Q1554" s="80"/>
      <c r="R1554" s="350"/>
    </row>
    <row r="1555" spans="1:18" s="199" customFormat="1" ht="15.75" customHeight="1">
      <c r="A1555" s="111">
        <v>4280</v>
      </c>
      <c r="B1555" s="262" t="s">
        <v>520</v>
      </c>
      <c r="C1555" s="79">
        <v>100</v>
      </c>
      <c r="D1555" s="65">
        <f t="shared" si="188"/>
        <v>100</v>
      </c>
      <c r="E1555" s="80">
        <f t="shared" si="198"/>
        <v>0</v>
      </c>
      <c r="F1555" s="452">
        <f t="shared" si="199"/>
        <v>0</v>
      </c>
      <c r="G1555" s="80"/>
      <c r="H1555" s="113"/>
      <c r="I1555" s="426"/>
      <c r="J1555" s="113"/>
      <c r="K1555" s="80"/>
      <c r="L1555" s="379"/>
      <c r="M1555" s="80">
        <v>100</v>
      </c>
      <c r="N1555" s="80"/>
      <c r="O1555" s="426">
        <f t="shared" si="195"/>
        <v>0</v>
      </c>
      <c r="P1555" s="80"/>
      <c r="Q1555" s="80"/>
      <c r="R1555" s="350"/>
    </row>
    <row r="1556" spans="1:18" s="199" customFormat="1" ht="15.75" customHeight="1">
      <c r="A1556" s="111">
        <v>4300</v>
      </c>
      <c r="B1556" s="262" t="s">
        <v>489</v>
      </c>
      <c r="C1556" s="79">
        <v>1700</v>
      </c>
      <c r="D1556" s="65">
        <f t="shared" si="188"/>
        <v>1700</v>
      </c>
      <c r="E1556" s="65">
        <f>H1556+K1556+Q1556+N1556</f>
        <v>1675</v>
      </c>
      <c r="F1556" s="452">
        <f t="shared" si="199"/>
        <v>98.52941176470588</v>
      </c>
      <c r="G1556" s="80"/>
      <c r="H1556" s="113"/>
      <c r="I1556" s="426"/>
      <c r="J1556" s="113"/>
      <c r="K1556" s="80"/>
      <c r="L1556" s="379"/>
      <c r="M1556" s="80">
        <v>1700</v>
      </c>
      <c r="N1556" s="80">
        <v>1675</v>
      </c>
      <c r="O1556" s="426">
        <f t="shared" si="195"/>
        <v>98.52941176470588</v>
      </c>
      <c r="P1556" s="80"/>
      <c r="Q1556" s="80"/>
      <c r="R1556" s="350"/>
    </row>
    <row r="1557" spans="1:18" s="199" customFormat="1" ht="39.75" customHeight="1">
      <c r="A1557" s="159">
        <v>4370</v>
      </c>
      <c r="B1557" s="326" t="s">
        <v>296</v>
      </c>
      <c r="C1557" s="79">
        <v>200</v>
      </c>
      <c r="D1557" s="65">
        <f>G1557+J1557+P1557+M1557</f>
        <v>200</v>
      </c>
      <c r="E1557" s="65">
        <f>H1557+K1557+Q1557+N1557</f>
        <v>0</v>
      </c>
      <c r="F1557" s="452">
        <f>E1557/D1557*100</f>
        <v>0</v>
      </c>
      <c r="G1557" s="80"/>
      <c r="H1557" s="113"/>
      <c r="I1557" s="426"/>
      <c r="J1557" s="113"/>
      <c r="K1557" s="80"/>
      <c r="L1557" s="379"/>
      <c r="M1557" s="80">
        <v>200</v>
      </c>
      <c r="N1557" s="80"/>
      <c r="O1557" s="426">
        <f t="shared" si="195"/>
        <v>0</v>
      </c>
      <c r="P1557" s="80"/>
      <c r="Q1557" s="80"/>
      <c r="R1557" s="350"/>
    </row>
    <row r="1558" spans="1:18" s="199" customFormat="1" ht="15.75" customHeight="1">
      <c r="A1558" s="111">
        <v>4440</v>
      </c>
      <c r="B1558" s="276" t="s">
        <v>652</v>
      </c>
      <c r="C1558" s="79">
        <v>77500</v>
      </c>
      <c r="D1558" s="65">
        <f>G1558+J1558+P1558+M1558</f>
        <v>82493</v>
      </c>
      <c r="E1558" s="65">
        <f>H1558+K1558+Q1558+N1558</f>
        <v>67992</v>
      </c>
      <c r="F1558" s="452">
        <f>E1558/D1558*100</f>
        <v>82.42153879723128</v>
      </c>
      <c r="G1558" s="80">
        <f>68000+4217</f>
        <v>72217</v>
      </c>
      <c r="H1558" s="113">
        <v>60200</v>
      </c>
      <c r="I1558" s="426">
        <f>H1558/G1558*100</f>
        <v>83.35987371394546</v>
      </c>
      <c r="J1558" s="113"/>
      <c r="K1558" s="80"/>
      <c r="L1558" s="379"/>
      <c r="M1558" s="80">
        <f>9500+776</f>
        <v>10276</v>
      </c>
      <c r="N1558" s="80">
        <v>7792</v>
      </c>
      <c r="O1558" s="426">
        <f t="shared" si="195"/>
        <v>75.82717010509926</v>
      </c>
      <c r="P1558" s="80"/>
      <c r="Q1558" s="80"/>
      <c r="R1558" s="350"/>
    </row>
    <row r="1559" spans="1:18" s="199" customFormat="1" ht="36">
      <c r="A1559" s="159">
        <v>4700</v>
      </c>
      <c r="B1559" s="326" t="s">
        <v>284</v>
      </c>
      <c r="C1559" s="147">
        <v>200</v>
      </c>
      <c r="D1559" s="148">
        <f t="shared" si="188"/>
        <v>200</v>
      </c>
      <c r="E1559" s="142">
        <f t="shared" si="198"/>
        <v>0</v>
      </c>
      <c r="F1559" s="453">
        <f t="shared" si="199"/>
        <v>0</v>
      </c>
      <c r="G1559" s="142"/>
      <c r="H1559" s="149"/>
      <c r="I1559" s="259"/>
      <c r="J1559" s="149"/>
      <c r="K1559" s="142"/>
      <c r="L1559" s="404"/>
      <c r="M1559" s="142">
        <v>200</v>
      </c>
      <c r="N1559" s="142"/>
      <c r="O1559" s="426">
        <f t="shared" si="195"/>
        <v>0</v>
      </c>
      <c r="P1559" s="142"/>
      <c r="Q1559" s="142"/>
      <c r="R1559" s="354"/>
    </row>
    <row r="1560" spans="1:18" s="199" customFormat="1" ht="22.5" customHeight="1">
      <c r="A1560" s="106">
        <v>85403</v>
      </c>
      <c r="B1560" s="261" t="s">
        <v>101</v>
      </c>
      <c r="C1560" s="108">
        <f>SUM(C1561:C1586)</f>
        <v>1425300</v>
      </c>
      <c r="D1560" s="86">
        <f t="shared" si="188"/>
        <v>1441816</v>
      </c>
      <c r="E1560" s="75">
        <f>H1560+K1560+Q1560+N1560</f>
        <v>789854</v>
      </c>
      <c r="F1560" s="451">
        <f t="shared" si="199"/>
        <v>54.78188617687694</v>
      </c>
      <c r="G1560" s="75"/>
      <c r="H1560" s="110"/>
      <c r="I1560" s="369"/>
      <c r="J1560" s="110"/>
      <c r="K1560" s="75"/>
      <c r="L1560" s="406"/>
      <c r="M1560" s="75">
        <f>SUM(M1561:M1586)</f>
        <v>1441816</v>
      </c>
      <c r="N1560" s="75">
        <f>SUM(N1561:N1586)</f>
        <v>789854</v>
      </c>
      <c r="O1560" s="432">
        <f t="shared" si="195"/>
        <v>54.78188617687694</v>
      </c>
      <c r="P1560" s="75"/>
      <c r="Q1560" s="75"/>
      <c r="R1560" s="360"/>
    </row>
    <row r="1561" spans="1:18" s="199" customFormat="1" ht="36">
      <c r="A1561" s="99">
        <v>3020</v>
      </c>
      <c r="B1561" s="262" t="s">
        <v>259</v>
      </c>
      <c r="C1561" s="81">
        <v>4000</v>
      </c>
      <c r="D1561" s="94">
        <f t="shared" si="188"/>
        <v>4000</v>
      </c>
      <c r="E1561" s="95">
        <f aca="true" t="shared" si="200" ref="E1561:E1586">SUM(H1561+K1561+N1561+Q1561)</f>
        <v>1666</v>
      </c>
      <c r="F1561" s="454">
        <f t="shared" si="199"/>
        <v>41.65</v>
      </c>
      <c r="G1561" s="95"/>
      <c r="H1561" s="187"/>
      <c r="I1561" s="376"/>
      <c r="J1561" s="187"/>
      <c r="K1561" s="95"/>
      <c r="L1561" s="403"/>
      <c r="M1561" s="81">
        <v>4000</v>
      </c>
      <c r="N1561" s="95">
        <v>1666</v>
      </c>
      <c r="O1561" s="448">
        <f t="shared" si="195"/>
        <v>41.65</v>
      </c>
      <c r="P1561" s="95"/>
      <c r="Q1561" s="95"/>
      <c r="R1561" s="353"/>
    </row>
    <row r="1562" spans="1:18" s="199" customFormat="1" ht="12.75" hidden="1">
      <c r="A1562" s="111">
        <v>3110</v>
      </c>
      <c r="B1562" s="262" t="s">
        <v>65</v>
      </c>
      <c r="C1562" s="79"/>
      <c r="D1562" s="65">
        <f t="shared" si="188"/>
        <v>0</v>
      </c>
      <c r="E1562" s="80">
        <f t="shared" si="200"/>
        <v>0</v>
      </c>
      <c r="F1562" s="452" t="e">
        <f t="shared" si="199"/>
        <v>#DIV/0!</v>
      </c>
      <c r="G1562" s="80"/>
      <c r="H1562" s="113"/>
      <c r="I1562" s="356"/>
      <c r="J1562" s="113"/>
      <c r="K1562" s="80"/>
      <c r="L1562" s="379"/>
      <c r="M1562" s="79"/>
      <c r="N1562" s="80"/>
      <c r="O1562" s="426" t="e">
        <f t="shared" si="195"/>
        <v>#DIV/0!</v>
      </c>
      <c r="P1562" s="80"/>
      <c r="Q1562" s="80"/>
      <c r="R1562" s="350"/>
    </row>
    <row r="1563" spans="1:18" s="199" customFormat="1" ht="24">
      <c r="A1563" s="111">
        <v>4010</v>
      </c>
      <c r="B1563" s="262" t="s">
        <v>471</v>
      </c>
      <c r="C1563" s="79">
        <v>925000</v>
      </c>
      <c r="D1563" s="65">
        <f t="shared" si="188"/>
        <v>925000</v>
      </c>
      <c r="E1563" s="80">
        <f t="shared" si="200"/>
        <v>488256</v>
      </c>
      <c r="F1563" s="452">
        <f t="shared" si="199"/>
        <v>52.78443243243244</v>
      </c>
      <c r="G1563" s="80"/>
      <c r="H1563" s="113"/>
      <c r="I1563" s="356"/>
      <c r="J1563" s="113"/>
      <c r="K1563" s="80"/>
      <c r="L1563" s="379"/>
      <c r="M1563" s="79">
        <v>925000</v>
      </c>
      <c r="N1563" s="80">
        <v>488256</v>
      </c>
      <c r="O1563" s="426">
        <f t="shared" si="195"/>
        <v>52.78443243243244</v>
      </c>
      <c r="P1563" s="80"/>
      <c r="Q1563" s="80"/>
      <c r="R1563" s="350"/>
    </row>
    <row r="1564" spans="1:18" s="199" customFormat="1" ht="24">
      <c r="A1564" s="111">
        <v>4040</v>
      </c>
      <c r="B1564" s="262" t="s">
        <v>475</v>
      </c>
      <c r="C1564" s="79">
        <v>66300</v>
      </c>
      <c r="D1564" s="65">
        <f t="shared" si="188"/>
        <v>74305</v>
      </c>
      <c r="E1564" s="80">
        <f t="shared" si="200"/>
        <v>74305</v>
      </c>
      <c r="F1564" s="452">
        <f t="shared" si="199"/>
        <v>100</v>
      </c>
      <c r="G1564" s="80"/>
      <c r="H1564" s="113"/>
      <c r="I1564" s="356"/>
      <c r="J1564" s="113"/>
      <c r="K1564" s="80"/>
      <c r="L1564" s="379"/>
      <c r="M1564" s="79">
        <f>66300+8005</f>
        <v>74305</v>
      </c>
      <c r="N1564" s="80">
        <v>74305</v>
      </c>
      <c r="O1564" s="426">
        <f t="shared" si="195"/>
        <v>100</v>
      </c>
      <c r="P1564" s="80"/>
      <c r="Q1564" s="80"/>
      <c r="R1564" s="350"/>
    </row>
    <row r="1565" spans="1:18" s="199" customFormat="1" ht="24">
      <c r="A1565" s="111">
        <v>4110</v>
      </c>
      <c r="B1565" s="262" t="s">
        <v>477</v>
      </c>
      <c r="C1565" s="79">
        <v>152700</v>
      </c>
      <c r="D1565" s="65">
        <f t="shared" si="188"/>
        <v>152700</v>
      </c>
      <c r="E1565" s="80">
        <f t="shared" si="200"/>
        <v>86295</v>
      </c>
      <c r="F1565" s="452">
        <f t="shared" si="199"/>
        <v>56.51277013752456</v>
      </c>
      <c r="G1565" s="80"/>
      <c r="H1565" s="113"/>
      <c r="I1565" s="356"/>
      <c r="J1565" s="113"/>
      <c r="K1565" s="80"/>
      <c r="L1565" s="379"/>
      <c r="M1565" s="79">
        <v>152700</v>
      </c>
      <c r="N1565" s="80">
        <v>86295</v>
      </c>
      <c r="O1565" s="426">
        <f t="shared" si="195"/>
        <v>56.51277013752456</v>
      </c>
      <c r="P1565" s="80"/>
      <c r="Q1565" s="80"/>
      <c r="R1565" s="350"/>
    </row>
    <row r="1566" spans="1:18" s="199" customFormat="1" ht="12.75">
      <c r="A1566" s="111">
        <v>4120</v>
      </c>
      <c r="B1566" s="262" t="s">
        <v>547</v>
      </c>
      <c r="C1566" s="79">
        <v>23600</v>
      </c>
      <c r="D1566" s="65">
        <f t="shared" si="188"/>
        <v>23600</v>
      </c>
      <c r="E1566" s="80">
        <f t="shared" si="200"/>
        <v>13159</v>
      </c>
      <c r="F1566" s="452">
        <f t="shared" si="199"/>
        <v>55.75847457627119</v>
      </c>
      <c r="G1566" s="80"/>
      <c r="H1566" s="113"/>
      <c r="I1566" s="356"/>
      <c r="J1566" s="113"/>
      <c r="K1566" s="80"/>
      <c r="L1566" s="379"/>
      <c r="M1566" s="79">
        <v>23600</v>
      </c>
      <c r="N1566" s="80">
        <v>13159</v>
      </c>
      <c r="O1566" s="426">
        <f t="shared" si="195"/>
        <v>55.75847457627119</v>
      </c>
      <c r="P1566" s="80"/>
      <c r="Q1566" s="80"/>
      <c r="R1566" s="350"/>
    </row>
    <row r="1567" spans="1:18" s="199" customFormat="1" ht="24" hidden="1">
      <c r="A1567" s="111">
        <v>4130</v>
      </c>
      <c r="B1567" s="262" t="s">
        <v>10</v>
      </c>
      <c r="C1567" s="79"/>
      <c r="D1567" s="65">
        <f t="shared" si="188"/>
        <v>0</v>
      </c>
      <c r="E1567" s="80">
        <f>H1567+K1567+Q1567+N1567</f>
        <v>0</v>
      </c>
      <c r="F1567" s="452" t="e">
        <f t="shared" si="199"/>
        <v>#DIV/0!</v>
      </c>
      <c r="G1567" s="80"/>
      <c r="H1567" s="113"/>
      <c r="I1567" s="356"/>
      <c r="J1567" s="113"/>
      <c r="K1567" s="80"/>
      <c r="L1567" s="379"/>
      <c r="M1567" s="79"/>
      <c r="N1567" s="80"/>
      <c r="O1567" s="426" t="e">
        <f t="shared" si="195"/>
        <v>#DIV/0!</v>
      </c>
      <c r="P1567" s="80"/>
      <c r="Q1567" s="80"/>
      <c r="R1567" s="350"/>
    </row>
    <row r="1568" spans="1:18" s="199" customFormat="1" ht="24" hidden="1">
      <c r="A1568" s="111">
        <v>4170</v>
      </c>
      <c r="B1568" s="262" t="s">
        <v>511</v>
      </c>
      <c r="C1568" s="79"/>
      <c r="D1568" s="65">
        <f t="shared" si="188"/>
        <v>0</v>
      </c>
      <c r="E1568" s="80">
        <f>H1568+K1568+Q1568+N1568</f>
        <v>0</v>
      </c>
      <c r="F1568" s="452" t="e">
        <f t="shared" si="199"/>
        <v>#DIV/0!</v>
      </c>
      <c r="G1568" s="80"/>
      <c r="H1568" s="113"/>
      <c r="I1568" s="356"/>
      <c r="J1568" s="113"/>
      <c r="K1568" s="80"/>
      <c r="L1568" s="379"/>
      <c r="M1568" s="79"/>
      <c r="N1568" s="80"/>
      <c r="O1568" s="426" t="e">
        <f t="shared" si="195"/>
        <v>#DIV/0!</v>
      </c>
      <c r="P1568" s="80"/>
      <c r="Q1568" s="80"/>
      <c r="R1568" s="350"/>
    </row>
    <row r="1569" spans="1:18" s="199" customFormat="1" ht="24">
      <c r="A1569" s="111">
        <v>4210</v>
      </c>
      <c r="B1569" s="262" t="s">
        <v>481</v>
      </c>
      <c r="C1569" s="79">
        <v>50000</v>
      </c>
      <c r="D1569" s="65">
        <f t="shared" si="188"/>
        <v>52000</v>
      </c>
      <c r="E1569" s="80">
        <f t="shared" si="200"/>
        <v>18947</v>
      </c>
      <c r="F1569" s="452">
        <f t="shared" si="199"/>
        <v>36.43653846153846</v>
      </c>
      <c r="G1569" s="80"/>
      <c r="H1569" s="113"/>
      <c r="I1569" s="356"/>
      <c r="J1569" s="113"/>
      <c r="K1569" s="80"/>
      <c r="L1569" s="379"/>
      <c r="M1569" s="79">
        <f>50000+2000</f>
        <v>52000</v>
      </c>
      <c r="N1569" s="80">
        <v>18947</v>
      </c>
      <c r="O1569" s="426">
        <f t="shared" si="195"/>
        <v>36.43653846153846</v>
      </c>
      <c r="P1569" s="80"/>
      <c r="Q1569" s="80"/>
      <c r="R1569" s="350"/>
    </row>
    <row r="1570" spans="1:18" s="199" customFormat="1" ht="24">
      <c r="A1570" s="111">
        <v>4220</v>
      </c>
      <c r="B1570" s="262" t="s">
        <v>650</v>
      </c>
      <c r="C1570" s="79">
        <v>70000</v>
      </c>
      <c r="D1570" s="65">
        <f t="shared" si="188"/>
        <v>70000</v>
      </c>
      <c r="E1570" s="80">
        <f t="shared" si="200"/>
        <v>29356</v>
      </c>
      <c r="F1570" s="452">
        <f t="shared" si="199"/>
        <v>41.93714285714286</v>
      </c>
      <c r="G1570" s="80"/>
      <c r="H1570" s="113"/>
      <c r="I1570" s="356"/>
      <c r="J1570" s="113"/>
      <c r="K1570" s="80"/>
      <c r="L1570" s="379"/>
      <c r="M1570" s="79">
        <v>70000</v>
      </c>
      <c r="N1570" s="80">
        <v>29356</v>
      </c>
      <c r="O1570" s="426">
        <f t="shared" si="195"/>
        <v>41.93714285714286</v>
      </c>
      <c r="P1570" s="80"/>
      <c r="Q1570" s="80"/>
      <c r="R1570" s="350"/>
    </row>
    <row r="1571" spans="1:18" s="199" customFormat="1" ht="36">
      <c r="A1571" s="111">
        <v>4240</v>
      </c>
      <c r="B1571" s="262" t="s">
        <v>102</v>
      </c>
      <c r="C1571" s="79">
        <v>5000</v>
      </c>
      <c r="D1571" s="65">
        <f t="shared" si="188"/>
        <v>5000</v>
      </c>
      <c r="E1571" s="80">
        <f t="shared" si="200"/>
        <v>159</v>
      </c>
      <c r="F1571" s="452">
        <f t="shared" si="199"/>
        <v>3.18</v>
      </c>
      <c r="G1571" s="80"/>
      <c r="H1571" s="113"/>
      <c r="I1571" s="356"/>
      <c r="J1571" s="113"/>
      <c r="K1571" s="80"/>
      <c r="L1571" s="379"/>
      <c r="M1571" s="79">
        <v>5000</v>
      </c>
      <c r="N1571" s="80">
        <v>159</v>
      </c>
      <c r="O1571" s="426">
        <f t="shared" si="195"/>
        <v>3.18</v>
      </c>
      <c r="P1571" s="80"/>
      <c r="Q1571" s="80"/>
      <c r="R1571" s="350"/>
    </row>
    <row r="1572" spans="1:18" s="199" customFormat="1" ht="12.75">
      <c r="A1572" s="111">
        <v>4260</v>
      </c>
      <c r="B1572" s="262" t="s">
        <v>485</v>
      </c>
      <c r="C1572" s="79">
        <v>40000</v>
      </c>
      <c r="D1572" s="65">
        <f t="shared" si="188"/>
        <v>40000</v>
      </c>
      <c r="E1572" s="80">
        <f t="shared" si="200"/>
        <v>18170</v>
      </c>
      <c r="F1572" s="452">
        <f t="shared" si="199"/>
        <v>45.425</v>
      </c>
      <c r="G1572" s="80"/>
      <c r="H1572" s="113"/>
      <c r="I1572" s="356"/>
      <c r="J1572" s="113"/>
      <c r="K1572" s="80"/>
      <c r="L1572" s="379"/>
      <c r="M1572" s="79">
        <v>40000</v>
      </c>
      <c r="N1572" s="80">
        <v>18170</v>
      </c>
      <c r="O1572" s="426">
        <f t="shared" si="195"/>
        <v>45.425</v>
      </c>
      <c r="P1572" s="80"/>
      <c r="Q1572" s="80"/>
      <c r="R1572" s="350"/>
    </row>
    <row r="1573" spans="1:18" s="199" customFormat="1" ht="24">
      <c r="A1573" s="111">
        <v>4270</v>
      </c>
      <c r="B1573" s="262" t="s">
        <v>487</v>
      </c>
      <c r="C1573" s="79">
        <v>8000</v>
      </c>
      <c r="D1573" s="65">
        <f t="shared" si="188"/>
        <v>8000</v>
      </c>
      <c r="E1573" s="80">
        <f t="shared" si="200"/>
        <v>4767</v>
      </c>
      <c r="F1573" s="452">
        <f t="shared" si="199"/>
        <v>59.587500000000006</v>
      </c>
      <c r="G1573" s="80"/>
      <c r="H1573" s="113"/>
      <c r="I1573" s="356"/>
      <c r="J1573" s="113"/>
      <c r="K1573" s="80"/>
      <c r="L1573" s="379"/>
      <c r="M1573" s="79">
        <v>8000</v>
      </c>
      <c r="N1573" s="80">
        <v>4767</v>
      </c>
      <c r="O1573" s="426">
        <f t="shared" si="195"/>
        <v>59.587500000000006</v>
      </c>
      <c r="P1573" s="80"/>
      <c r="Q1573" s="80"/>
      <c r="R1573" s="350"/>
    </row>
    <row r="1574" spans="1:18" s="199" customFormat="1" ht="17.25" customHeight="1">
      <c r="A1574" s="111">
        <v>4280</v>
      </c>
      <c r="B1574" s="262" t="s">
        <v>520</v>
      </c>
      <c r="C1574" s="79">
        <v>1600</v>
      </c>
      <c r="D1574" s="65">
        <f t="shared" si="188"/>
        <v>1600</v>
      </c>
      <c r="E1574" s="80">
        <f t="shared" si="200"/>
        <v>114</v>
      </c>
      <c r="F1574" s="452">
        <f t="shared" si="199"/>
        <v>7.124999999999999</v>
      </c>
      <c r="G1574" s="80"/>
      <c r="H1574" s="113"/>
      <c r="I1574" s="356"/>
      <c r="J1574" s="113"/>
      <c r="K1574" s="80"/>
      <c r="L1574" s="379"/>
      <c r="M1574" s="79">
        <v>1600</v>
      </c>
      <c r="N1574" s="80">
        <v>114</v>
      </c>
      <c r="O1574" s="426">
        <f t="shared" si="195"/>
        <v>7.124999999999999</v>
      </c>
      <c r="P1574" s="80"/>
      <c r="Q1574" s="80"/>
      <c r="R1574" s="350"/>
    </row>
    <row r="1575" spans="1:18" s="199" customFormat="1" ht="20.25" customHeight="1">
      <c r="A1575" s="111">
        <v>4300</v>
      </c>
      <c r="B1575" s="262" t="s">
        <v>489</v>
      </c>
      <c r="C1575" s="79">
        <v>20000</v>
      </c>
      <c r="D1575" s="65">
        <f t="shared" si="188"/>
        <v>20000</v>
      </c>
      <c r="E1575" s="80">
        <f t="shared" si="200"/>
        <v>10017</v>
      </c>
      <c r="F1575" s="452">
        <f t="shared" si="199"/>
        <v>50.085</v>
      </c>
      <c r="G1575" s="80"/>
      <c r="H1575" s="113"/>
      <c r="I1575" s="356"/>
      <c r="J1575" s="113"/>
      <c r="K1575" s="80"/>
      <c r="L1575" s="379"/>
      <c r="M1575" s="79">
        <v>20000</v>
      </c>
      <c r="N1575" s="80">
        <v>10017</v>
      </c>
      <c r="O1575" s="426">
        <f t="shared" si="195"/>
        <v>50.085</v>
      </c>
      <c r="P1575" s="80"/>
      <c r="Q1575" s="80"/>
      <c r="R1575" s="350"/>
    </row>
    <row r="1576" spans="1:18" s="199" customFormat="1" ht="24">
      <c r="A1576" s="111">
        <v>4350</v>
      </c>
      <c r="B1576" s="262" t="s">
        <v>7</v>
      </c>
      <c r="C1576" s="79">
        <v>600</v>
      </c>
      <c r="D1576" s="65">
        <f t="shared" si="188"/>
        <v>600</v>
      </c>
      <c r="E1576" s="80">
        <f t="shared" si="200"/>
        <v>89</v>
      </c>
      <c r="F1576" s="452">
        <f t="shared" si="199"/>
        <v>14.833333333333334</v>
      </c>
      <c r="G1576" s="80"/>
      <c r="H1576" s="113"/>
      <c r="I1576" s="356"/>
      <c r="J1576" s="113"/>
      <c r="K1576" s="80"/>
      <c r="L1576" s="379"/>
      <c r="M1576" s="79">
        <v>600</v>
      </c>
      <c r="N1576" s="80">
        <v>89</v>
      </c>
      <c r="O1576" s="426">
        <f t="shared" si="195"/>
        <v>14.833333333333334</v>
      </c>
      <c r="P1576" s="80"/>
      <c r="Q1576" s="80"/>
      <c r="R1576" s="350"/>
    </row>
    <row r="1577" spans="1:18" s="199" customFormat="1" ht="40.5" customHeight="1">
      <c r="A1577" s="159">
        <v>4360</v>
      </c>
      <c r="B1577" s="326" t="s">
        <v>295</v>
      </c>
      <c r="C1577" s="79">
        <v>1000</v>
      </c>
      <c r="D1577" s="65">
        <f>G1577+J1577+P1577+M1577</f>
        <v>1800</v>
      </c>
      <c r="E1577" s="80">
        <f>SUM(H1577+K1577+N1577+Q1577)</f>
        <v>811</v>
      </c>
      <c r="F1577" s="452">
        <f>E1577/D1577*100</f>
        <v>45.05555555555556</v>
      </c>
      <c r="G1577" s="80"/>
      <c r="H1577" s="113"/>
      <c r="I1577" s="356"/>
      <c r="J1577" s="113"/>
      <c r="K1577" s="80"/>
      <c r="L1577" s="379"/>
      <c r="M1577" s="79">
        <f>1000+800</f>
        <v>1800</v>
      </c>
      <c r="N1577" s="80">
        <v>811</v>
      </c>
      <c r="O1577" s="426">
        <f aca="true" t="shared" si="201" ref="O1577:O1640">N1577/M1577*100</f>
        <v>45.05555555555556</v>
      </c>
      <c r="P1577" s="80"/>
      <c r="Q1577" s="80"/>
      <c r="R1577" s="350"/>
    </row>
    <row r="1578" spans="1:18" s="199" customFormat="1" ht="39.75" customHeight="1">
      <c r="A1578" s="159">
        <v>4370</v>
      </c>
      <c r="B1578" s="326" t="s">
        <v>296</v>
      </c>
      <c r="C1578" s="79">
        <v>2200</v>
      </c>
      <c r="D1578" s="65">
        <f>G1578+J1578+P1578+M1578</f>
        <v>1400</v>
      </c>
      <c r="E1578" s="80">
        <f>SUM(H1578+K1578+N1578+Q1578)</f>
        <v>141</v>
      </c>
      <c r="F1578" s="452">
        <f>E1578/D1578*100</f>
        <v>10.071428571428571</v>
      </c>
      <c r="G1578" s="80"/>
      <c r="H1578" s="113"/>
      <c r="I1578" s="356"/>
      <c r="J1578" s="113"/>
      <c r="K1578" s="80"/>
      <c r="L1578" s="379"/>
      <c r="M1578" s="79">
        <f>2200-800</f>
        <v>1400</v>
      </c>
      <c r="N1578" s="80">
        <v>141</v>
      </c>
      <c r="O1578" s="426">
        <f t="shared" si="201"/>
        <v>10.071428571428571</v>
      </c>
      <c r="P1578" s="80"/>
      <c r="Q1578" s="80"/>
      <c r="R1578" s="350"/>
    </row>
    <row r="1579" spans="1:18" s="199" customFormat="1" ht="36">
      <c r="A1579" s="111">
        <v>4390</v>
      </c>
      <c r="B1579" s="193" t="s">
        <v>271</v>
      </c>
      <c r="C1579" s="79">
        <v>1000</v>
      </c>
      <c r="D1579" s="65">
        <f>G1579+J1579+P1579+M1579</f>
        <v>1000</v>
      </c>
      <c r="E1579" s="80">
        <f>SUM(H1579+K1579+N1579+Q1579)</f>
        <v>0</v>
      </c>
      <c r="F1579" s="452"/>
      <c r="G1579" s="80"/>
      <c r="H1579" s="113"/>
      <c r="I1579" s="356"/>
      <c r="J1579" s="113"/>
      <c r="K1579" s="80"/>
      <c r="L1579" s="379"/>
      <c r="M1579" s="79">
        <v>1000</v>
      </c>
      <c r="N1579" s="80"/>
      <c r="O1579" s="426">
        <f t="shared" si="201"/>
        <v>0</v>
      </c>
      <c r="P1579" s="80"/>
      <c r="Q1579" s="80"/>
      <c r="R1579" s="350"/>
    </row>
    <row r="1580" spans="1:18" s="199" customFormat="1" ht="24">
      <c r="A1580" s="111">
        <v>4410</v>
      </c>
      <c r="B1580" s="262" t="s">
        <v>463</v>
      </c>
      <c r="C1580" s="79">
        <v>300</v>
      </c>
      <c r="D1580" s="65">
        <f t="shared" si="188"/>
        <v>300</v>
      </c>
      <c r="E1580" s="80">
        <f t="shared" si="200"/>
        <v>92</v>
      </c>
      <c r="F1580" s="452">
        <f t="shared" si="199"/>
        <v>30.666666666666664</v>
      </c>
      <c r="G1580" s="80"/>
      <c r="H1580" s="113"/>
      <c r="I1580" s="356"/>
      <c r="J1580" s="113"/>
      <c r="K1580" s="80"/>
      <c r="L1580" s="379"/>
      <c r="M1580" s="79">
        <v>300</v>
      </c>
      <c r="N1580" s="80">
        <v>92</v>
      </c>
      <c r="O1580" s="426">
        <f t="shared" si="201"/>
        <v>30.666666666666664</v>
      </c>
      <c r="P1580" s="80"/>
      <c r="Q1580" s="80"/>
      <c r="R1580" s="350"/>
    </row>
    <row r="1581" spans="1:18" s="199" customFormat="1" ht="12.75">
      <c r="A1581" s="111">
        <v>4440</v>
      </c>
      <c r="B1581" s="276" t="s">
        <v>493</v>
      </c>
      <c r="C1581" s="79">
        <v>47500</v>
      </c>
      <c r="D1581" s="65">
        <f t="shared" si="188"/>
        <v>54011</v>
      </c>
      <c r="E1581" s="80">
        <f t="shared" si="200"/>
        <v>40600</v>
      </c>
      <c r="F1581" s="452">
        <f>E1581/D1581*100</f>
        <v>75.16987280368814</v>
      </c>
      <c r="G1581" s="80"/>
      <c r="H1581" s="113"/>
      <c r="I1581" s="356"/>
      <c r="J1581" s="113"/>
      <c r="K1581" s="80"/>
      <c r="L1581" s="379"/>
      <c r="M1581" s="79">
        <f>47500+6511</f>
        <v>54011</v>
      </c>
      <c r="N1581" s="80">
        <v>40600</v>
      </c>
      <c r="O1581" s="426">
        <f t="shared" si="201"/>
        <v>75.16987280368814</v>
      </c>
      <c r="P1581" s="80"/>
      <c r="Q1581" s="80"/>
      <c r="R1581" s="350"/>
    </row>
    <row r="1582" spans="1:18" s="199" customFormat="1" ht="36">
      <c r="A1582" s="184">
        <v>4700</v>
      </c>
      <c r="B1582" s="185" t="s">
        <v>284</v>
      </c>
      <c r="C1582" s="147">
        <v>3000</v>
      </c>
      <c r="D1582" s="148">
        <f aca="true" t="shared" si="202" ref="D1582:D1648">G1582+J1582+P1582+M1582</f>
        <v>3000</v>
      </c>
      <c r="E1582" s="142">
        <f t="shared" si="200"/>
        <v>1160</v>
      </c>
      <c r="F1582" s="453">
        <f>E1582/D1582*100</f>
        <v>38.666666666666664</v>
      </c>
      <c r="G1582" s="142"/>
      <c r="H1582" s="149"/>
      <c r="I1582" s="375"/>
      <c r="J1582" s="149"/>
      <c r="K1582" s="142"/>
      <c r="L1582" s="404"/>
      <c r="M1582" s="147">
        <v>3000</v>
      </c>
      <c r="N1582" s="142">
        <v>1160</v>
      </c>
      <c r="O1582" s="446">
        <f t="shared" si="201"/>
        <v>38.666666666666664</v>
      </c>
      <c r="P1582" s="142"/>
      <c r="Q1582" s="142"/>
      <c r="R1582" s="354"/>
    </row>
    <row r="1583" spans="1:18" s="199" customFormat="1" ht="51" customHeight="1">
      <c r="A1583" s="159">
        <v>4740</v>
      </c>
      <c r="B1583" s="326" t="s">
        <v>288</v>
      </c>
      <c r="C1583" s="79">
        <v>1500</v>
      </c>
      <c r="D1583" s="65">
        <f t="shared" si="202"/>
        <v>1500</v>
      </c>
      <c r="E1583" s="80">
        <f>SUM(H1583+K1583+N1583+Q1583)</f>
        <v>0</v>
      </c>
      <c r="F1583" s="452">
        <f>E1583/D1583*100</f>
        <v>0</v>
      </c>
      <c r="G1583" s="80"/>
      <c r="H1583" s="113"/>
      <c r="I1583" s="356"/>
      <c r="J1583" s="113"/>
      <c r="K1583" s="80"/>
      <c r="L1583" s="379"/>
      <c r="M1583" s="79">
        <v>1500</v>
      </c>
      <c r="N1583" s="80"/>
      <c r="O1583" s="426">
        <f t="shared" si="201"/>
        <v>0</v>
      </c>
      <c r="P1583" s="80"/>
      <c r="Q1583" s="80"/>
      <c r="R1583" s="350"/>
    </row>
    <row r="1584" spans="1:18" s="199" customFormat="1" ht="36">
      <c r="A1584" s="159">
        <v>4750</v>
      </c>
      <c r="B1584" s="326" t="s">
        <v>289</v>
      </c>
      <c r="C1584" s="79">
        <v>2000</v>
      </c>
      <c r="D1584" s="65">
        <f t="shared" si="202"/>
        <v>2000</v>
      </c>
      <c r="E1584" s="80">
        <f>SUM(H1584+K1584+N1584+Q1584)</f>
        <v>1750</v>
      </c>
      <c r="F1584" s="452">
        <f>E1584/D1584*100</f>
        <v>87.5</v>
      </c>
      <c r="G1584" s="80"/>
      <c r="H1584" s="113"/>
      <c r="I1584" s="356"/>
      <c r="J1584" s="113"/>
      <c r="K1584" s="80"/>
      <c r="L1584" s="379"/>
      <c r="M1584" s="79">
        <v>2000</v>
      </c>
      <c r="N1584" s="80">
        <v>1750</v>
      </c>
      <c r="O1584" s="426">
        <f t="shared" si="201"/>
        <v>87.5</v>
      </c>
      <c r="P1584" s="80"/>
      <c r="Q1584" s="80"/>
      <c r="R1584" s="350"/>
    </row>
    <row r="1585" spans="1:18" s="199" customFormat="1" ht="24" hidden="1">
      <c r="A1585" s="159">
        <v>6050</v>
      </c>
      <c r="B1585" s="326" t="s">
        <v>549</v>
      </c>
      <c r="C1585" s="79"/>
      <c r="D1585" s="65">
        <f t="shared" si="202"/>
        <v>0</v>
      </c>
      <c r="E1585" s="80">
        <f>SUM(H1585+K1585+N1585+Q1585)</f>
        <v>0</v>
      </c>
      <c r="F1585" s="452" t="e">
        <f>E1585/D1585*100</f>
        <v>#DIV/0!</v>
      </c>
      <c r="G1585" s="80"/>
      <c r="H1585" s="113"/>
      <c r="I1585" s="356"/>
      <c r="J1585" s="113"/>
      <c r="K1585" s="80"/>
      <c r="L1585" s="379"/>
      <c r="M1585" s="79"/>
      <c r="N1585" s="80"/>
      <c r="O1585" s="426" t="e">
        <f t="shared" si="201"/>
        <v>#DIV/0!</v>
      </c>
      <c r="P1585" s="80"/>
      <c r="Q1585" s="80"/>
      <c r="R1585" s="350"/>
    </row>
    <row r="1586" spans="1:18" s="199" customFormat="1" ht="36" hidden="1">
      <c r="A1586" s="159">
        <v>6060</v>
      </c>
      <c r="B1586" s="326" t="s">
        <v>8</v>
      </c>
      <c r="C1586" s="147"/>
      <c r="D1586" s="148">
        <f t="shared" si="202"/>
        <v>0</v>
      </c>
      <c r="E1586" s="142">
        <f t="shared" si="200"/>
        <v>0</v>
      </c>
      <c r="F1586" s="453" t="e">
        <f aca="true" t="shared" si="203" ref="F1586:F1607">E1586/D1586*100</f>
        <v>#DIV/0!</v>
      </c>
      <c r="G1586" s="142"/>
      <c r="H1586" s="149"/>
      <c r="I1586" s="375"/>
      <c r="J1586" s="149"/>
      <c r="K1586" s="142"/>
      <c r="L1586" s="404"/>
      <c r="M1586" s="147"/>
      <c r="N1586" s="142"/>
      <c r="O1586" s="426" t="e">
        <f t="shared" si="201"/>
        <v>#DIV/0!</v>
      </c>
      <c r="P1586" s="142"/>
      <c r="Q1586" s="142"/>
      <c r="R1586" s="354"/>
    </row>
    <row r="1587" spans="1:18" s="105" customFormat="1" ht="60">
      <c r="A1587" s="106">
        <v>85406</v>
      </c>
      <c r="B1587" s="261" t="s">
        <v>249</v>
      </c>
      <c r="C1587" s="108">
        <f>SUM(C1588:C1610)</f>
        <v>1481100</v>
      </c>
      <c r="D1587" s="86">
        <f t="shared" si="202"/>
        <v>1481100</v>
      </c>
      <c r="E1587" s="75">
        <f>H1587+K1587+Q1587+N1587</f>
        <v>773355</v>
      </c>
      <c r="F1587" s="451">
        <f t="shared" si="203"/>
        <v>52.21490783876849</v>
      </c>
      <c r="G1587" s="136"/>
      <c r="H1587" s="135"/>
      <c r="I1587" s="369"/>
      <c r="J1587" s="135"/>
      <c r="K1587" s="136"/>
      <c r="L1587" s="395"/>
      <c r="M1587" s="75">
        <f>SUM(M1588:M1611)+M1617</f>
        <v>1481100</v>
      </c>
      <c r="N1587" s="75">
        <f>SUM(N1588:N1611)+N1617</f>
        <v>773355</v>
      </c>
      <c r="O1587" s="432">
        <f t="shared" si="201"/>
        <v>52.21490783876849</v>
      </c>
      <c r="P1587" s="75"/>
      <c r="Q1587" s="75"/>
      <c r="R1587" s="360"/>
    </row>
    <row r="1588" spans="1:18" s="105" customFormat="1" ht="36">
      <c r="A1588" s="111">
        <v>3020</v>
      </c>
      <c r="B1588" s="262" t="s">
        <v>259</v>
      </c>
      <c r="C1588" s="79">
        <v>4800</v>
      </c>
      <c r="D1588" s="65">
        <f t="shared" si="202"/>
        <v>4800</v>
      </c>
      <c r="E1588" s="80">
        <f aca="true" t="shared" si="204" ref="E1588:E1607">SUM(H1588+K1588+N1588+Q1588)</f>
        <v>244</v>
      </c>
      <c r="F1588" s="452">
        <f t="shared" si="203"/>
        <v>5.083333333333333</v>
      </c>
      <c r="G1588" s="80"/>
      <c r="H1588" s="113"/>
      <c r="I1588" s="356"/>
      <c r="J1588" s="113"/>
      <c r="K1588" s="80"/>
      <c r="L1588" s="379"/>
      <c r="M1588" s="79">
        <v>4800</v>
      </c>
      <c r="N1588" s="80">
        <v>244</v>
      </c>
      <c r="O1588" s="426">
        <f t="shared" si="201"/>
        <v>5.083333333333333</v>
      </c>
      <c r="P1588" s="80"/>
      <c r="Q1588" s="80"/>
      <c r="R1588" s="350"/>
    </row>
    <row r="1589" spans="1:18" s="105" customFormat="1" ht="24">
      <c r="A1589" s="111">
        <v>4010</v>
      </c>
      <c r="B1589" s="262" t="s">
        <v>471</v>
      </c>
      <c r="C1589" s="79">
        <v>1008600</v>
      </c>
      <c r="D1589" s="65">
        <f t="shared" si="202"/>
        <v>1008600</v>
      </c>
      <c r="E1589" s="80">
        <f t="shared" si="204"/>
        <v>494571</v>
      </c>
      <c r="F1589" s="452">
        <f t="shared" si="203"/>
        <v>49.03539559785842</v>
      </c>
      <c r="G1589" s="80"/>
      <c r="H1589" s="113"/>
      <c r="I1589" s="356"/>
      <c r="J1589" s="113"/>
      <c r="K1589" s="80"/>
      <c r="L1589" s="379"/>
      <c r="M1589" s="79">
        <v>1008600</v>
      </c>
      <c r="N1589" s="80">
        <v>494571</v>
      </c>
      <c r="O1589" s="426">
        <f t="shared" si="201"/>
        <v>49.03539559785842</v>
      </c>
      <c r="P1589" s="80"/>
      <c r="Q1589" s="80"/>
      <c r="R1589" s="350"/>
    </row>
    <row r="1590" spans="1:18" s="105" customFormat="1" ht="24">
      <c r="A1590" s="111">
        <v>4040</v>
      </c>
      <c r="B1590" s="262" t="s">
        <v>475</v>
      </c>
      <c r="C1590" s="79">
        <v>76800</v>
      </c>
      <c r="D1590" s="65">
        <f t="shared" si="202"/>
        <v>75200</v>
      </c>
      <c r="E1590" s="80">
        <f t="shared" si="204"/>
        <v>75193</v>
      </c>
      <c r="F1590" s="452">
        <f t="shared" si="203"/>
        <v>99.99069148936171</v>
      </c>
      <c r="G1590" s="80"/>
      <c r="H1590" s="113"/>
      <c r="I1590" s="356"/>
      <c r="J1590" s="113"/>
      <c r="K1590" s="80"/>
      <c r="L1590" s="379"/>
      <c r="M1590" s="79">
        <f>76800-1600</f>
        <v>75200</v>
      </c>
      <c r="N1590" s="80">
        <v>75193</v>
      </c>
      <c r="O1590" s="426">
        <f t="shared" si="201"/>
        <v>99.99069148936171</v>
      </c>
      <c r="P1590" s="80"/>
      <c r="Q1590" s="80"/>
      <c r="R1590" s="350"/>
    </row>
    <row r="1591" spans="1:18" s="105" customFormat="1" ht="24">
      <c r="A1591" s="111">
        <v>4110</v>
      </c>
      <c r="B1591" s="262" t="s">
        <v>477</v>
      </c>
      <c r="C1591" s="79">
        <v>167500</v>
      </c>
      <c r="D1591" s="65">
        <f t="shared" si="202"/>
        <v>167500</v>
      </c>
      <c r="E1591" s="80">
        <f t="shared" si="204"/>
        <v>85595</v>
      </c>
      <c r="F1591" s="452">
        <f t="shared" si="203"/>
        <v>51.10149253731343</v>
      </c>
      <c r="G1591" s="80"/>
      <c r="H1591" s="113"/>
      <c r="I1591" s="356"/>
      <c r="J1591" s="113"/>
      <c r="K1591" s="80"/>
      <c r="L1591" s="379"/>
      <c r="M1591" s="79">
        <v>167500</v>
      </c>
      <c r="N1591" s="80">
        <v>85595</v>
      </c>
      <c r="O1591" s="426">
        <f t="shared" si="201"/>
        <v>51.10149253731343</v>
      </c>
      <c r="P1591" s="80"/>
      <c r="Q1591" s="80"/>
      <c r="R1591" s="350"/>
    </row>
    <row r="1592" spans="1:18" s="105" customFormat="1" ht="12.75">
      <c r="A1592" s="111">
        <v>4120</v>
      </c>
      <c r="B1592" s="262" t="s">
        <v>547</v>
      </c>
      <c r="C1592" s="79">
        <v>25600</v>
      </c>
      <c r="D1592" s="65">
        <f t="shared" si="202"/>
        <v>25600</v>
      </c>
      <c r="E1592" s="80">
        <f>SUM(H1592+K1592+N1592+Q1592)</f>
        <v>13628</v>
      </c>
      <c r="F1592" s="452">
        <f>E1592/D1592*100</f>
        <v>53.234375</v>
      </c>
      <c r="G1592" s="80"/>
      <c r="H1592" s="113"/>
      <c r="I1592" s="356"/>
      <c r="J1592" s="113"/>
      <c r="K1592" s="80"/>
      <c r="L1592" s="379"/>
      <c r="M1592" s="79">
        <v>25600</v>
      </c>
      <c r="N1592" s="80">
        <v>13628</v>
      </c>
      <c r="O1592" s="426">
        <f t="shared" si="201"/>
        <v>53.234375</v>
      </c>
      <c r="P1592" s="80"/>
      <c r="Q1592" s="80"/>
      <c r="R1592" s="350"/>
    </row>
    <row r="1593" spans="1:18" s="105" customFormat="1" ht="12.75">
      <c r="A1593" s="111">
        <v>4140</v>
      </c>
      <c r="B1593" s="262" t="s">
        <v>519</v>
      </c>
      <c r="C1593" s="79">
        <v>27200</v>
      </c>
      <c r="D1593" s="65">
        <f t="shared" si="202"/>
        <v>27200</v>
      </c>
      <c r="E1593" s="80">
        <f t="shared" si="204"/>
        <v>12270</v>
      </c>
      <c r="F1593" s="452">
        <f t="shared" si="203"/>
        <v>45.11029411764706</v>
      </c>
      <c r="G1593" s="80"/>
      <c r="H1593" s="113"/>
      <c r="I1593" s="356"/>
      <c r="J1593" s="113"/>
      <c r="K1593" s="80"/>
      <c r="L1593" s="379"/>
      <c r="M1593" s="79">
        <v>27200</v>
      </c>
      <c r="N1593" s="80">
        <v>12270</v>
      </c>
      <c r="O1593" s="426">
        <f t="shared" si="201"/>
        <v>45.11029411764706</v>
      </c>
      <c r="P1593" s="80"/>
      <c r="Q1593" s="80"/>
      <c r="R1593" s="350"/>
    </row>
    <row r="1594" spans="1:18" s="105" customFormat="1" ht="24">
      <c r="A1594" s="111">
        <v>4170</v>
      </c>
      <c r="B1594" s="262" t="s">
        <v>511</v>
      </c>
      <c r="C1594" s="79"/>
      <c r="D1594" s="65">
        <f t="shared" si="202"/>
        <v>8400</v>
      </c>
      <c r="E1594" s="80">
        <f>SUM(H1594+K1594+N1594+Q1594)</f>
        <v>3031</v>
      </c>
      <c r="F1594" s="452">
        <f>E1594/D1594*100</f>
        <v>36.083333333333336</v>
      </c>
      <c r="G1594" s="80"/>
      <c r="H1594" s="113"/>
      <c r="I1594" s="356"/>
      <c r="J1594" s="113"/>
      <c r="K1594" s="80"/>
      <c r="L1594" s="379"/>
      <c r="M1594" s="79">
        <v>8400</v>
      </c>
      <c r="N1594" s="80">
        <v>3031</v>
      </c>
      <c r="O1594" s="426">
        <f t="shared" si="201"/>
        <v>36.083333333333336</v>
      </c>
      <c r="P1594" s="80"/>
      <c r="Q1594" s="80"/>
      <c r="R1594" s="350"/>
    </row>
    <row r="1595" spans="1:18" s="105" customFormat="1" ht="24">
      <c r="A1595" s="111">
        <v>4210</v>
      </c>
      <c r="B1595" s="262" t="s">
        <v>481</v>
      </c>
      <c r="C1595" s="79">
        <v>15000</v>
      </c>
      <c r="D1595" s="65">
        <f t="shared" si="202"/>
        <v>15000</v>
      </c>
      <c r="E1595" s="80">
        <f t="shared" si="204"/>
        <v>7942</v>
      </c>
      <c r="F1595" s="452">
        <f t="shared" si="203"/>
        <v>52.946666666666665</v>
      </c>
      <c r="G1595" s="80"/>
      <c r="H1595" s="113"/>
      <c r="I1595" s="356"/>
      <c r="J1595" s="113"/>
      <c r="K1595" s="80"/>
      <c r="L1595" s="379"/>
      <c r="M1595" s="79">
        <v>15000</v>
      </c>
      <c r="N1595" s="80">
        <v>7942</v>
      </c>
      <c r="O1595" s="426">
        <f t="shared" si="201"/>
        <v>52.946666666666665</v>
      </c>
      <c r="P1595" s="80"/>
      <c r="Q1595" s="80"/>
      <c r="R1595" s="350"/>
    </row>
    <row r="1596" spans="1:18" s="105" customFormat="1" ht="26.25" customHeight="1">
      <c r="A1596" s="111">
        <v>4240</v>
      </c>
      <c r="B1596" s="262" t="s">
        <v>103</v>
      </c>
      <c r="C1596" s="79">
        <v>1500</v>
      </c>
      <c r="D1596" s="65">
        <f t="shared" si="202"/>
        <v>1500</v>
      </c>
      <c r="E1596" s="80">
        <f t="shared" si="204"/>
        <v>271</v>
      </c>
      <c r="F1596" s="452">
        <f t="shared" si="203"/>
        <v>18.066666666666666</v>
      </c>
      <c r="G1596" s="80"/>
      <c r="H1596" s="113"/>
      <c r="I1596" s="356"/>
      <c r="J1596" s="113"/>
      <c r="K1596" s="80"/>
      <c r="L1596" s="379"/>
      <c r="M1596" s="79">
        <v>1500</v>
      </c>
      <c r="N1596" s="80">
        <v>271</v>
      </c>
      <c r="O1596" s="426">
        <f t="shared" si="201"/>
        <v>18.066666666666666</v>
      </c>
      <c r="P1596" s="80"/>
      <c r="Q1596" s="80"/>
      <c r="R1596" s="350"/>
    </row>
    <row r="1597" spans="1:18" s="105" customFormat="1" ht="12.75">
      <c r="A1597" s="111">
        <v>4260</v>
      </c>
      <c r="B1597" s="262" t="s">
        <v>485</v>
      </c>
      <c r="C1597" s="79">
        <v>34100</v>
      </c>
      <c r="D1597" s="65">
        <f t="shared" si="202"/>
        <v>34100</v>
      </c>
      <c r="E1597" s="80">
        <f t="shared" si="204"/>
        <v>15935</v>
      </c>
      <c r="F1597" s="452">
        <f t="shared" si="203"/>
        <v>46.73020527859237</v>
      </c>
      <c r="G1597" s="80"/>
      <c r="H1597" s="113"/>
      <c r="I1597" s="356"/>
      <c r="J1597" s="113"/>
      <c r="K1597" s="80"/>
      <c r="L1597" s="379"/>
      <c r="M1597" s="79">
        <v>34100</v>
      </c>
      <c r="N1597" s="80">
        <v>15935</v>
      </c>
      <c r="O1597" s="426">
        <f t="shared" si="201"/>
        <v>46.73020527859237</v>
      </c>
      <c r="P1597" s="80"/>
      <c r="Q1597" s="80"/>
      <c r="R1597" s="350"/>
    </row>
    <row r="1598" spans="1:18" s="105" customFormat="1" ht="17.25" customHeight="1">
      <c r="A1598" s="111">
        <v>4270</v>
      </c>
      <c r="B1598" s="262" t="s">
        <v>487</v>
      </c>
      <c r="C1598" s="79">
        <v>1000</v>
      </c>
      <c r="D1598" s="65">
        <f t="shared" si="202"/>
        <v>1000</v>
      </c>
      <c r="E1598" s="80">
        <f>SUM(H1598+K1598+N1598+Q1598)</f>
        <v>116</v>
      </c>
      <c r="F1598" s="452">
        <f>E1598/D1598*100</f>
        <v>11.600000000000001</v>
      </c>
      <c r="G1598" s="80"/>
      <c r="H1598" s="113"/>
      <c r="I1598" s="356"/>
      <c r="J1598" s="113"/>
      <c r="K1598" s="80"/>
      <c r="L1598" s="379"/>
      <c r="M1598" s="79">
        <v>1000</v>
      </c>
      <c r="N1598" s="80">
        <v>116</v>
      </c>
      <c r="O1598" s="426">
        <f t="shared" si="201"/>
        <v>11.600000000000001</v>
      </c>
      <c r="P1598" s="80"/>
      <c r="Q1598" s="80"/>
      <c r="R1598" s="350"/>
    </row>
    <row r="1599" spans="1:18" s="105" customFormat="1" ht="16.5" customHeight="1">
      <c r="A1599" s="111">
        <v>4280</v>
      </c>
      <c r="B1599" s="262" t="s">
        <v>520</v>
      </c>
      <c r="C1599" s="79">
        <v>1000</v>
      </c>
      <c r="D1599" s="65">
        <f t="shared" si="202"/>
        <v>1000</v>
      </c>
      <c r="E1599" s="80">
        <f t="shared" si="204"/>
        <v>592</v>
      </c>
      <c r="F1599" s="452">
        <f t="shared" si="203"/>
        <v>59.199999999999996</v>
      </c>
      <c r="G1599" s="80"/>
      <c r="H1599" s="113"/>
      <c r="I1599" s="356"/>
      <c r="J1599" s="113"/>
      <c r="K1599" s="80"/>
      <c r="L1599" s="379"/>
      <c r="M1599" s="79">
        <v>1000</v>
      </c>
      <c r="N1599" s="80">
        <f>592+1-1</f>
        <v>592</v>
      </c>
      <c r="O1599" s="426">
        <f t="shared" si="201"/>
        <v>59.199999999999996</v>
      </c>
      <c r="P1599" s="80"/>
      <c r="Q1599" s="80"/>
      <c r="R1599" s="350"/>
    </row>
    <row r="1600" spans="1:18" s="105" customFormat="1" ht="19.5" customHeight="1">
      <c r="A1600" s="111">
        <v>4300</v>
      </c>
      <c r="B1600" s="262" t="s">
        <v>489</v>
      </c>
      <c r="C1600" s="79">
        <v>40000</v>
      </c>
      <c r="D1600" s="65">
        <f t="shared" si="202"/>
        <v>33200</v>
      </c>
      <c r="E1600" s="80">
        <f t="shared" si="204"/>
        <v>11119</v>
      </c>
      <c r="F1600" s="452">
        <f t="shared" si="203"/>
        <v>33.49096385542168</v>
      </c>
      <c r="G1600" s="80"/>
      <c r="H1600" s="113"/>
      <c r="I1600" s="356"/>
      <c r="J1600" s="113"/>
      <c r="K1600" s="80"/>
      <c r="L1600" s="379"/>
      <c r="M1600" s="79">
        <f>40000-6800</f>
        <v>33200</v>
      </c>
      <c r="N1600" s="80">
        <v>11119</v>
      </c>
      <c r="O1600" s="426">
        <f t="shared" si="201"/>
        <v>33.49096385542168</v>
      </c>
      <c r="P1600" s="80"/>
      <c r="Q1600" s="80"/>
      <c r="R1600" s="350"/>
    </row>
    <row r="1601" spans="1:18" s="105" customFormat="1" ht="24">
      <c r="A1601" s="111">
        <v>4350</v>
      </c>
      <c r="B1601" s="262" t="s">
        <v>7</v>
      </c>
      <c r="C1601" s="79">
        <v>1700</v>
      </c>
      <c r="D1601" s="65">
        <f t="shared" si="202"/>
        <v>1700</v>
      </c>
      <c r="E1601" s="80">
        <f t="shared" si="204"/>
        <v>905</v>
      </c>
      <c r="F1601" s="452">
        <f t="shared" si="203"/>
        <v>53.23529411764706</v>
      </c>
      <c r="G1601" s="80"/>
      <c r="H1601" s="113"/>
      <c r="I1601" s="356"/>
      <c r="J1601" s="113"/>
      <c r="K1601" s="80"/>
      <c r="L1601" s="379"/>
      <c r="M1601" s="79">
        <v>1700</v>
      </c>
      <c r="N1601" s="80">
        <v>905</v>
      </c>
      <c r="O1601" s="426">
        <f t="shared" si="201"/>
        <v>53.23529411764706</v>
      </c>
      <c r="P1601" s="80"/>
      <c r="Q1601" s="80"/>
      <c r="R1601" s="350"/>
    </row>
    <row r="1602" spans="1:18" s="105" customFormat="1" ht="38.25" customHeight="1">
      <c r="A1602" s="145">
        <v>4360</v>
      </c>
      <c r="B1602" s="185" t="s">
        <v>295</v>
      </c>
      <c r="C1602" s="147">
        <v>4800</v>
      </c>
      <c r="D1602" s="148">
        <f t="shared" si="202"/>
        <v>4800</v>
      </c>
      <c r="E1602" s="142">
        <f>SUM(H1602+K1602+N1602+Q1602)</f>
        <v>2233</v>
      </c>
      <c r="F1602" s="453">
        <f>E1602/D1602*100</f>
        <v>46.520833333333336</v>
      </c>
      <c r="G1602" s="142"/>
      <c r="H1602" s="149"/>
      <c r="I1602" s="375"/>
      <c r="J1602" s="149"/>
      <c r="K1602" s="142"/>
      <c r="L1602" s="404"/>
      <c r="M1602" s="147">
        <v>4800</v>
      </c>
      <c r="N1602" s="142">
        <v>2233</v>
      </c>
      <c r="O1602" s="446">
        <f t="shared" si="201"/>
        <v>46.520833333333336</v>
      </c>
      <c r="P1602" s="142"/>
      <c r="Q1602" s="142"/>
      <c r="R1602" s="354"/>
    </row>
    <row r="1603" spans="1:18" s="105" customFormat="1" ht="41.25" customHeight="1">
      <c r="A1603" s="159">
        <v>4370</v>
      </c>
      <c r="B1603" s="326" t="s">
        <v>296</v>
      </c>
      <c r="C1603" s="79">
        <v>4000</v>
      </c>
      <c r="D1603" s="65">
        <f>G1603+J1603+P1603+M1603</f>
        <v>4000</v>
      </c>
      <c r="E1603" s="80">
        <f>SUM(H1603+K1603+N1603+Q1603)</f>
        <v>1788</v>
      </c>
      <c r="F1603" s="452">
        <f>E1603/D1603*100</f>
        <v>44.7</v>
      </c>
      <c r="G1603" s="80"/>
      <c r="H1603" s="113"/>
      <c r="I1603" s="356"/>
      <c r="J1603" s="113"/>
      <c r="K1603" s="80"/>
      <c r="L1603" s="379"/>
      <c r="M1603" s="79">
        <v>4000</v>
      </c>
      <c r="N1603" s="80">
        <v>1788</v>
      </c>
      <c r="O1603" s="426">
        <f t="shared" si="201"/>
        <v>44.7</v>
      </c>
      <c r="P1603" s="80"/>
      <c r="Q1603" s="80"/>
      <c r="R1603" s="350"/>
    </row>
    <row r="1604" spans="1:18" s="105" customFormat="1" ht="36">
      <c r="A1604" s="111">
        <v>4390</v>
      </c>
      <c r="B1604" s="193" t="s">
        <v>271</v>
      </c>
      <c r="C1604" s="79">
        <v>2000</v>
      </c>
      <c r="D1604" s="65">
        <f>G1604+J1604+P1604+M1604</f>
        <v>2000</v>
      </c>
      <c r="E1604" s="80">
        <f>SUM(H1604+K1604+N1604+Q1604)</f>
        <v>0</v>
      </c>
      <c r="F1604" s="452">
        <f>E1604/D1604*100</f>
        <v>0</v>
      </c>
      <c r="G1604" s="80"/>
      <c r="H1604" s="113"/>
      <c r="I1604" s="356"/>
      <c r="J1604" s="113"/>
      <c r="K1604" s="80"/>
      <c r="L1604" s="379"/>
      <c r="M1604" s="79">
        <v>2000</v>
      </c>
      <c r="N1604" s="80"/>
      <c r="O1604" s="426">
        <f t="shared" si="201"/>
        <v>0</v>
      </c>
      <c r="P1604" s="80"/>
      <c r="Q1604" s="80"/>
      <c r="R1604" s="350"/>
    </row>
    <row r="1605" spans="1:18" s="105" customFormat="1" ht="17.25" customHeight="1">
      <c r="A1605" s="111">
        <v>4410</v>
      </c>
      <c r="B1605" s="262" t="s">
        <v>463</v>
      </c>
      <c r="C1605" s="79">
        <v>500</v>
      </c>
      <c r="D1605" s="65">
        <f>G1605+J1605+P1605+M1605</f>
        <v>500</v>
      </c>
      <c r="E1605" s="80">
        <f>SUM(H1605+K1605+N1605+Q1605)</f>
        <v>0</v>
      </c>
      <c r="F1605" s="452">
        <f>E1605/D1605*100</f>
        <v>0</v>
      </c>
      <c r="G1605" s="80"/>
      <c r="H1605" s="113"/>
      <c r="I1605" s="356"/>
      <c r="J1605" s="113"/>
      <c r="K1605" s="80"/>
      <c r="L1605" s="379"/>
      <c r="M1605" s="79">
        <v>500</v>
      </c>
      <c r="N1605" s="80"/>
      <c r="O1605" s="426">
        <f t="shared" si="201"/>
        <v>0</v>
      </c>
      <c r="P1605" s="80"/>
      <c r="Q1605" s="80"/>
      <c r="R1605" s="350"/>
    </row>
    <row r="1606" spans="1:18" s="105" customFormat="1" ht="12.75">
      <c r="A1606" s="111">
        <v>4440</v>
      </c>
      <c r="B1606" s="262" t="s">
        <v>493</v>
      </c>
      <c r="C1606" s="79">
        <v>61300</v>
      </c>
      <c r="D1606" s="65">
        <f t="shared" si="202"/>
        <v>61300</v>
      </c>
      <c r="E1606" s="80">
        <f t="shared" si="204"/>
        <v>45975</v>
      </c>
      <c r="F1606" s="452">
        <f t="shared" si="203"/>
        <v>75</v>
      </c>
      <c r="G1606" s="80"/>
      <c r="H1606" s="113"/>
      <c r="I1606" s="356"/>
      <c r="J1606" s="113"/>
      <c r="K1606" s="80"/>
      <c r="L1606" s="379"/>
      <c r="M1606" s="79">
        <v>61300</v>
      </c>
      <c r="N1606" s="80">
        <v>45975</v>
      </c>
      <c r="O1606" s="426">
        <f t="shared" si="201"/>
        <v>75</v>
      </c>
      <c r="P1606" s="80"/>
      <c r="Q1606" s="80"/>
      <c r="R1606" s="350"/>
    </row>
    <row r="1607" spans="1:18" s="105" customFormat="1" ht="36">
      <c r="A1607" s="159">
        <v>4700</v>
      </c>
      <c r="B1607" s="326" t="s">
        <v>284</v>
      </c>
      <c r="C1607" s="79">
        <v>500</v>
      </c>
      <c r="D1607" s="65">
        <f t="shared" si="202"/>
        <v>500</v>
      </c>
      <c r="E1607" s="80">
        <f t="shared" si="204"/>
        <v>200</v>
      </c>
      <c r="F1607" s="452">
        <f t="shared" si="203"/>
        <v>40</v>
      </c>
      <c r="G1607" s="80"/>
      <c r="H1607" s="113"/>
      <c r="I1607" s="356"/>
      <c r="J1607" s="113"/>
      <c r="K1607" s="80"/>
      <c r="L1607" s="379"/>
      <c r="M1607" s="79">
        <v>500</v>
      </c>
      <c r="N1607" s="80">
        <v>200</v>
      </c>
      <c r="O1607" s="426">
        <f t="shared" si="201"/>
        <v>40</v>
      </c>
      <c r="P1607" s="80"/>
      <c r="Q1607" s="80"/>
      <c r="R1607" s="350"/>
    </row>
    <row r="1608" spans="1:18" s="105" customFormat="1" ht="49.5" customHeight="1">
      <c r="A1608" s="159">
        <v>4740</v>
      </c>
      <c r="B1608" s="326" t="s">
        <v>288</v>
      </c>
      <c r="C1608" s="79">
        <v>1200</v>
      </c>
      <c r="D1608" s="65">
        <f>G1608+J1608+P1608+M1608</f>
        <v>1200</v>
      </c>
      <c r="E1608" s="80">
        <f>SUM(H1608+K1608+N1608+Q1608)</f>
        <v>666</v>
      </c>
      <c r="F1608" s="452">
        <f>E1608/D1608*100</f>
        <v>55.50000000000001</v>
      </c>
      <c r="G1608" s="80"/>
      <c r="H1608" s="113"/>
      <c r="I1608" s="356"/>
      <c r="J1608" s="113"/>
      <c r="K1608" s="80"/>
      <c r="L1608" s="379"/>
      <c r="M1608" s="79">
        <v>1200</v>
      </c>
      <c r="N1608" s="80">
        <v>666</v>
      </c>
      <c r="O1608" s="426">
        <f t="shared" si="201"/>
        <v>55.50000000000001</v>
      </c>
      <c r="P1608" s="80"/>
      <c r="Q1608" s="80"/>
      <c r="R1608" s="350"/>
    </row>
    <row r="1609" spans="1:18" s="105" customFormat="1" ht="24" hidden="1">
      <c r="A1609" s="159">
        <v>6050</v>
      </c>
      <c r="B1609" s="326" t="s">
        <v>549</v>
      </c>
      <c r="C1609" s="79"/>
      <c r="D1609" s="65">
        <f>G1609+J1609+P1609+M1609</f>
        <v>0</v>
      </c>
      <c r="E1609" s="80">
        <f>SUM(H1609+K1609+N1609+Q1609)</f>
        <v>0</v>
      </c>
      <c r="F1609" s="452" t="e">
        <f>E1609/D1609*100</f>
        <v>#DIV/0!</v>
      </c>
      <c r="G1609" s="80"/>
      <c r="H1609" s="113"/>
      <c r="I1609" s="356"/>
      <c r="J1609" s="113"/>
      <c r="K1609" s="80"/>
      <c r="L1609" s="379"/>
      <c r="M1609" s="79"/>
      <c r="N1609" s="80"/>
      <c r="O1609" s="426" t="e">
        <f t="shared" si="201"/>
        <v>#DIV/0!</v>
      </c>
      <c r="P1609" s="80"/>
      <c r="Q1609" s="80"/>
      <c r="R1609" s="350"/>
    </row>
    <row r="1610" spans="1:18" s="105" customFormat="1" ht="36">
      <c r="A1610" s="159">
        <v>4750</v>
      </c>
      <c r="B1610" s="326" t="s">
        <v>289</v>
      </c>
      <c r="C1610" s="79">
        <v>2000</v>
      </c>
      <c r="D1610" s="65">
        <f t="shared" si="202"/>
        <v>2000</v>
      </c>
      <c r="E1610" s="80">
        <f>SUM(H1610+K1610+N1610+Q1610)</f>
        <v>1081</v>
      </c>
      <c r="F1610" s="452">
        <f>E1610/D1610*100</f>
        <v>54.05</v>
      </c>
      <c r="G1610" s="80"/>
      <c r="H1610" s="113"/>
      <c r="I1610" s="356"/>
      <c r="J1610" s="113"/>
      <c r="K1610" s="80"/>
      <c r="L1610" s="379"/>
      <c r="M1610" s="79">
        <v>2000</v>
      </c>
      <c r="N1610" s="80">
        <f>1081+1-1</f>
        <v>1081</v>
      </c>
      <c r="O1610" s="426">
        <f t="shared" si="201"/>
        <v>54.05</v>
      </c>
      <c r="P1610" s="80"/>
      <c r="Q1610" s="80"/>
      <c r="R1610" s="350"/>
    </row>
    <row r="1611" spans="1:18" s="130" customFormat="1" ht="24" hidden="1">
      <c r="A1611" s="122"/>
      <c r="B1611" s="123" t="s">
        <v>347</v>
      </c>
      <c r="C1611" s="124"/>
      <c r="D1611" s="126">
        <f t="shared" si="202"/>
        <v>0</v>
      </c>
      <c r="E1611" s="126">
        <f aca="true" t="shared" si="205" ref="E1611:E1622">SUM(H1611+K1611+N1611+Q1611)</f>
        <v>0</v>
      </c>
      <c r="F1611" s="461" t="e">
        <f aca="true" t="shared" si="206" ref="F1611:F1670">E1611/D1611*100</f>
        <v>#DIV/0!</v>
      </c>
      <c r="G1611" s="126"/>
      <c r="H1611" s="127"/>
      <c r="I1611" s="388"/>
      <c r="J1611" s="127"/>
      <c r="K1611" s="126"/>
      <c r="L1611" s="392"/>
      <c r="M1611" s="127">
        <f>SUM(M1612:M1616)</f>
        <v>0</v>
      </c>
      <c r="N1611" s="127">
        <f>SUM(N1612:N1616)</f>
        <v>0</v>
      </c>
      <c r="O1611" s="426" t="e">
        <f t="shared" si="201"/>
        <v>#DIV/0!</v>
      </c>
      <c r="P1611" s="126"/>
      <c r="Q1611" s="126"/>
      <c r="R1611" s="352"/>
    </row>
    <row r="1612" spans="1:18" s="105" customFormat="1" ht="24" hidden="1">
      <c r="A1612" s="111">
        <v>4010</v>
      </c>
      <c r="B1612" s="115" t="s">
        <v>471</v>
      </c>
      <c r="C1612" s="79"/>
      <c r="D1612" s="65">
        <f t="shared" si="202"/>
        <v>0</v>
      </c>
      <c r="E1612" s="80">
        <f t="shared" si="205"/>
        <v>0</v>
      </c>
      <c r="F1612" s="452" t="e">
        <f t="shared" si="206"/>
        <v>#DIV/0!</v>
      </c>
      <c r="G1612" s="80"/>
      <c r="H1612" s="113"/>
      <c r="I1612" s="356"/>
      <c r="J1612" s="113"/>
      <c r="K1612" s="80"/>
      <c r="L1612" s="379"/>
      <c r="M1612" s="113"/>
      <c r="N1612" s="113"/>
      <c r="O1612" s="426" t="e">
        <f t="shared" si="201"/>
        <v>#DIV/0!</v>
      </c>
      <c r="P1612" s="80"/>
      <c r="Q1612" s="80"/>
      <c r="R1612" s="350"/>
    </row>
    <row r="1613" spans="1:18" s="105" customFormat="1" ht="24" hidden="1">
      <c r="A1613" s="111">
        <v>4110</v>
      </c>
      <c r="B1613" s="115" t="s">
        <v>477</v>
      </c>
      <c r="C1613" s="79"/>
      <c r="D1613" s="65">
        <f t="shared" si="202"/>
        <v>0</v>
      </c>
      <c r="E1613" s="80">
        <f t="shared" si="205"/>
        <v>0</v>
      </c>
      <c r="F1613" s="452" t="e">
        <f t="shared" si="206"/>
        <v>#DIV/0!</v>
      </c>
      <c r="G1613" s="80"/>
      <c r="H1613" s="113"/>
      <c r="I1613" s="356"/>
      <c r="J1613" s="113"/>
      <c r="K1613" s="80"/>
      <c r="L1613" s="379"/>
      <c r="M1613" s="113"/>
      <c r="N1613" s="113"/>
      <c r="O1613" s="426" t="e">
        <f t="shared" si="201"/>
        <v>#DIV/0!</v>
      </c>
      <c r="P1613" s="80"/>
      <c r="Q1613" s="80"/>
      <c r="R1613" s="350"/>
    </row>
    <row r="1614" spans="1:18" s="105" customFormat="1" ht="12.75" hidden="1">
      <c r="A1614" s="111">
        <v>4120</v>
      </c>
      <c r="B1614" s="115" t="s">
        <v>547</v>
      </c>
      <c r="C1614" s="79"/>
      <c r="D1614" s="65">
        <f t="shared" si="202"/>
        <v>0</v>
      </c>
      <c r="E1614" s="80">
        <f t="shared" si="205"/>
        <v>0</v>
      </c>
      <c r="F1614" s="452" t="e">
        <f t="shared" si="206"/>
        <v>#DIV/0!</v>
      </c>
      <c r="G1614" s="80"/>
      <c r="H1614" s="113"/>
      <c r="I1614" s="356"/>
      <c r="J1614" s="113"/>
      <c r="K1614" s="80"/>
      <c r="L1614" s="379"/>
      <c r="M1614" s="113"/>
      <c r="N1614" s="113"/>
      <c r="O1614" s="426" t="e">
        <f t="shared" si="201"/>
        <v>#DIV/0!</v>
      </c>
      <c r="P1614" s="80"/>
      <c r="Q1614" s="80"/>
      <c r="R1614" s="350"/>
    </row>
    <row r="1615" spans="1:18" s="105" customFormat="1" ht="24" hidden="1">
      <c r="A1615" s="111">
        <v>4210</v>
      </c>
      <c r="B1615" s="115" t="s">
        <v>481</v>
      </c>
      <c r="C1615" s="79"/>
      <c r="D1615" s="65">
        <f t="shared" si="202"/>
        <v>0</v>
      </c>
      <c r="E1615" s="80">
        <f t="shared" si="205"/>
        <v>0</v>
      </c>
      <c r="F1615" s="452" t="e">
        <f t="shared" si="206"/>
        <v>#DIV/0!</v>
      </c>
      <c r="G1615" s="80"/>
      <c r="H1615" s="113"/>
      <c r="I1615" s="356"/>
      <c r="J1615" s="113"/>
      <c r="K1615" s="80"/>
      <c r="L1615" s="379"/>
      <c r="M1615" s="113"/>
      <c r="N1615" s="113"/>
      <c r="O1615" s="426" t="e">
        <f t="shared" si="201"/>
        <v>#DIV/0!</v>
      </c>
      <c r="P1615" s="80"/>
      <c r="Q1615" s="80"/>
      <c r="R1615" s="350"/>
    </row>
    <row r="1616" spans="1:18" s="105" customFormat="1" ht="24" hidden="1">
      <c r="A1616" s="111">
        <v>4300</v>
      </c>
      <c r="B1616" s="115" t="s">
        <v>489</v>
      </c>
      <c r="C1616" s="79"/>
      <c r="D1616" s="65">
        <f t="shared" si="202"/>
        <v>0</v>
      </c>
      <c r="E1616" s="80">
        <f t="shared" si="205"/>
        <v>0</v>
      </c>
      <c r="F1616" s="452" t="e">
        <f t="shared" si="206"/>
        <v>#DIV/0!</v>
      </c>
      <c r="G1616" s="80"/>
      <c r="H1616" s="113"/>
      <c r="I1616" s="356"/>
      <c r="J1616" s="113"/>
      <c r="K1616" s="80"/>
      <c r="L1616" s="379"/>
      <c r="M1616" s="113"/>
      <c r="N1616" s="113"/>
      <c r="O1616" s="426" t="e">
        <f t="shared" si="201"/>
        <v>#DIV/0!</v>
      </c>
      <c r="P1616" s="80"/>
      <c r="Q1616" s="80"/>
      <c r="R1616" s="350"/>
    </row>
    <row r="1617" spans="1:18" s="130" customFormat="1" ht="48" hidden="1">
      <c r="A1617" s="122"/>
      <c r="B1617" s="123" t="s">
        <v>348</v>
      </c>
      <c r="C1617" s="124"/>
      <c r="D1617" s="126">
        <f t="shared" si="202"/>
        <v>0</v>
      </c>
      <c r="E1617" s="126">
        <f t="shared" si="205"/>
        <v>0</v>
      </c>
      <c r="F1617" s="461" t="e">
        <f t="shared" si="206"/>
        <v>#DIV/0!</v>
      </c>
      <c r="G1617" s="126"/>
      <c r="H1617" s="127"/>
      <c r="I1617" s="388"/>
      <c r="J1617" s="127"/>
      <c r="K1617" s="126"/>
      <c r="L1617" s="392"/>
      <c r="M1617" s="127">
        <f>SUM(M1618:M1622)</f>
        <v>0</v>
      </c>
      <c r="N1617" s="127">
        <f>SUM(N1618:N1622)</f>
        <v>0</v>
      </c>
      <c r="O1617" s="443" t="e">
        <f t="shared" si="201"/>
        <v>#DIV/0!</v>
      </c>
      <c r="P1617" s="126"/>
      <c r="Q1617" s="126"/>
      <c r="R1617" s="352"/>
    </row>
    <row r="1618" spans="1:18" s="105" customFormat="1" ht="24" hidden="1">
      <c r="A1618" s="111">
        <v>4010</v>
      </c>
      <c r="B1618" s="115" t="s">
        <v>471</v>
      </c>
      <c r="C1618" s="79"/>
      <c r="D1618" s="65">
        <f t="shared" si="202"/>
        <v>0</v>
      </c>
      <c r="E1618" s="80">
        <f t="shared" si="205"/>
        <v>0</v>
      </c>
      <c r="F1618" s="452" t="e">
        <f t="shared" si="206"/>
        <v>#DIV/0!</v>
      </c>
      <c r="G1618" s="80"/>
      <c r="H1618" s="113"/>
      <c r="I1618" s="356"/>
      <c r="J1618" s="113"/>
      <c r="K1618" s="80"/>
      <c r="L1618" s="379"/>
      <c r="M1618" s="113">
        <f>2900-2900</f>
        <v>0</v>
      </c>
      <c r="N1618" s="113"/>
      <c r="O1618" s="426" t="e">
        <f t="shared" si="201"/>
        <v>#DIV/0!</v>
      </c>
      <c r="P1618" s="80"/>
      <c r="Q1618" s="80"/>
      <c r="R1618" s="350"/>
    </row>
    <row r="1619" spans="1:18" s="105" customFormat="1" ht="24" hidden="1">
      <c r="A1619" s="111">
        <v>4110</v>
      </c>
      <c r="B1619" s="115" t="s">
        <v>477</v>
      </c>
      <c r="C1619" s="79"/>
      <c r="D1619" s="65">
        <f t="shared" si="202"/>
        <v>0</v>
      </c>
      <c r="E1619" s="80">
        <f t="shared" si="205"/>
        <v>0</v>
      </c>
      <c r="F1619" s="452" t="e">
        <f t="shared" si="206"/>
        <v>#DIV/0!</v>
      </c>
      <c r="G1619" s="80"/>
      <c r="H1619" s="113"/>
      <c r="I1619" s="356"/>
      <c r="J1619" s="113"/>
      <c r="K1619" s="80"/>
      <c r="L1619" s="379"/>
      <c r="M1619" s="113">
        <f>520-520</f>
        <v>0</v>
      </c>
      <c r="N1619" s="113"/>
      <c r="O1619" s="426" t="e">
        <f t="shared" si="201"/>
        <v>#DIV/0!</v>
      </c>
      <c r="P1619" s="80"/>
      <c r="Q1619" s="80"/>
      <c r="R1619" s="350"/>
    </row>
    <row r="1620" spans="1:18" s="105" customFormat="1" ht="12.75" hidden="1">
      <c r="A1620" s="111">
        <v>4120</v>
      </c>
      <c r="B1620" s="115" t="s">
        <v>547</v>
      </c>
      <c r="C1620" s="79"/>
      <c r="D1620" s="65">
        <f>G1620+J1620+P1620+M1620</f>
        <v>0</v>
      </c>
      <c r="E1620" s="80">
        <f>SUM(H1620+K1620+N1620+Q1620)</f>
        <v>0</v>
      </c>
      <c r="F1620" s="452" t="e">
        <f>E1620/D1620*100</f>
        <v>#DIV/0!</v>
      </c>
      <c r="G1620" s="80"/>
      <c r="H1620" s="113"/>
      <c r="I1620" s="356"/>
      <c r="J1620" s="113"/>
      <c r="K1620" s="80"/>
      <c r="L1620" s="379"/>
      <c r="M1620" s="113">
        <f>80-80</f>
        <v>0</v>
      </c>
      <c r="N1620" s="113"/>
      <c r="O1620" s="426" t="e">
        <f t="shared" si="201"/>
        <v>#DIV/0!</v>
      </c>
      <c r="P1620" s="80"/>
      <c r="Q1620" s="80"/>
      <c r="R1620" s="350"/>
    </row>
    <row r="1621" spans="1:18" s="105" customFormat="1" ht="36" hidden="1">
      <c r="A1621" s="111">
        <v>4240</v>
      </c>
      <c r="B1621" s="115" t="s">
        <v>539</v>
      </c>
      <c r="C1621" s="79"/>
      <c r="D1621" s="65">
        <f>G1621+J1621+P1621+M1621</f>
        <v>0</v>
      </c>
      <c r="E1621" s="80">
        <f>SUM(H1621+K1621+N1621+Q1621)</f>
        <v>0</v>
      </c>
      <c r="F1621" s="452" t="e">
        <f>E1621/D1621*100</f>
        <v>#DIV/0!</v>
      </c>
      <c r="G1621" s="80"/>
      <c r="H1621" s="113"/>
      <c r="I1621" s="356"/>
      <c r="J1621" s="113"/>
      <c r="K1621" s="80"/>
      <c r="L1621" s="379"/>
      <c r="M1621" s="113"/>
      <c r="N1621" s="113"/>
      <c r="O1621" s="426" t="e">
        <f t="shared" si="201"/>
        <v>#DIV/0!</v>
      </c>
      <c r="P1621" s="80"/>
      <c r="Q1621" s="80"/>
      <c r="R1621" s="350"/>
    </row>
    <row r="1622" spans="1:18" s="105" customFormat="1" ht="36" hidden="1">
      <c r="A1622" s="159">
        <v>4700</v>
      </c>
      <c r="B1622" s="326" t="s">
        <v>284</v>
      </c>
      <c r="C1622" s="79"/>
      <c r="D1622" s="65">
        <f t="shared" si="202"/>
        <v>0</v>
      </c>
      <c r="E1622" s="80">
        <f t="shared" si="205"/>
        <v>0</v>
      </c>
      <c r="F1622" s="452" t="e">
        <f t="shared" si="206"/>
        <v>#DIV/0!</v>
      </c>
      <c r="G1622" s="80"/>
      <c r="H1622" s="113"/>
      <c r="I1622" s="356"/>
      <c r="J1622" s="113"/>
      <c r="K1622" s="80"/>
      <c r="L1622" s="379"/>
      <c r="M1622" s="113"/>
      <c r="N1622" s="113"/>
      <c r="O1622" s="426" t="e">
        <f t="shared" si="201"/>
        <v>#DIV/0!</v>
      </c>
      <c r="P1622" s="80"/>
      <c r="Q1622" s="80"/>
      <c r="R1622" s="350"/>
    </row>
    <row r="1623" spans="1:18" s="130" customFormat="1" ht="24">
      <c r="A1623" s="137">
        <v>85407</v>
      </c>
      <c r="B1623" s="284" t="s">
        <v>104</v>
      </c>
      <c r="C1623" s="85">
        <f>SUM(C1624:C1646)</f>
        <v>1687000</v>
      </c>
      <c r="D1623" s="86">
        <f t="shared" si="202"/>
        <v>1691550</v>
      </c>
      <c r="E1623" s="86">
        <f>H1623+K1623+Q1623+N1623</f>
        <v>879164</v>
      </c>
      <c r="F1623" s="451">
        <f t="shared" si="206"/>
        <v>51.973870119121514</v>
      </c>
      <c r="G1623" s="86"/>
      <c r="H1623" s="86"/>
      <c r="I1623" s="369"/>
      <c r="J1623" s="158"/>
      <c r="K1623" s="86"/>
      <c r="L1623" s="406"/>
      <c r="M1623" s="158">
        <f>SUM(M1624:M1646)</f>
        <v>1691550</v>
      </c>
      <c r="N1623" s="158">
        <f>SUM(N1624:N1646)</f>
        <v>879164</v>
      </c>
      <c r="O1623" s="432">
        <f t="shared" si="201"/>
        <v>51.973870119121514</v>
      </c>
      <c r="P1623" s="86"/>
      <c r="Q1623" s="86"/>
      <c r="R1623" s="358"/>
    </row>
    <row r="1624" spans="1:18" s="105" customFormat="1" ht="36">
      <c r="A1624" s="111">
        <v>3020</v>
      </c>
      <c r="B1624" s="262" t="s">
        <v>259</v>
      </c>
      <c r="C1624" s="79">
        <v>6700</v>
      </c>
      <c r="D1624" s="65">
        <f t="shared" si="202"/>
        <v>6700</v>
      </c>
      <c r="E1624" s="80">
        <f aca="true" t="shared" si="207" ref="E1624:E1646">SUM(H1624+K1624+N1624+Q1624)</f>
        <v>397</v>
      </c>
      <c r="F1624" s="452">
        <f t="shared" si="206"/>
        <v>5.925373134328358</v>
      </c>
      <c r="G1624" s="80"/>
      <c r="H1624" s="113"/>
      <c r="I1624" s="356"/>
      <c r="J1624" s="113"/>
      <c r="K1624" s="80"/>
      <c r="L1624" s="379"/>
      <c r="M1624" s="79">
        <v>6700</v>
      </c>
      <c r="N1624" s="65">
        <v>397</v>
      </c>
      <c r="O1624" s="426">
        <f t="shared" si="201"/>
        <v>5.925373134328358</v>
      </c>
      <c r="P1624" s="80"/>
      <c r="Q1624" s="80"/>
      <c r="R1624" s="350"/>
    </row>
    <row r="1625" spans="1:18" s="105" customFormat="1" ht="24">
      <c r="A1625" s="111">
        <v>4010</v>
      </c>
      <c r="B1625" s="115" t="s">
        <v>471</v>
      </c>
      <c r="C1625" s="79">
        <v>1082400</v>
      </c>
      <c r="D1625" s="65">
        <f t="shared" si="202"/>
        <v>1082400</v>
      </c>
      <c r="E1625" s="80">
        <f t="shared" si="207"/>
        <v>551922</v>
      </c>
      <c r="F1625" s="452">
        <f t="shared" si="206"/>
        <v>50.99057649667406</v>
      </c>
      <c r="G1625" s="80"/>
      <c r="H1625" s="113"/>
      <c r="I1625" s="356"/>
      <c r="J1625" s="113"/>
      <c r="K1625" s="80"/>
      <c r="L1625" s="379"/>
      <c r="M1625" s="79">
        <v>1082400</v>
      </c>
      <c r="N1625" s="80">
        <v>551922</v>
      </c>
      <c r="O1625" s="426">
        <f t="shared" si="201"/>
        <v>50.99057649667406</v>
      </c>
      <c r="P1625" s="80"/>
      <c r="Q1625" s="80"/>
      <c r="R1625" s="350"/>
    </row>
    <row r="1626" spans="1:18" s="105" customFormat="1" ht="24">
      <c r="A1626" s="111">
        <v>4040</v>
      </c>
      <c r="B1626" s="115" t="s">
        <v>475</v>
      </c>
      <c r="C1626" s="79">
        <v>82600</v>
      </c>
      <c r="D1626" s="65">
        <f t="shared" si="202"/>
        <v>81650</v>
      </c>
      <c r="E1626" s="80">
        <f t="shared" si="207"/>
        <v>81642</v>
      </c>
      <c r="F1626" s="452">
        <f t="shared" si="206"/>
        <v>99.99020208205756</v>
      </c>
      <c r="G1626" s="222"/>
      <c r="H1626" s="113"/>
      <c r="I1626" s="356"/>
      <c r="J1626" s="113"/>
      <c r="K1626" s="80"/>
      <c r="L1626" s="379"/>
      <c r="M1626" s="79">
        <f>82600-950</f>
        <v>81650</v>
      </c>
      <c r="N1626" s="80">
        <v>81642</v>
      </c>
      <c r="O1626" s="426">
        <f t="shared" si="201"/>
        <v>99.99020208205756</v>
      </c>
      <c r="P1626" s="80"/>
      <c r="Q1626" s="80"/>
      <c r="R1626" s="350"/>
    </row>
    <row r="1627" spans="1:18" s="105" customFormat="1" ht="24">
      <c r="A1627" s="111">
        <v>4110</v>
      </c>
      <c r="B1627" s="115" t="s">
        <v>477</v>
      </c>
      <c r="C1627" s="79">
        <v>181300</v>
      </c>
      <c r="D1627" s="65">
        <f t="shared" si="202"/>
        <v>181300</v>
      </c>
      <c r="E1627" s="80">
        <f t="shared" si="207"/>
        <v>93452</v>
      </c>
      <c r="F1627" s="452">
        <f t="shared" si="206"/>
        <v>51.54550468836183</v>
      </c>
      <c r="G1627" s="80"/>
      <c r="H1627" s="113"/>
      <c r="I1627" s="356"/>
      <c r="J1627" s="113"/>
      <c r="K1627" s="80"/>
      <c r="L1627" s="379"/>
      <c r="M1627" s="79">
        <v>181300</v>
      </c>
      <c r="N1627" s="80">
        <v>93452</v>
      </c>
      <c r="O1627" s="426">
        <f t="shared" si="201"/>
        <v>51.54550468836183</v>
      </c>
      <c r="P1627" s="79"/>
      <c r="Q1627" s="80"/>
      <c r="R1627" s="350"/>
    </row>
    <row r="1628" spans="1:18" s="105" customFormat="1" ht="12.75">
      <c r="A1628" s="111">
        <v>4120</v>
      </c>
      <c r="B1628" s="115" t="s">
        <v>547</v>
      </c>
      <c r="C1628" s="79">
        <v>28500</v>
      </c>
      <c r="D1628" s="65">
        <f t="shared" si="202"/>
        <v>28500</v>
      </c>
      <c r="E1628" s="80">
        <f t="shared" si="207"/>
        <v>14745</v>
      </c>
      <c r="F1628" s="452">
        <f t="shared" si="206"/>
        <v>51.73684210526316</v>
      </c>
      <c r="G1628" s="80"/>
      <c r="H1628" s="113"/>
      <c r="I1628" s="356"/>
      <c r="J1628" s="113"/>
      <c r="K1628" s="80"/>
      <c r="L1628" s="379"/>
      <c r="M1628" s="79">
        <v>28500</v>
      </c>
      <c r="N1628" s="80">
        <v>14745</v>
      </c>
      <c r="O1628" s="426">
        <f t="shared" si="201"/>
        <v>51.73684210526316</v>
      </c>
      <c r="P1628" s="80"/>
      <c r="Q1628" s="80"/>
      <c r="R1628" s="350"/>
    </row>
    <row r="1629" spans="1:18" s="105" customFormat="1" ht="12.75">
      <c r="A1629" s="111">
        <v>4140</v>
      </c>
      <c r="B1629" s="262" t="s">
        <v>519</v>
      </c>
      <c r="C1629" s="79">
        <v>21600</v>
      </c>
      <c r="D1629" s="65">
        <f t="shared" si="202"/>
        <v>21600</v>
      </c>
      <c r="E1629" s="80">
        <f t="shared" si="207"/>
        <v>8282</v>
      </c>
      <c r="F1629" s="452">
        <f t="shared" si="206"/>
        <v>38.342592592592595</v>
      </c>
      <c r="G1629" s="80"/>
      <c r="H1629" s="113"/>
      <c r="I1629" s="356"/>
      <c r="J1629" s="113"/>
      <c r="K1629" s="80"/>
      <c r="L1629" s="379"/>
      <c r="M1629" s="79">
        <v>21600</v>
      </c>
      <c r="N1629" s="80">
        <v>8282</v>
      </c>
      <c r="O1629" s="426">
        <f t="shared" si="201"/>
        <v>38.342592592592595</v>
      </c>
      <c r="P1629" s="80"/>
      <c r="Q1629" s="80"/>
      <c r="R1629" s="350"/>
    </row>
    <row r="1630" spans="1:18" s="105" customFormat="1" ht="24" hidden="1">
      <c r="A1630" s="111">
        <v>4170</v>
      </c>
      <c r="B1630" s="115" t="s">
        <v>511</v>
      </c>
      <c r="C1630" s="79"/>
      <c r="D1630" s="65">
        <f t="shared" si="202"/>
        <v>0</v>
      </c>
      <c r="E1630" s="80">
        <f t="shared" si="207"/>
        <v>0</v>
      </c>
      <c r="F1630" s="452" t="e">
        <f t="shared" si="206"/>
        <v>#DIV/0!</v>
      </c>
      <c r="G1630" s="80"/>
      <c r="H1630" s="113"/>
      <c r="I1630" s="356"/>
      <c r="J1630" s="113"/>
      <c r="K1630" s="80"/>
      <c r="L1630" s="379"/>
      <c r="M1630" s="79"/>
      <c r="N1630" s="80"/>
      <c r="O1630" s="426" t="e">
        <f t="shared" si="201"/>
        <v>#DIV/0!</v>
      </c>
      <c r="P1630" s="80"/>
      <c r="Q1630" s="80"/>
      <c r="R1630" s="350"/>
    </row>
    <row r="1631" spans="1:18" s="105" customFormat="1" ht="24">
      <c r="A1631" s="111">
        <v>4210</v>
      </c>
      <c r="B1631" s="115" t="s">
        <v>481</v>
      </c>
      <c r="C1631" s="79">
        <v>25000</v>
      </c>
      <c r="D1631" s="65">
        <f t="shared" si="202"/>
        <v>27000</v>
      </c>
      <c r="E1631" s="80">
        <f t="shared" si="207"/>
        <v>10548</v>
      </c>
      <c r="F1631" s="452">
        <f t="shared" si="206"/>
        <v>39.06666666666666</v>
      </c>
      <c r="G1631" s="80"/>
      <c r="H1631" s="113"/>
      <c r="I1631" s="356"/>
      <c r="J1631" s="113"/>
      <c r="K1631" s="80"/>
      <c r="L1631" s="379"/>
      <c r="M1631" s="79">
        <f>25000+2000</f>
        <v>27000</v>
      </c>
      <c r="N1631" s="80">
        <v>10548</v>
      </c>
      <c r="O1631" s="426">
        <f t="shared" si="201"/>
        <v>39.06666666666666</v>
      </c>
      <c r="P1631" s="80"/>
      <c r="Q1631" s="80"/>
      <c r="R1631" s="350"/>
    </row>
    <row r="1632" spans="1:18" s="105" customFormat="1" ht="25.5" customHeight="1">
      <c r="A1632" s="111">
        <v>4240</v>
      </c>
      <c r="B1632" s="115" t="s">
        <v>539</v>
      </c>
      <c r="C1632" s="79">
        <v>9000</v>
      </c>
      <c r="D1632" s="65">
        <f t="shared" si="202"/>
        <v>9000</v>
      </c>
      <c r="E1632" s="80">
        <f t="shared" si="207"/>
        <v>2990</v>
      </c>
      <c r="F1632" s="452">
        <f t="shared" si="206"/>
        <v>33.22222222222222</v>
      </c>
      <c r="G1632" s="80"/>
      <c r="H1632" s="113"/>
      <c r="I1632" s="356"/>
      <c r="J1632" s="113"/>
      <c r="K1632" s="80"/>
      <c r="L1632" s="379"/>
      <c r="M1632" s="79">
        <v>9000</v>
      </c>
      <c r="N1632" s="80">
        <v>2990</v>
      </c>
      <c r="O1632" s="426">
        <f t="shared" si="201"/>
        <v>33.22222222222222</v>
      </c>
      <c r="P1632" s="80"/>
      <c r="Q1632" s="80"/>
      <c r="R1632" s="350"/>
    </row>
    <row r="1633" spans="1:18" s="105" customFormat="1" ht="12.75">
      <c r="A1633" s="111">
        <v>4260</v>
      </c>
      <c r="B1633" s="115" t="s">
        <v>485</v>
      </c>
      <c r="C1633" s="79">
        <v>62900</v>
      </c>
      <c r="D1633" s="65">
        <f t="shared" si="202"/>
        <v>62900</v>
      </c>
      <c r="E1633" s="80">
        <f t="shared" si="207"/>
        <v>39502</v>
      </c>
      <c r="F1633" s="452">
        <f t="shared" si="206"/>
        <v>62.80127186009538</v>
      </c>
      <c r="G1633" s="80"/>
      <c r="H1633" s="113"/>
      <c r="I1633" s="356"/>
      <c r="J1633" s="113"/>
      <c r="K1633" s="80"/>
      <c r="L1633" s="379"/>
      <c r="M1633" s="79">
        <v>62900</v>
      </c>
      <c r="N1633" s="80">
        <v>39502</v>
      </c>
      <c r="O1633" s="426">
        <f t="shared" si="201"/>
        <v>62.80127186009538</v>
      </c>
      <c r="P1633" s="80"/>
      <c r="Q1633" s="80"/>
      <c r="R1633" s="350"/>
    </row>
    <row r="1634" spans="1:18" s="105" customFormat="1" ht="15.75" customHeight="1">
      <c r="A1634" s="111">
        <v>4270</v>
      </c>
      <c r="B1634" s="115" t="s">
        <v>487</v>
      </c>
      <c r="C1634" s="79">
        <v>4000</v>
      </c>
      <c r="D1634" s="65">
        <f>G1634+J1634+P1634+M1634</f>
        <v>4000</v>
      </c>
      <c r="E1634" s="80">
        <f>SUM(H1634+K1634+N1634+Q1634)</f>
        <v>1573</v>
      </c>
      <c r="F1634" s="452">
        <f>E1634/D1634*100</f>
        <v>39.324999999999996</v>
      </c>
      <c r="G1634" s="80"/>
      <c r="H1634" s="113"/>
      <c r="I1634" s="356"/>
      <c r="J1634" s="113"/>
      <c r="K1634" s="80"/>
      <c r="L1634" s="379"/>
      <c r="M1634" s="79">
        <v>4000</v>
      </c>
      <c r="N1634" s="80">
        <v>1573</v>
      </c>
      <c r="O1634" s="426">
        <f t="shared" si="201"/>
        <v>39.324999999999996</v>
      </c>
      <c r="P1634" s="80"/>
      <c r="Q1634" s="80"/>
      <c r="R1634" s="350"/>
    </row>
    <row r="1635" spans="1:18" s="105" customFormat="1" ht="16.5" customHeight="1">
      <c r="A1635" s="111">
        <v>4280</v>
      </c>
      <c r="B1635" s="115" t="s">
        <v>520</v>
      </c>
      <c r="C1635" s="79">
        <v>1200</v>
      </c>
      <c r="D1635" s="65">
        <f t="shared" si="202"/>
        <v>1200</v>
      </c>
      <c r="E1635" s="80">
        <f t="shared" si="207"/>
        <v>203</v>
      </c>
      <c r="F1635" s="452">
        <f t="shared" si="206"/>
        <v>16.916666666666664</v>
      </c>
      <c r="G1635" s="80"/>
      <c r="H1635" s="113"/>
      <c r="I1635" s="356"/>
      <c r="J1635" s="113"/>
      <c r="K1635" s="80"/>
      <c r="L1635" s="379"/>
      <c r="M1635" s="79">
        <v>1200</v>
      </c>
      <c r="N1635" s="80">
        <v>203</v>
      </c>
      <c r="O1635" s="426">
        <f t="shared" si="201"/>
        <v>16.916666666666664</v>
      </c>
      <c r="P1635" s="80"/>
      <c r="Q1635" s="80"/>
      <c r="R1635" s="350"/>
    </row>
    <row r="1636" spans="1:18" s="105" customFormat="1" ht="18.75" customHeight="1">
      <c r="A1636" s="145">
        <v>4300</v>
      </c>
      <c r="B1636" s="146" t="s">
        <v>489</v>
      </c>
      <c r="C1636" s="147">
        <v>15000</v>
      </c>
      <c r="D1636" s="148">
        <f t="shared" si="202"/>
        <v>15000</v>
      </c>
      <c r="E1636" s="142">
        <f t="shared" si="207"/>
        <v>5736</v>
      </c>
      <c r="F1636" s="453">
        <f t="shared" si="206"/>
        <v>38.24</v>
      </c>
      <c r="G1636" s="142"/>
      <c r="H1636" s="149"/>
      <c r="I1636" s="375"/>
      <c r="J1636" s="149"/>
      <c r="K1636" s="142"/>
      <c r="L1636" s="404"/>
      <c r="M1636" s="147">
        <v>15000</v>
      </c>
      <c r="N1636" s="142">
        <v>5736</v>
      </c>
      <c r="O1636" s="446">
        <f t="shared" si="201"/>
        <v>38.24</v>
      </c>
      <c r="P1636" s="142"/>
      <c r="Q1636" s="142"/>
      <c r="R1636" s="354"/>
    </row>
    <row r="1637" spans="1:18" s="105" customFormat="1" ht="24">
      <c r="A1637" s="111">
        <v>4350</v>
      </c>
      <c r="B1637" s="115" t="s">
        <v>7</v>
      </c>
      <c r="C1637" s="79">
        <v>2700</v>
      </c>
      <c r="D1637" s="65">
        <f t="shared" si="202"/>
        <v>2700</v>
      </c>
      <c r="E1637" s="80">
        <f t="shared" si="207"/>
        <v>1155</v>
      </c>
      <c r="F1637" s="452">
        <f t="shared" si="206"/>
        <v>42.77777777777778</v>
      </c>
      <c r="G1637" s="80"/>
      <c r="H1637" s="113"/>
      <c r="I1637" s="356"/>
      <c r="J1637" s="113"/>
      <c r="K1637" s="80"/>
      <c r="L1637" s="379"/>
      <c r="M1637" s="79">
        <v>2700</v>
      </c>
      <c r="N1637" s="80">
        <f>1156-1</f>
        <v>1155</v>
      </c>
      <c r="O1637" s="426">
        <f t="shared" si="201"/>
        <v>42.77777777777778</v>
      </c>
      <c r="P1637" s="80"/>
      <c r="Q1637" s="80"/>
      <c r="R1637" s="350"/>
    </row>
    <row r="1638" spans="1:18" s="105" customFormat="1" ht="39" customHeight="1">
      <c r="A1638" s="159">
        <v>4370</v>
      </c>
      <c r="B1638" s="326" t="s">
        <v>296</v>
      </c>
      <c r="C1638" s="79">
        <v>8400</v>
      </c>
      <c r="D1638" s="65">
        <f>G1638+J1638+P1638+M1638</f>
        <v>8400</v>
      </c>
      <c r="E1638" s="80">
        <f>SUM(H1638+K1638+N1638+Q1638)</f>
        <v>4129</v>
      </c>
      <c r="F1638" s="452">
        <f>E1638/D1638*100</f>
        <v>49.154761904761905</v>
      </c>
      <c r="G1638" s="80"/>
      <c r="H1638" s="113"/>
      <c r="I1638" s="356"/>
      <c r="J1638" s="113"/>
      <c r="K1638" s="80"/>
      <c r="L1638" s="379"/>
      <c r="M1638" s="79">
        <v>8400</v>
      </c>
      <c r="N1638" s="80">
        <v>4129</v>
      </c>
      <c r="O1638" s="426">
        <f t="shared" si="201"/>
        <v>49.154761904761905</v>
      </c>
      <c r="P1638" s="80"/>
      <c r="Q1638" s="80"/>
      <c r="R1638" s="350"/>
    </row>
    <row r="1639" spans="1:18" s="105" customFormat="1" ht="36">
      <c r="A1639" s="111">
        <v>4390</v>
      </c>
      <c r="B1639" s="193" t="s">
        <v>271</v>
      </c>
      <c r="C1639" s="79">
        <v>3000</v>
      </c>
      <c r="D1639" s="65">
        <f>G1639+J1639+P1639+M1639</f>
        <v>3000</v>
      </c>
      <c r="E1639" s="80">
        <f>SUM(H1639+K1639+N1639+Q1639)</f>
        <v>350</v>
      </c>
      <c r="F1639" s="452">
        <f>E1639/D1639*100</f>
        <v>11.666666666666666</v>
      </c>
      <c r="G1639" s="80"/>
      <c r="H1639" s="113"/>
      <c r="I1639" s="356"/>
      <c r="J1639" s="113"/>
      <c r="K1639" s="80"/>
      <c r="L1639" s="379"/>
      <c r="M1639" s="79">
        <v>3000</v>
      </c>
      <c r="N1639" s="80">
        <v>350</v>
      </c>
      <c r="O1639" s="426">
        <f t="shared" si="201"/>
        <v>11.666666666666666</v>
      </c>
      <c r="P1639" s="80"/>
      <c r="Q1639" s="80"/>
      <c r="R1639" s="350"/>
    </row>
    <row r="1640" spans="1:18" s="105" customFormat="1" ht="15.75" customHeight="1">
      <c r="A1640" s="111">
        <v>4410</v>
      </c>
      <c r="B1640" s="115" t="s">
        <v>463</v>
      </c>
      <c r="C1640" s="79">
        <v>4000</v>
      </c>
      <c r="D1640" s="65">
        <f t="shared" si="202"/>
        <v>3700</v>
      </c>
      <c r="E1640" s="80">
        <f t="shared" si="207"/>
        <v>2660</v>
      </c>
      <c r="F1640" s="452">
        <f t="shared" si="206"/>
        <v>71.89189189189189</v>
      </c>
      <c r="G1640" s="80"/>
      <c r="H1640" s="113"/>
      <c r="I1640" s="356"/>
      <c r="J1640" s="113"/>
      <c r="K1640" s="80"/>
      <c r="L1640" s="379"/>
      <c r="M1640" s="79">
        <f>4000-300</f>
        <v>3700</v>
      </c>
      <c r="N1640" s="80">
        <v>2660</v>
      </c>
      <c r="O1640" s="426">
        <f t="shared" si="201"/>
        <v>71.89189189189189</v>
      </c>
      <c r="P1640" s="80"/>
      <c r="Q1640" s="80"/>
      <c r="R1640" s="350"/>
    </row>
    <row r="1641" spans="1:18" s="105" customFormat="1" ht="24">
      <c r="A1641" s="111">
        <v>4420</v>
      </c>
      <c r="B1641" s="115" t="s">
        <v>532</v>
      </c>
      <c r="C1641" s="79">
        <v>500</v>
      </c>
      <c r="D1641" s="65">
        <f>G1641+J1641+P1641+M1641</f>
        <v>800</v>
      </c>
      <c r="E1641" s="80">
        <f>SUM(H1641+K1641+N1641+Q1641)</f>
        <v>595</v>
      </c>
      <c r="F1641" s="452">
        <f>E1641/D1641*100</f>
        <v>74.375</v>
      </c>
      <c r="G1641" s="80"/>
      <c r="H1641" s="113"/>
      <c r="I1641" s="356"/>
      <c r="J1641" s="113"/>
      <c r="K1641" s="80"/>
      <c r="L1641" s="379"/>
      <c r="M1641" s="79">
        <f>500+300</f>
        <v>800</v>
      </c>
      <c r="N1641" s="80">
        <v>595</v>
      </c>
      <c r="O1641" s="426">
        <f aca="true" t="shared" si="208" ref="O1641:O1670">N1641/M1641*100</f>
        <v>74.375</v>
      </c>
      <c r="P1641" s="80"/>
      <c r="Q1641" s="80"/>
      <c r="R1641" s="350"/>
    </row>
    <row r="1642" spans="1:18" s="105" customFormat="1" ht="12.75">
      <c r="A1642" s="111">
        <v>4440</v>
      </c>
      <c r="B1642" s="115" t="s">
        <v>493</v>
      </c>
      <c r="C1642" s="79">
        <v>71900</v>
      </c>
      <c r="D1642" s="65">
        <f>G1642+J1642+P1642+M1642</f>
        <v>74600</v>
      </c>
      <c r="E1642" s="80">
        <f>SUM(H1642+K1642+N1642+Q1642)</f>
        <v>55950</v>
      </c>
      <c r="F1642" s="452">
        <f>E1642/D1642*100</f>
        <v>75</v>
      </c>
      <c r="G1642" s="80"/>
      <c r="H1642" s="113"/>
      <c r="I1642" s="356"/>
      <c r="J1642" s="113"/>
      <c r="K1642" s="80"/>
      <c r="L1642" s="379"/>
      <c r="M1642" s="79">
        <f>71900+2700</f>
        <v>74600</v>
      </c>
      <c r="N1642" s="80">
        <v>55950</v>
      </c>
      <c r="O1642" s="426">
        <f t="shared" si="208"/>
        <v>75</v>
      </c>
      <c r="P1642" s="80"/>
      <c r="Q1642" s="80"/>
      <c r="R1642" s="350"/>
    </row>
    <row r="1643" spans="1:18" s="105" customFormat="1" ht="36">
      <c r="A1643" s="159">
        <v>4700</v>
      </c>
      <c r="B1643" s="326" t="s">
        <v>284</v>
      </c>
      <c r="C1643" s="79">
        <v>2500</v>
      </c>
      <c r="D1643" s="65">
        <f t="shared" si="202"/>
        <v>3300</v>
      </c>
      <c r="E1643" s="80">
        <f t="shared" si="207"/>
        <v>1131</v>
      </c>
      <c r="F1643" s="452">
        <f t="shared" si="206"/>
        <v>34.27272727272727</v>
      </c>
      <c r="G1643" s="80"/>
      <c r="H1643" s="113"/>
      <c r="I1643" s="356"/>
      <c r="J1643" s="113"/>
      <c r="K1643" s="80"/>
      <c r="L1643" s="379"/>
      <c r="M1643" s="79">
        <f>2500+800</f>
        <v>3300</v>
      </c>
      <c r="N1643" s="80">
        <v>1131</v>
      </c>
      <c r="O1643" s="426">
        <f t="shared" si="208"/>
        <v>34.27272727272727</v>
      </c>
      <c r="P1643" s="80"/>
      <c r="Q1643" s="80"/>
      <c r="R1643" s="350"/>
    </row>
    <row r="1644" spans="1:18" s="105" customFormat="1" ht="51" customHeight="1">
      <c r="A1644" s="159">
        <v>4740</v>
      </c>
      <c r="B1644" s="326" t="s">
        <v>288</v>
      </c>
      <c r="C1644" s="113">
        <v>800</v>
      </c>
      <c r="D1644" s="65">
        <f t="shared" si="202"/>
        <v>800</v>
      </c>
      <c r="E1644" s="80">
        <f t="shared" si="207"/>
        <v>272</v>
      </c>
      <c r="F1644" s="452">
        <f t="shared" si="206"/>
        <v>34</v>
      </c>
      <c r="G1644" s="80"/>
      <c r="H1644" s="113"/>
      <c r="I1644" s="356"/>
      <c r="J1644" s="113"/>
      <c r="K1644" s="80"/>
      <c r="L1644" s="379"/>
      <c r="M1644" s="113">
        <v>800</v>
      </c>
      <c r="N1644" s="80">
        <v>272</v>
      </c>
      <c r="O1644" s="426">
        <f t="shared" si="208"/>
        <v>34</v>
      </c>
      <c r="P1644" s="80"/>
      <c r="Q1644" s="80"/>
      <c r="R1644" s="350"/>
    </row>
    <row r="1645" spans="1:18" s="105" customFormat="1" ht="36">
      <c r="A1645" s="159">
        <v>4750</v>
      </c>
      <c r="B1645" s="326" t="s">
        <v>289</v>
      </c>
      <c r="C1645" s="113">
        <v>3000</v>
      </c>
      <c r="D1645" s="65">
        <f t="shared" si="202"/>
        <v>3000</v>
      </c>
      <c r="E1645" s="80">
        <f t="shared" si="207"/>
        <v>1930</v>
      </c>
      <c r="F1645" s="452">
        <f t="shared" si="206"/>
        <v>64.33333333333333</v>
      </c>
      <c r="G1645" s="80"/>
      <c r="H1645" s="113"/>
      <c r="I1645" s="356"/>
      <c r="J1645" s="113"/>
      <c r="K1645" s="80"/>
      <c r="L1645" s="379"/>
      <c r="M1645" s="113">
        <v>3000</v>
      </c>
      <c r="N1645" s="80">
        <v>1930</v>
      </c>
      <c r="O1645" s="426">
        <f t="shared" si="208"/>
        <v>64.33333333333333</v>
      </c>
      <c r="P1645" s="80"/>
      <c r="Q1645" s="80"/>
      <c r="R1645" s="350"/>
    </row>
    <row r="1646" spans="1:18" s="105" customFormat="1" ht="24">
      <c r="A1646" s="111">
        <v>6050</v>
      </c>
      <c r="B1646" s="262" t="s">
        <v>549</v>
      </c>
      <c r="C1646" s="113">
        <v>70000</v>
      </c>
      <c r="D1646" s="65">
        <f t="shared" si="202"/>
        <v>70000</v>
      </c>
      <c r="E1646" s="80">
        <f t="shared" si="207"/>
        <v>0</v>
      </c>
      <c r="F1646" s="452">
        <f t="shared" si="206"/>
        <v>0</v>
      </c>
      <c r="G1646" s="80"/>
      <c r="H1646" s="113"/>
      <c r="I1646" s="356"/>
      <c r="J1646" s="113"/>
      <c r="K1646" s="80"/>
      <c r="L1646" s="379"/>
      <c r="M1646" s="113">
        <v>70000</v>
      </c>
      <c r="N1646" s="80"/>
      <c r="O1646" s="426">
        <f t="shared" si="208"/>
        <v>0</v>
      </c>
      <c r="P1646" s="80"/>
      <c r="Q1646" s="80"/>
      <c r="R1646" s="350"/>
    </row>
    <row r="1647" spans="1:18" s="105" customFormat="1" ht="24">
      <c r="A1647" s="106">
        <v>85410</v>
      </c>
      <c r="B1647" s="261" t="s">
        <v>105</v>
      </c>
      <c r="C1647" s="108">
        <f>SUM(C1648:C1670)</f>
        <v>5373000</v>
      </c>
      <c r="D1647" s="86">
        <f t="shared" si="202"/>
        <v>2603588</v>
      </c>
      <c r="E1647" s="75">
        <f>H1647+K1647+Q1647+N1647</f>
        <v>1257916</v>
      </c>
      <c r="F1647" s="451">
        <f t="shared" si="206"/>
        <v>48.31471031514971</v>
      </c>
      <c r="G1647" s="136"/>
      <c r="H1647" s="135"/>
      <c r="I1647" s="369"/>
      <c r="J1647" s="135"/>
      <c r="K1647" s="136"/>
      <c r="L1647" s="395"/>
      <c r="M1647" s="75">
        <f>SUM(M1648:M1671)</f>
        <v>2603588</v>
      </c>
      <c r="N1647" s="75">
        <f>SUM(N1648:N1671)</f>
        <v>1257916</v>
      </c>
      <c r="O1647" s="432">
        <f t="shared" si="208"/>
        <v>48.31471031514971</v>
      </c>
      <c r="P1647" s="75"/>
      <c r="Q1647" s="75"/>
      <c r="R1647" s="360"/>
    </row>
    <row r="1648" spans="1:18" s="105" customFormat="1" ht="36">
      <c r="A1648" s="99">
        <v>3020</v>
      </c>
      <c r="B1648" s="262" t="s">
        <v>259</v>
      </c>
      <c r="C1648" s="81">
        <v>6700</v>
      </c>
      <c r="D1648" s="94">
        <f t="shared" si="202"/>
        <v>6700</v>
      </c>
      <c r="E1648" s="95">
        <f aca="true" t="shared" si="209" ref="E1648:E1693">SUM(H1648+K1648+N1648+Q1648)</f>
        <v>573</v>
      </c>
      <c r="F1648" s="454">
        <f t="shared" si="206"/>
        <v>8.55223880597015</v>
      </c>
      <c r="G1648" s="95"/>
      <c r="H1648" s="187"/>
      <c r="I1648" s="376"/>
      <c r="J1648" s="187"/>
      <c r="K1648" s="95"/>
      <c r="L1648" s="403"/>
      <c r="M1648" s="81">
        <v>6700</v>
      </c>
      <c r="N1648" s="95">
        <v>573</v>
      </c>
      <c r="O1648" s="448">
        <f t="shared" si="208"/>
        <v>8.55223880597015</v>
      </c>
      <c r="P1648" s="95"/>
      <c r="Q1648" s="95"/>
      <c r="R1648" s="353"/>
    </row>
    <row r="1649" spans="1:18" s="105" customFormat="1" ht="24">
      <c r="A1649" s="111">
        <v>4010</v>
      </c>
      <c r="B1649" s="262" t="s">
        <v>471</v>
      </c>
      <c r="C1649" s="79">
        <v>1436800</v>
      </c>
      <c r="D1649" s="65">
        <f aca="true" t="shared" si="210" ref="D1649:D1714">G1649+J1649+P1649+M1649</f>
        <v>1436800</v>
      </c>
      <c r="E1649" s="80">
        <f t="shared" si="209"/>
        <v>664646</v>
      </c>
      <c r="F1649" s="452">
        <f t="shared" si="206"/>
        <v>46.258769487750556</v>
      </c>
      <c r="G1649" s="80"/>
      <c r="H1649" s="113"/>
      <c r="I1649" s="356"/>
      <c r="J1649" s="113"/>
      <c r="K1649" s="80"/>
      <c r="L1649" s="379"/>
      <c r="M1649" s="79">
        <v>1436800</v>
      </c>
      <c r="N1649" s="80">
        <v>664646</v>
      </c>
      <c r="O1649" s="426">
        <f t="shared" si="208"/>
        <v>46.258769487750556</v>
      </c>
      <c r="P1649" s="80"/>
      <c r="Q1649" s="80"/>
      <c r="R1649" s="350"/>
    </row>
    <row r="1650" spans="1:18" s="105" customFormat="1" ht="24">
      <c r="A1650" s="111">
        <v>4040</v>
      </c>
      <c r="B1650" s="262" t="s">
        <v>475</v>
      </c>
      <c r="C1650" s="79">
        <v>112300</v>
      </c>
      <c r="D1650" s="65">
        <f t="shared" si="210"/>
        <v>107497</v>
      </c>
      <c r="E1650" s="80">
        <f t="shared" si="209"/>
        <v>107495</v>
      </c>
      <c r="F1650" s="452">
        <f t="shared" si="206"/>
        <v>99.99813948296232</v>
      </c>
      <c r="G1650" s="80"/>
      <c r="H1650" s="113"/>
      <c r="I1650" s="356"/>
      <c r="J1650" s="113"/>
      <c r="K1650" s="80"/>
      <c r="L1650" s="379"/>
      <c r="M1650" s="79">
        <f>112300-4803</f>
        <v>107497</v>
      </c>
      <c r="N1650" s="80">
        <v>107495</v>
      </c>
      <c r="O1650" s="426">
        <f t="shared" si="208"/>
        <v>99.99813948296232</v>
      </c>
      <c r="P1650" s="80"/>
      <c r="Q1650" s="80"/>
      <c r="R1650" s="350"/>
    </row>
    <row r="1651" spans="1:18" s="105" customFormat="1" ht="24">
      <c r="A1651" s="111">
        <v>4110</v>
      </c>
      <c r="B1651" s="262" t="s">
        <v>477</v>
      </c>
      <c r="C1651" s="79">
        <v>238400</v>
      </c>
      <c r="D1651" s="65">
        <f t="shared" si="210"/>
        <v>238400</v>
      </c>
      <c r="E1651" s="80">
        <f t="shared" si="209"/>
        <v>117541</v>
      </c>
      <c r="F1651" s="452">
        <f t="shared" si="206"/>
        <v>49.304110738255034</v>
      </c>
      <c r="G1651" s="80"/>
      <c r="H1651" s="113"/>
      <c r="I1651" s="356"/>
      <c r="J1651" s="113"/>
      <c r="K1651" s="80"/>
      <c r="L1651" s="379"/>
      <c r="M1651" s="79">
        <v>238400</v>
      </c>
      <c r="N1651" s="80">
        <v>117541</v>
      </c>
      <c r="O1651" s="426">
        <f t="shared" si="208"/>
        <v>49.304110738255034</v>
      </c>
      <c r="P1651" s="80"/>
      <c r="Q1651" s="80"/>
      <c r="R1651" s="350"/>
    </row>
    <row r="1652" spans="1:18" s="105" customFormat="1" ht="12.75">
      <c r="A1652" s="111">
        <v>4120</v>
      </c>
      <c r="B1652" s="262" t="s">
        <v>547</v>
      </c>
      <c r="C1652" s="79">
        <v>37800</v>
      </c>
      <c r="D1652" s="65">
        <f t="shared" si="210"/>
        <v>37800</v>
      </c>
      <c r="E1652" s="80">
        <f t="shared" si="209"/>
        <v>18282</v>
      </c>
      <c r="F1652" s="452">
        <f t="shared" si="206"/>
        <v>48.36507936507937</v>
      </c>
      <c r="G1652" s="80"/>
      <c r="H1652" s="113"/>
      <c r="I1652" s="356"/>
      <c r="J1652" s="113"/>
      <c r="K1652" s="80"/>
      <c r="L1652" s="379"/>
      <c r="M1652" s="79">
        <v>37800</v>
      </c>
      <c r="N1652" s="80">
        <v>18282</v>
      </c>
      <c r="O1652" s="426">
        <f t="shared" si="208"/>
        <v>48.36507936507937</v>
      </c>
      <c r="P1652" s="80"/>
      <c r="Q1652" s="80"/>
      <c r="R1652" s="350"/>
    </row>
    <row r="1653" spans="1:18" s="105" customFormat="1" ht="12.75">
      <c r="A1653" s="111">
        <v>4140</v>
      </c>
      <c r="B1653" s="262" t="s">
        <v>519</v>
      </c>
      <c r="C1653" s="79">
        <v>13100</v>
      </c>
      <c r="D1653" s="65">
        <f t="shared" si="210"/>
        <v>13100</v>
      </c>
      <c r="E1653" s="80">
        <f t="shared" si="209"/>
        <v>5578</v>
      </c>
      <c r="F1653" s="452">
        <f t="shared" si="206"/>
        <v>42.58015267175573</v>
      </c>
      <c r="G1653" s="80"/>
      <c r="H1653" s="113"/>
      <c r="I1653" s="356"/>
      <c r="J1653" s="113"/>
      <c r="K1653" s="80"/>
      <c r="L1653" s="379"/>
      <c r="M1653" s="79">
        <v>13100</v>
      </c>
      <c r="N1653" s="80">
        <v>5578</v>
      </c>
      <c r="O1653" s="426">
        <f t="shared" si="208"/>
        <v>42.58015267175573</v>
      </c>
      <c r="P1653" s="80"/>
      <c r="Q1653" s="80"/>
      <c r="R1653" s="350"/>
    </row>
    <row r="1654" spans="1:18" s="105" customFormat="1" ht="24">
      <c r="A1654" s="145">
        <v>4170</v>
      </c>
      <c r="B1654" s="263" t="s">
        <v>511</v>
      </c>
      <c r="C1654" s="147">
        <v>30000</v>
      </c>
      <c r="D1654" s="148">
        <f t="shared" si="210"/>
        <v>30000</v>
      </c>
      <c r="E1654" s="142">
        <f t="shared" si="209"/>
        <v>2554</v>
      </c>
      <c r="F1654" s="453">
        <f t="shared" si="206"/>
        <v>8.513333333333334</v>
      </c>
      <c r="G1654" s="142"/>
      <c r="H1654" s="149"/>
      <c r="I1654" s="375"/>
      <c r="J1654" s="149"/>
      <c r="K1654" s="142"/>
      <c r="L1654" s="404"/>
      <c r="M1654" s="147">
        <v>30000</v>
      </c>
      <c r="N1654" s="142">
        <v>2554</v>
      </c>
      <c r="O1654" s="446">
        <f t="shared" si="208"/>
        <v>8.513333333333334</v>
      </c>
      <c r="P1654" s="142"/>
      <c r="Q1654" s="142"/>
      <c r="R1654" s="354"/>
    </row>
    <row r="1655" spans="1:18" s="105" customFormat="1" ht="24">
      <c r="A1655" s="111">
        <v>4210</v>
      </c>
      <c r="B1655" s="262" t="s">
        <v>481</v>
      </c>
      <c r="C1655" s="79">
        <v>69000</v>
      </c>
      <c r="D1655" s="65">
        <f t="shared" si="210"/>
        <v>69000</v>
      </c>
      <c r="E1655" s="80">
        <f t="shared" si="209"/>
        <v>19571</v>
      </c>
      <c r="F1655" s="452">
        <f t="shared" si="206"/>
        <v>28.36376811594203</v>
      </c>
      <c r="G1655" s="80"/>
      <c r="H1655" s="113"/>
      <c r="I1655" s="356"/>
      <c r="J1655" s="113"/>
      <c r="K1655" s="80"/>
      <c r="L1655" s="379"/>
      <c r="M1655" s="79">
        <v>69000</v>
      </c>
      <c r="N1655" s="80">
        <v>19571</v>
      </c>
      <c r="O1655" s="426">
        <f t="shared" si="208"/>
        <v>28.36376811594203</v>
      </c>
      <c r="P1655" s="80"/>
      <c r="Q1655" s="80"/>
      <c r="R1655" s="350"/>
    </row>
    <row r="1656" spans="1:18" s="105" customFormat="1" ht="26.25" customHeight="1">
      <c r="A1656" s="111">
        <v>4240</v>
      </c>
      <c r="B1656" s="262" t="s">
        <v>103</v>
      </c>
      <c r="C1656" s="79">
        <v>1000</v>
      </c>
      <c r="D1656" s="65">
        <f t="shared" si="210"/>
        <v>1000</v>
      </c>
      <c r="E1656" s="80">
        <f t="shared" si="209"/>
        <v>0</v>
      </c>
      <c r="F1656" s="452">
        <f>E1656/D1656*100</f>
        <v>0</v>
      </c>
      <c r="G1656" s="80"/>
      <c r="H1656" s="113"/>
      <c r="I1656" s="356"/>
      <c r="J1656" s="113"/>
      <c r="K1656" s="80"/>
      <c r="L1656" s="379"/>
      <c r="M1656" s="79">
        <v>1000</v>
      </c>
      <c r="N1656" s="80"/>
      <c r="O1656" s="426">
        <f t="shared" si="208"/>
        <v>0</v>
      </c>
      <c r="P1656" s="80"/>
      <c r="Q1656" s="80"/>
      <c r="R1656" s="350"/>
    </row>
    <row r="1657" spans="1:18" s="105" customFormat="1" ht="12.75">
      <c r="A1657" s="111">
        <v>4260</v>
      </c>
      <c r="B1657" s="262" t="s">
        <v>485</v>
      </c>
      <c r="C1657" s="79">
        <v>310000</v>
      </c>
      <c r="D1657" s="65">
        <f t="shared" si="210"/>
        <v>310000</v>
      </c>
      <c r="E1657" s="80">
        <f t="shared" si="209"/>
        <v>198915</v>
      </c>
      <c r="F1657" s="452">
        <f t="shared" si="206"/>
        <v>64.16612903225807</v>
      </c>
      <c r="G1657" s="80"/>
      <c r="H1657" s="113"/>
      <c r="I1657" s="356"/>
      <c r="J1657" s="113"/>
      <c r="K1657" s="80"/>
      <c r="L1657" s="379"/>
      <c r="M1657" s="79">
        <v>310000</v>
      </c>
      <c r="N1657" s="80">
        <v>198915</v>
      </c>
      <c r="O1657" s="426">
        <f t="shared" si="208"/>
        <v>64.16612903225807</v>
      </c>
      <c r="P1657" s="80"/>
      <c r="Q1657" s="80"/>
      <c r="R1657" s="350"/>
    </row>
    <row r="1658" spans="1:18" s="105" customFormat="1" ht="15.75" customHeight="1">
      <c r="A1658" s="111">
        <v>4270</v>
      </c>
      <c r="B1658" s="262" t="s">
        <v>487</v>
      </c>
      <c r="C1658" s="79">
        <v>18000</v>
      </c>
      <c r="D1658" s="65">
        <f t="shared" si="210"/>
        <v>18000</v>
      </c>
      <c r="E1658" s="80">
        <f t="shared" si="209"/>
        <v>7905</v>
      </c>
      <c r="F1658" s="452">
        <f t="shared" si="206"/>
        <v>43.916666666666664</v>
      </c>
      <c r="G1658" s="80"/>
      <c r="H1658" s="113"/>
      <c r="I1658" s="356"/>
      <c r="J1658" s="113"/>
      <c r="K1658" s="80"/>
      <c r="L1658" s="379"/>
      <c r="M1658" s="79">
        <v>18000</v>
      </c>
      <c r="N1658" s="80">
        <v>7905</v>
      </c>
      <c r="O1658" s="426">
        <f t="shared" si="208"/>
        <v>43.916666666666664</v>
      </c>
      <c r="P1658" s="80"/>
      <c r="Q1658" s="80"/>
      <c r="R1658" s="350"/>
    </row>
    <row r="1659" spans="1:18" s="105" customFormat="1" ht="15.75" customHeight="1">
      <c r="A1659" s="111">
        <v>4280</v>
      </c>
      <c r="B1659" s="262" t="s">
        <v>520</v>
      </c>
      <c r="C1659" s="79">
        <v>2400</v>
      </c>
      <c r="D1659" s="65">
        <f t="shared" si="210"/>
        <v>2400</v>
      </c>
      <c r="E1659" s="80">
        <f t="shared" si="209"/>
        <v>1334</v>
      </c>
      <c r="F1659" s="452">
        <f t="shared" si="206"/>
        <v>55.58333333333333</v>
      </c>
      <c r="G1659" s="80"/>
      <c r="H1659" s="113"/>
      <c r="I1659" s="356"/>
      <c r="J1659" s="113"/>
      <c r="K1659" s="80"/>
      <c r="L1659" s="379"/>
      <c r="M1659" s="79">
        <v>2400</v>
      </c>
      <c r="N1659" s="80">
        <v>1334</v>
      </c>
      <c r="O1659" s="426">
        <f t="shared" si="208"/>
        <v>55.58333333333333</v>
      </c>
      <c r="P1659" s="80"/>
      <c r="Q1659" s="80"/>
      <c r="R1659" s="350"/>
    </row>
    <row r="1660" spans="1:18" s="105" customFormat="1" ht="12.75" customHeight="1">
      <c r="A1660" s="111">
        <v>4300</v>
      </c>
      <c r="B1660" s="262" t="s">
        <v>489</v>
      </c>
      <c r="C1660" s="79">
        <v>109000</v>
      </c>
      <c r="D1660" s="65">
        <f t="shared" si="210"/>
        <v>109000</v>
      </c>
      <c r="E1660" s="80">
        <f t="shared" si="209"/>
        <v>40349</v>
      </c>
      <c r="F1660" s="452">
        <f t="shared" si="206"/>
        <v>37.01743119266055</v>
      </c>
      <c r="G1660" s="80"/>
      <c r="H1660" s="113"/>
      <c r="I1660" s="356"/>
      <c r="J1660" s="113"/>
      <c r="K1660" s="80"/>
      <c r="L1660" s="379"/>
      <c r="M1660" s="79">
        <v>109000</v>
      </c>
      <c r="N1660" s="80">
        <v>40349</v>
      </c>
      <c r="O1660" s="426">
        <f t="shared" si="208"/>
        <v>37.01743119266055</v>
      </c>
      <c r="P1660" s="80"/>
      <c r="Q1660" s="80"/>
      <c r="R1660" s="350"/>
    </row>
    <row r="1661" spans="1:18" s="105" customFormat="1" ht="24">
      <c r="A1661" s="111">
        <v>4350</v>
      </c>
      <c r="B1661" s="262" t="s">
        <v>7</v>
      </c>
      <c r="C1661" s="79">
        <v>4700</v>
      </c>
      <c r="D1661" s="65">
        <f t="shared" si="210"/>
        <v>4700</v>
      </c>
      <c r="E1661" s="80">
        <f t="shared" si="209"/>
        <v>1238</v>
      </c>
      <c r="F1661" s="452">
        <f t="shared" si="206"/>
        <v>26.340425531914896</v>
      </c>
      <c r="G1661" s="80"/>
      <c r="H1661" s="113"/>
      <c r="I1661" s="356"/>
      <c r="J1661" s="113"/>
      <c r="K1661" s="80"/>
      <c r="L1661" s="379"/>
      <c r="M1661" s="79">
        <v>4700</v>
      </c>
      <c r="N1661" s="80">
        <v>1238</v>
      </c>
      <c r="O1661" s="426">
        <f t="shared" si="208"/>
        <v>26.340425531914896</v>
      </c>
      <c r="P1661" s="80"/>
      <c r="Q1661" s="80"/>
      <c r="R1661" s="350"/>
    </row>
    <row r="1662" spans="1:18" s="105" customFormat="1" ht="39.75" customHeight="1">
      <c r="A1662" s="159">
        <v>4370</v>
      </c>
      <c r="B1662" s="326" t="s">
        <v>296</v>
      </c>
      <c r="C1662" s="79">
        <v>10000</v>
      </c>
      <c r="D1662" s="65">
        <f t="shared" si="210"/>
        <v>10000</v>
      </c>
      <c r="E1662" s="80">
        <f>SUM(H1662+K1662+N1662+Q1662)</f>
        <v>4705</v>
      </c>
      <c r="F1662" s="452">
        <f>E1662/D1662*100</f>
        <v>47.05</v>
      </c>
      <c r="G1662" s="80"/>
      <c r="H1662" s="113"/>
      <c r="I1662" s="356"/>
      <c r="J1662" s="113"/>
      <c r="K1662" s="80"/>
      <c r="L1662" s="379"/>
      <c r="M1662" s="79">
        <v>10000</v>
      </c>
      <c r="N1662" s="80">
        <v>4705</v>
      </c>
      <c r="O1662" s="426">
        <f t="shared" si="208"/>
        <v>47.05</v>
      </c>
      <c r="P1662" s="80"/>
      <c r="Q1662" s="80"/>
      <c r="R1662" s="350"/>
    </row>
    <row r="1663" spans="1:18" s="105" customFormat="1" ht="36">
      <c r="A1663" s="111">
        <v>4390</v>
      </c>
      <c r="B1663" s="193" t="s">
        <v>271</v>
      </c>
      <c r="C1663" s="79">
        <v>3000</v>
      </c>
      <c r="D1663" s="65">
        <f t="shared" si="210"/>
        <v>3000</v>
      </c>
      <c r="E1663" s="80">
        <f>SUM(H1663+K1663+N1663+Q1663)</f>
        <v>915</v>
      </c>
      <c r="F1663" s="452">
        <f>E1663/D1663*100</f>
        <v>30.5</v>
      </c>
      <c r="G1663" s="80"/>
      <c r="H1663" s="113"/>
      <c r="I1663" s="356"/>
      <c r="J1663" s="113"/>
      <c r="K1663" s="80"/>
      <c r="L1663" s="379"/>
      <c r="M1663" s="79">
        <v>3000</v>
      </c>
      <c r="N1663" s="80">
        <v>915</v>
      </c>
      <c r="O1663" s="426">
        <f t="shared" si="208"/>
        <v>30.5</v>
      </c>
      <c r="P1663" s="80"/>
      <c r="Q1663" s="80"/>
      <c r="R1663" s="350"/>
    </row>
    <row r="1664" spans="1:18" s="105" customFormat="1" ht="16.5" customHeight="1">
      <c r="A1664" s="111">
        <v>4410</v>
      </c>
      <c r="B1664" s="262" t="s">
        <v>463</v>
      </c>
      <c r="C1664" s="79">
        <v>3000</v>
      </c>
      <c r="D1664" s="65">
        <f t="shared" si="210"/>
        <v>3000</v>
      </c>
      <c r="E1664" s="80">
        <f t="shared" si="209"/>
        <v>20</v>
      </c>
      <c r="F1664" s="452">
        <f t="shared" si="206"/>
        <v>0.6666666666666667</v>
      </c>
      <c r="G1664" s="80"/>
      <c r="H1664" s="113"/>
      <c r="I1664" s="356"/>
      <c r="J1664" s="113"/>
      <c r="K1664" s="80"/>
      <c r="L1664" s="379"/>
      <c r="M1664" s="79">
        <v>3000</v>
      </c>
      <c r="N1664" s="80">
        <v>20</v>
      </c>
      <c r="O1664" s="426">
        <f t="shared" si="208"/>
        <v>0.6666666666666667</v>
      </c>
      <c r="P1664" s="80"/>
      <c r="Q1664" s="80"/>
      <c r="R1664" s="350"/>
    </row>
    <row r="1665" spans="1:18" s="105" customFormat="1" ht="16.5" customHeight="1" hidden="1">
      <c r="A1665" s="111">
        <v>4420</v>
      </c>
      <c r="B1665" s="262" t="s">
        <v>532</v>
      </c>
      <c r="C1665" s="79"/>
      <c r="D1665" s="65">
        <f>G1665+J1665+P1665+M1665</f>
        <v>0</v>
      </c>
      <c r="E1665" s="80">
        <f>SUM(H1665+K1665+N1665+Q1665)</f>
        <v>0</v>
      </c>
      <c r="F1665" s="452" t="e">
        <f>E1665/D1665*100</f>
        <v>#DIV/0!</v>
      </c>
      <c r="G1665" s="80"/>
      <c r="H1665" s="113"/>
      <c r="I1665" s="356"/>
      <c r="J1665" s="113"/>
      <c r="K1665" s="80"/>
      <c r="L1665" s="379"/>
      <c r="M1665" s="79"/>
      <c r="N1665" s="80"/>
      <c r="O1665" s="426" t="e">
        <f t="shared" si="208"/>
        <v>#DIV/0!</v>
      </c>
      <c r="P1665" s="80"/>
      <c r="Q1665" s="80"/>
      <c r="R1665" s="350"/>
    </row>
    <row r="1666" spans="1:18" s="105" customFormat="1" ht="12.75">
      <c r="A1666" s="111">
        <v>4440</v>
      </c>
      <c r="B1666" s="262" t="s">
        <v>493</v>
      </c>
      <c r="C1666" s="79">
        <v>77800</v>
      </c>
      <c r="D1666" s="65">
        <f t="shared" si="210"/>
        <v>77891</v>
      </c>
      <c r="E1666" s="80">
        <f>SUM(H1666+K1666+N1666+Q1666)</f>
        <v>62312</v>
      </c>
      <c r="F1666" s="452">
        <f>E1666/D1666*100</f>
        <v>79.99897292370107</v>
      </c>
      <c r="G1666" s="80"/>
      <c r="H1666" s="113"/>
      <c r="I1666" s="356"/>
      <c r="J1666" s="113"/>
      <c r="K1666" s="80"/>
      <c r="L1666" s="379"/>
      <c r="M1666" s="79">
        <f>77800+91</f>
        <v>77891</v>
      </c>
      <c r="N1666" s="80">
        <v>62312</v>
      </c>
      <c r="O1666" s="426">
        <f t="shared" si="208"/>
        <v>79.99897292370107</v>
      </c>
      <c r="P1666" s="80"/>
      <c r="Q1666" s="80"/>
      <c r="R1666" s="350"/>
    </row>
    <row r="1667" spans="1:18" s="105" customFormat="1" ht="36">
      <c r="A1667" s="159">
        <v>4700</v>
      </c>
      <c r="B1667" s="326" t="s">
        <v>284</v>
      </c>
      <c r="C1667" s="79">
        <v>4000</v>
      </c>
      <c r="D1667" s="65">
        <f t="shared" si="210"/>
        <v>4000</v>
      </c>
      <c r="E1667" s="80">
        <f>SUM(H1667+K1667+N1667+Q1667)</f>
        <v>1502</v>
      </c>
      <c r="F1667" s="452">
        <f>E1667/D1667*100</f>
        <v>37.55</v>
      </c>
      <c r="G1667" s="80"/>
      <c r="H1667" s="113"/>
      <c r="I1667" s="356"/>
      <c r="J1667" s="113"/>
      <c r="K1667" s="80"/>
      <c r="L1667" s="379"/>
      <c r="M1667" s="79">
        <v>4000</v>
      </c>
      <c r="N1667" s="80">
        <f>1503-1</f>
        <v>1502</v>
      </c>
      <c r="O1667" s="426">
        <f t="shared" si="208"/>
        <v>37.55</v>
      </c>
      <c r="P1667" s="80"/>
      <c r="Q1667" s="80"/>
      <c r="R1667" s="350"/>
    </row>
    <row r="1668" spans="1:18" s="105" customFormat="1" ht="51" customHeight="1">
      <c r="A1668" s="159">
        <v>4740</v>
      </c>
      <c r="B1668" s="326" t="s">
        <v>288</v>
      </c>
      <c r="C1668" s="79">
        <v>2200</v>
      </c>
      <c r="D1668" s="65">
        <f t="shared" si="210"/>
        <v>2200</v>
      </c>
      <c r="E1668" s="80">
        <f>SUM(H1668+K1668+N1668+Q1668)</f>
        <v>423</v>
      </c>
      <c r="F1668" s="452">
        <f>E1668/D1668*100</f>
        <v>19.227272727272727</v>
      </c>
      <c r="G1668" s="80"/>
      <c r="H1668" s="113"/>
      <c r="I1668" s="356"/>
      <c r="J1668" s="113"/>
      <c r="K1668" s="80"/>
      <c r="L1668" s="379"/>
      <c r="M1668" s="79">
        <v>2200</v>
      </c>
      <c r="N1668" s="80">
        <v>423</v>
      </c>
      <c r="O1668" s="426">
        <f t="shared" si="208"/>
        <v>19.227272727272727</v>
      </c>
      <c r="P1668" s="80"/>
      <c r="Q1668" s="80"/>
      <c r="R1668" s="350"/>
    </row>
    <row r="1669" spans="1:18" s="105" customFormat="1" ht="36">
      <c r="A1669" s="159">
        <v>4750</v>
      </c>
      <c r="B1669" s="326" t="s">
        <v>289</v>
      </c>
      <c r="C1669" s="79">
        <v>7000</v>
      </c>
      <c r="D1669" s="65">
        <f t="shared" si="210"/>
        <v>7000</v>
      </c>
      <c r="E1669" s="80">
        <f>SUM(H1669+K1669+N1669+Q1669)</f>
        <v>1902</v>
      </c>
      <c r="F1669" s="452">
        <f>E1669/D1669*100</f>
        <v>27.171428571428574</v>
      </c>
      <c r="G1669" s="80"/>
      <c r="H1669" s="113"/>
      <c r="I1669" s="356"/>
      <c r="J1669" s="113"/>
      <c r="K1669" s="80"/>
      <c r="L1669" s="379"/>
      <c r="M1669" s="79">
        <v>7000</v>
      </c>
      <c r="N1669" s="80">
        <v>1902</v>
      </c>
      <c r="O1669" s="426">
        <f t="shared" si="208"/>
        <v>27.171428571428574</v>
      </c>
      <c r="P1669" s="80"/>
      <c r="Q1669" s="80"/>
      <c r="R1669" s="350"/>
    </row>
    <row r="1670" spans="1:18" s="105" customFormat="1" ht="24">
      <c r="A1670" s="111">
        <v>6050</v>
      </c>
      <c r="B1670" s="262" t="s">
        <v>549</v>
      </c>
      <c r="C1670" s="79">
        <f>1110000+1654700+112100</f>
        <v>2876800</v>
      </c>
      <c r="D1670" s="65">
        <f t="shared" si="210"/>
        <v>112100</v>
      </c>
      <c r="E1670" s="80">
        <f t="shared" si="209"/>
        <v>156</v>
      </c>
      <c r="F1670" s="452">
        <f t="shared" si="206"/>
        <v>0.13916146297948262</v>
      </c>
      <c r="G1670" s="80"/>
      <c r="H1670" s="113"/>
      <c r="I1670" s="356"/>
      <c r="J1670" s="113"/>
      <c r="K1670" s="80"/>
      <c r="L1670" s="379"/>
      <c r="M1670" s="79">
        <f>1110000+1654700+112100-1110000-1654700</f>
        <v>112100</v>
      </c>
      <c r="N1670" s="80">
        <f>157-1</f>
        <v>156</v>
      </c>
      <c r="O1670" s="426">
        <f t="shared" si="208"/>
        <v>0.13916146297948262</v>
      </c>
      <c r="P1670" s="80"/>
      <c r="Q1670" s="80"/>
      <c r="R1670" s="350"/>
    </row>
    <row r="1671" spans="1:18" s="105" customFormat="1" ht="24" hidden="1">
      <c r="A1671" s="145">
        <v>4480</v>
      </c>
      <c r="B1671" s="263" t="s">
        <v>495</v>
      </c>
      <c r="C1671" s="79"/>
      <c r="D1671" s="65">
        <f t="shared" si="210"/>
        <v>0</v>
      </c>
      <c r="E1671" s="80">
        <f t="shared" si="209"/>
        <v>0</v>
      </c>
      <c r="F1671" s="452"/>
      <c r="G1671" s="142"/>
      <c r="H1671" s="149"/>
      <c r="I1671" s="375"/>
      <c r="J1671" s="149"/>
      <c r="K1671" s="142"/>
      <c r="L1671" s="404"/>
      <c r="M1671" s="79">
        <f>1296-1296</f>
        <v>0</v>
      </c>
      <c r="N1671" s="80"/>
      <c r="O1671" s="211"/>
      <c r="P1671" s="142"/>
      <c r="Q1671" s="142"/>
      <c r="R1671" s="354"/>
    </row>
    <row r="1672" spans="1:18" s="130" customFormat="1" ht="26.25" customHeight="1" hidden="1">
      <c r="A1672" s="137">
        <v>85415</v>
      </c>
      <c r="B1672" s="284" t="s">
        <v>106</v>
      </c>
      <c r="C1672" s="85"/>
      <c r="D1672" s="86">
        <f t="shared" si="210"/>
        <v>0</v>
      </c>
      <c r="E1672" s="80">
        <f t="shared" si="209"/>
        <v>0</v>
      </c>
      <c r="F1672" s="460" t="e">
        <f aca="true" t="shared" si="211" ref="F1672:F1721">E1672/D1672*100</f>
        <v>#DIV/0!</v>
      </c>
      <c r="G1672" s="86">
        <f>SUM(G1673)</f>
        <v>0</v>
      </c>
      <c r="H1672" s="86">
        <f>SUM(H1673)</f>
        <v>0</v>
      </c>
      <c r="I1672" s="301" t="e">
        <f aca="true" t="shared" si="212" ref="I1672:I1722">H1672/G1672*100</f>
        <v>#DIV/0!</v>
      </c>
      <c r="J1672" s="158"/>
      <c r="K1672" s="86"/>
      <c r="L1672" s="406"/>
      <c r="M1672" s="86">
        <f>SUM(M1673)</f>
        <v>0</v>
      </c>
      <c r="N1672" s="86">
        <f>SUM(N1673)</f>
        <v>0</v>
      </c>
      <c r="O1672" s="256" t="e">
        <f aca="true" t="shared" si="213" ref="O1672:O1693">N1672/M1672*100</f>
        <v>#DIV/0!</v>
      </c>
      <c r="P1672" s="86"/>
      <c r="Q1672" s="86"/>
      <c r="R1672" s="358"/>
    </row>
    <row r="1673" spans="1:18" s="105" customFormat="1" ht="36" hidden="1">
      <c r="A1673" s="111">
        <v>3240</v>
      </c>
      <c r="B1673" s="262" t="s">
        <v>107</v>
      </c>
      <c r="C1673" s="79"/>
      <c r="D1673" s="65">
        <f t="shared" si="210"/>
        <v>0</v>
      </c>
      <c r="E1673" s="80">
        <f t="shared" si="209"/>
        <v>0</v>
      </c>
      <c r="F1673" s="461" t="e">
        <f t="shared" si="211"/>
        <v>#DIV/0!</v>
      </c>
      <c r="G1673" s="80">
        <v>0</v>
      </c>
      <c r="H1673" s="162">
        <v>0</v>
      </c>
      <c r="I1673" s="211" t="e">
        <f t="shared" si="212"/>
        <v>#DIV/0!</v>
      </c>
      <c r="J1673" s="113"/>
      <c r="K1673" s="80"/>
      <c r="L1673" s="379"/>
      <c r="M1673" s="80">
        <v>0</v>
      </c>
      <c r="N1673" s="80">
        <v>0</v>
      </c>
      <c r="O1673" s="337" t="e">
        <f t="shared" si="213"/>
        <v>#DIV/0!</v>
      </c>
      <c r="P1673" s="80"/>
      <c r="Q1673" s="80"/>
      <c r="R1673" s="350"/>
    </row>
    <row r="1674" spans="1:18" s="105" customFormat="1" ht="24">
      <c r="A1674" s="137">
        <v>85415</v>
      </c>
      <c r="B1674" s="284" t="s">
        <v>106</v>
      </c>
      <c r="C1674" s="85">
        <f>SUM(C1677:C1684)</f>
        <v>70000</v>
      </c>
      <c r="D1674" s="86">
        <f t="shared" si="210"/>
        <v>1807445</v>
      </c>
      <c r="E1674" s="86">
        <f t="shared" si="209"/>
        <v>954751</v>
      </c>
      <c r="F1674" s="460">
        <f t="shared" si="211"/>
        <v>52.8232394346716</v>
      </c>
      <c r="G1674" s="86">
        <f>SUM(G1677:G1680)</f>
        <v>592355</v>
      </c>
      <c r="H1674" s="86">
        <f>SUM(H1677:H1680)</f>
        <v>125572</v>
      </c>
      <c r="I1674" s="301">
        <f t="shared" si="212"/>
        <v>21.198774383604427</v>
      </c>
      <c r="J1674" s="158"/>
      <c r="K1674" s="86"/>
      <c r="L1674" s="406"/>
      <c r="M1674" s="86">
        <f>SUM(M1675:M1680)+M1684</f>
        <v>1215090</v>
      </c>
      <c r="N1674" s="86">
        <f>SUM(N1675:N1680)+N1684</f>
        <v>829179</v>
      </c>
      <c r="O1674" s="432">
        <f t="shared" si="213"/>
        <v>68.24013036071402</v>
      </c>
      <c r="P1674" s="86"/>
      <c r="Q1674" s="86"/>
      <c r="R1674" s="358"/>
    </row>
    <row r="1675" spans="1:18" s="12" customFormat="1" ht="72" hidden="1">
      <c r="A1675" s="159">
        <v>2910</v>
      </c>
      <c r="B1675" s="277" t="s">
        <v>74</v>
      </c>
      <c r="C1675" s="161"/>
      <c r="D1675" s="65">
        <f t="shared" si="210"/>
        <v>0</v>
      </c>
      <c r="E1675" s="80">
        <f>SUM(H1675+K1675+N1675+Q1675)</f>
        <v>0</v>
      </c>
      <c r="F1675" s="452"/>
      <c r="G1675" s="65"/>
      <c r="H1675" s="162"/>
      <c r="I1675" s="211"/>
      <c r="J1675" s="162"/>
      <c r="K1675" s="65"/>
      <c r="L1675" s="379"/>
      <c r="M1675" s="65"/>
      <c r="N1675" s="65"/>
      <c r="O1675" s="426" t="e">
        <f t="shared" si="213"/>
        <v>#DIV/0!</v>
      </c>
      <c r="P1675" s="65"/>
      <c r="Q1675" s="65"/>
      <c r="R1675" s="350"/>
    </row>
    <row r="1676" spans="1:18" s="12" customFormat="1" ht="38.25" customHeight="1">
      <c r="A1676" s="159">
        <v>3040</v>
      </c>
      <c r="B1676" s="277" t="s">
        <v>41</v>
      </c>
      <c r="C1676" s="161"/>
      <c r="D1676" s="65">
        <f t="shared" si="210"/>
        <v>600</v>
      </c>
      <c r="E1676" s="80">
        <f>SUM(H1676+K1676+N1676+Q1676)</f>
        <v>600</v>
      </c>
      <c r="F1676" s="452"/>
      <c r="G1676" s="65"/>
      <c r="H1676" s="162"/>
      <c r="I1676" s="211"/>
      <c r="J1676" s="162"/>
      <c r="K1676" s="65"/>
      <c r="L1676" s="379"/>
      <c r="M1676" s="65">
        <v>600</v>
      </c>
      <c r="N1676" s="65">
        <v>600</v>
      </c>
      <c r="O1676" s="426">
        <f t="shared" si="213"/>
        <v>100</v>
      </c>
      <c r="P1676" s="65"/>
      <c r="Q1676" s="65"/>
      <c r="R1676" s="350"/>
    </row>
    <row r="1677" spans="1:18" s="105" customFormat="1" ht="12.75">
      <c r="A1677" s="111">
        <v>3240</v>
      </c>
      <c r="B1677" s="262" t="s">
        <v>223</v>
      </c>
      <c r="C1677" s="79">
        <v>70000</v>
      </c>
      <c r="D1677" s="65">
        <f t="shared" si="210"/>
        <v>546736</v>
      </c>
      <c r="E1677" s="80">
        <f t="shared" si="209"/>
        <v>161352</v>
      </c>
      <c r="F1677" s="452">
        <f t="shared" si="211"/>
        <v>29.511866787626932</v>
      </c>
      <c r="G1677" s="80">
        <f>20000+25091+451645-17500+15500</f>
        <v>494736</v>
      </c>
      <c r="H1677" s="162">
        <v>125252</v>
      </c>
      <c r="I1677" s="426">
        <f t="shared" si="212"/>
        <v>25.316936709679506</v>
      </c>
      <c r="J1677" s="113"/>
      <c r="K1677" s="80"/>
      <c r="L1677" s="379"/>
      <c r="M1677" s="80">
        <f>50000-34100+36100</f>
        <v>52000</v>
      </c>
      <c r="N1677" s="80">
        <v>36100</v>
      </c>
      <c r="O1677" s="426">
        <f t="shared" si="213"/>
        <v>69.42307692307692</v>
      </c>
      <c r="P1677" s="80"/>
      <c r="Q1677" s="80"/>
      <c r="R1677" s="350"/>
    </row>
    <row r="1678" spans="1:18" s="105" customFormat="1" ht="24">
      <c r="A1678" s="145">
        <v>3260</v>
      </c>
      <c r="B1678" s="263" t="s">
        <v>410</v>
      </c>
      <c r="C1678" s="147"/>
      <c r="D1678" s="148">
        <f t="shared" si="210"/>
        <v>97619</v>
      </c>
      <c r="E1678" s="142">
        <f t="shared" si="209"/>
        <v>320</v>
      </c>
      <c r="F1678" s="453">
        <f t="shared" si="211"/>
        <v>0.32780503795367705</v>
      </c>
      <c r="G1678" s="142">
        <f>476736-451645+72528</f>
        <v>97619</v>
      </c>
      <c r="H1678" s="164">
        <v>320</v>
      </c>
      <c r="I1678" s="446">
        <f t="shared" si="212"/>
        <v>0.32780503795367705</v>
      </c>
      <c r="J1678" s="149"/>
      <c r="K1678" s="142"/>
      <c r="L1678" s="404"/>
      <c r="M1678" s="142"/>
      <c r="N1678" s="142"/>
      <c r="O1678" s="259"/>
      <c r="P1678" s="142"/>
      <c r="Q1678" s="142"/>
      <c r="R1678" s="354"/>
    </row>
    <row r="1679" spans="1:18" s="105" customFormat="1" ht="36" hidden="1">
      <c r="A1679" s="111">
        <v>4240</v>
      </c>
      <c r="B1679" s="262" t="s">
        <v>103</v>
      </c>
      <c r="C1679" s="79"/>
      <c r="D1679" s="65">
        <f t="shared" si="210"/>
        <v>0</v>
      </c>
      <c r="E1679" s="80">
        <f t="shared" si="209"/>
        <v>0</v>
      </c>
      <c r="F1679" s="452" t="e">
        <f t="shared" si="211"/>
        <v>#DIV/0!</v>
      </c>
      <c r="G1679" s="80"/>
      <c r="H1679" s="162"/>
      <c r="I1679" s="426" t="e">
        <f t="shared" si="212"/>
        <v>#DIV/0!</v>
      </c>
      <c r="J1679" s="113"/>
      <c r="K1679" s="80"/>
      <c r="L1679" s="379"/>
      <c r="M1679" s="80"/>
      <c r="N1679" s="80"/>
      <c r="O1679" s="211"/>
      <c r="P1679" s="80"/>
      <c r="Q1679" s="80"/>
      <c r="R1679" s="350"/>
    </row>
    <row r="1680" spans="1:18" s="130" customFormat="1" ht="24" hidden="1">
      <c r="A1680" s="122"/>
      <c r="B1680" s="433" t="s">
        <v>446</v>
      </c>
      <c r="C1680" s="124"/>
      <c r="D1680" s="126">
        <f t="shared" si="210"/>
        <v>0</v>
      </c>
      <c r="E1680" s="126">
        <f t="shared" si="209"/>
        <v>0</v>
      </c>
      <c r="F1680" s="461" t="e">
        <f t="shared" si="211"/>
        <v>#DIV/0!</v>
      </c>
      <c r="G1680" s="126">
        <f>SUM(G1681:G1683)</f>
        <v>0</v>
      </c>
      <c r="H1680" s="127">
        <f>SUM(H1681:H1683)</f>
        <v>0</v>
      </c>
      <c r="I1680" s="426" t="e">
        <f t="shared" si="212"/>
        <v>#DIV/0!</v>
      </c>
      <c r="J1680" s="127"/>
      <c r="K1680" s="126"/>
      <c r="L1680" s="392"/>
      <c r="M1680" s="126">
        <f>SUM(M1681:M1683)</f>
        <v>0</v>
      </c>
      <c r="N1680" s="126">
        <f>SUM(N1681:N1683)</f>
        <v>0</v>
      </c>
      <c r="O1680" s="426" t="e">
        <f t="shared" si="213"/>
        <v>#DIV/0!</v>
      </c>
      <c r="P1680" s="126"/>
      <c r="Q1680" s="126"/>
      <c r="R1680" s="352"/>
    </row>
    <row r="1681" spans="1:18" s="105" customFormat="1" ht="24" hidden="1">
      <c r="A1681" s="111">
        <v>4010</v>
      </c>
      <c r="B1681" s="276" t="s">
        <v>471</v>
      </c>
      <c r="C1681" s="79"/>
      <c r="D1681" s="65">
        <f t="shared" si="210"/>
        <v>0</v>
      </c>
      <c r="E1681" s="80">
        <f t="shared" si="209"/>
        <v>0</v>
      </c>
      <c r="F1681" s="452" t="e">
        <f t="shared" si="211"/>
        <v>#DIV/0!</v>
      </c>
      <c r="G1681" s="80"/>
      <c r="H1681" s="162"/>
      <c r="I1681" s="426" t="e">
        <f t="shared" si="212"/>
        <v>#DIV/0!</v>
      </c>
      <c r="J1681" s="113"/>
      <c r="K1681" s="80"/>
      <c r="L1681" s="379"/>
      <c r="M1681" s="80"/>
      <c r="N1681" s="80"/>
      <c r="O1681" s="426" t="e">
        <f t="shared" si="213"/>
        <v>#DIV/0!</v>
      </c>
      <c r="P1681" s="80"/>
      <c r="Q1681" s="80"/>
      <c r="R1681" s="350"/>
    </row>
    <row r="1682" spans="1:18" s="105" customFormat="1" ht="24" hidden="1">
      <c r="A1682" s="111">
        <v>4110</v>
      </c>
      <c r="B1682" s="262" t="s">
        <v>477</v>
      </c>
      <c r="C1682" s="79"/>
      <c r="D1682" s="65">
        <f t="shared" si="210"/>
        <v>0</v>
      </c>
      <c r="E1682" s="80">
        <f t="shared" si="209"/>
        <v>0</v>
      </c>
      <c r="F1682" s="452" t="e">
        <f t="shared" si="211"/>
        <v>#DIV/0!</v>
      </c>
      <c r="G1682" s="80"/>
      <c r="H1682" s="162"/>
      <c r="I1682" s="426" t="e">
        <f t="shared" si="212"/>
        <v>#DIV/0!</v>
      </c>
      <c r="J1682" s="113"/>
      <c r="K1682" s="80"/>
      <c r="L1682" s="379"/>
      <c r="M1682" s="80"/>
      <c r="N1682" s="80"/>
      <c r="O1682" s="426" t="e">
        <f t="shared" si="213"/>
        <v>#DIV/0!</v>
      </c>
      <c r="P1682" s="80"/>
      <c r="Q1682" s="80"/>
      <c r="R1682" s="350"/>
    </row>
    <row r="1683" spans="1:18" s="105" customFormat="1" ht="12.75" hidden="1">
      <c r="A1683" s="111">
        <v>4120</v>
      </c>
      <c r="B1683" s="262" t="s">
        <v>547</v>
      </c>
      <c r="C1683" s="79"/>
      <c r="D1683" s="65">
        <f t="shared" si="210"/>
        <v>0</v>
      </c>
      <c r="E1683" s="80">
        <f t="shared" si="209"/>
        <v>0</v>
      </c>
      <c r="F1683" s="452" t="e">
        <f t="shared" si="211"/>
        <v>#DIV/0!</v>
      </c>
      <c r="G1683" s="80"/>
      <c r="H1683" s="162"/>
      <c r="I1683" s="426" t="e">
        <f t="shared" si="212"/>
        <v>#DIV/0!</v>
      </c>
      <c r="J1683" s="113"/>
      <c r="K1683" s="80"/>
      <c r="L1683" s="379"/>
      <c r="M1683" s="80"/>
      <c r="N1683" s="80"/>
      <c r="O1683" s="426" t="e">
        <f t="shared" si="213"/>
        <v>#DIV/0!</v>
      </c>
      <c r="P1683" s="80"/>
      <c r="Q1683" s="80"/>
      <c r="R1683" s="350"/>
    </row>
    <row r="1684" spans="1:18" s="130" customFormat="1" ht="60">
      <c r="A1684" s="122"/>
      <c r="B1684" s="328" t="s">
        <v>341</v>
      </c>
      <c r="C1684" s="124">
        <f>SUM(C1687:C1693)</f>
        <v>0</v>
      </c>
      <c r="D1684" s="126">
        <f t="shared" si="210"/>
        <v>1162490</v>
      </c>
      <c r="E1684" s="126">
        <f t="shared" si="209"/>
        <v>792479</v>
      </c>
      <c r="F1684" s="452">
        <f t="shared" si="211"/>
        <v>68.17082297482129</v>
      </c>
      <c r="G1684" s="126"/>
      <c r="H1684" s="127"/>
      <c r="I1684" s="426"/>
      <c r="J1684" s="127"/>
      <c r="K1684" s="126"/>
      <c r="L1684" s="392"/>
      <c r="M1684" s="126">
        <f>SUM(M1685:M1693)</f>
        <v>1162490</v>
      </c>
      <c r="N1684" s="126">
        <f>SUM(N1685:N1693)</f>
        <v>792479</v>
      </c>
      <c r="O1684" s="443">
        <f t="shared" si="213"/>
        <v>68.17082297482129</v>
      </c>
      <c r="P1684" s="126"/>
      <c r="Q1684" s="126"/>
      <c r="R1684" s="352"/>
    </row>
    <row r="1685" spans="1:18" s="12" customFormat="1" ht="24" hidden="1">
      <c r="A1685" s="159">
        <v>3218</v>
      </c>
      <c r="B1685" s="277" t="s">
        <v>40</v>
      </c>
      <c r="C1685" s="161"/>
      <c r="D1685" s="65">
        <f t="shared" si="210"/>
        <v>0</v>
      </c>
      <c r="E1685" s="80">
        <f>SUM(H1685+K1685+N1685+Q1685)</f>
        <v>0</v>
      </c>
      <c r="F1685" s="452" t="e">
        <f>E1685/D1685*100</f>
        <v>#DIV/0!</v>
      </c>
      <c r="G1685" s="65"/>
      <c r="H1685" s="162"/>
      <c r="I1685" s="211"/>
      <c r="J1685" s="162"/>
      <c r="K1685" s="65"/>
      <c r="L1685" s="379"/>
      <c r="M1685" s="162">
        <f>1067-1067</f>
        <v>0</v>
      </c>
      <c r="N1685" s="65"/>
      <c r="O1685" s="426"/>
      <c r="P1685" s="65"/>
      <c r="Q1685" s="65"/>
      <c r="R1685" s="350"/>
    </row>
    <row r="1686" spans="1:18" s="12" customFormat="1" ht="24" hidden="1">
      <c r="A1686" s="159">
        <v>3219</v>
      </c>
      <c r="B1686" s="277" t="s">
        <v>40</v>
      </c>
      <c r="C1686" s="161"/>
      <c r="D1686" s="65">
        <f t="shared" si="210"/>
        <v>0</v>
      </c>
      <c r="E1686" s="80">
        <f>SUM(H1686+K1686+N1686+Q1686)</f>
        <v>0</v>
      </c>
      <c r="F1686" s="452" t="e">
        <f>E1686/D1686*100</f>
        <v>#DIV/0!</v>
      </c>
      <c r="G1686" s="65"/>
      <c r="H1686" s="162"/>
      <c r="I1686" s="211"/>
      <c r="J1686" s="162"/>
      <c r="K1686" s="65"/>
      <c r="L1686" s="379"/>
      <c r="M1686" s="162"/>
      <c r="N1686" s="65"/>
      <c r="O1686" s="426"/>
      <c r="P1686" s="65"/>
      <c r="Q1686" s="65"/>
      <c r="R1686" s="350"/>
    </row>
    <row r="1687" spans="1:18" s="105" customFormat="1" ht="12.75">
      <c r="A1687" s="111">
        <v>3248</v>
      </c>
      <c r="B1687" s="262" t="s">
        <v>223</v>
      </c>
      <c r="C1687" s="79"/>
      <c r="D1687" s="65">
        <f t="shared" si="210"/>
        <v>762160</v>
      </c>
      <c r="E1687" s="80">
        <f t="shared" si="209"/>
        <v>517180</v>
      </c>
      <c r="F1687" s="452">
        <f t="shared" si="211"/>
        <v>67.85714285714286</v>
      </c>
      <c r="G1687" s="80"/>
      <c r="H1687" s="162"/>
      <c r="I1687" s="211"/>
      <c r="J1687" s="113"/>
      <c r="K1687" s="80"/>
      <c r="L1687" s="379"/>
      <c r="M1687" s="79">
        <v>762160</v>
      </c>
      <c r="N1687" s="80">
        <v>517180</v>
      </c>
      <c r="O1687" s="426">
        <f t="shared" si="213"/>
        <v>67.85714285714286</v>
      </c>
      <c r="P1687" s="80"/>
      <c r="Q1687" s="80"/>
      <c r="R1687" s="350"/>
    </row>
    <row r="1688" spans="1:18" s="105" customFormat="1" ht="12.75">
      <c r="A1688" s="111">
        <v>3249</v>
      </c>
      <c r="B1688" s="262" t="s">
        <v>223</v>
      </c>
      <c r="C1688" s="79"/>
      <c r="D1688" s="65">
        <f t="shared" si="210"/>
        <v>357840</v>
      </c>
      <c r="E1688" s="80">
        <f t="shared" si="209"/>
        <v>242820</v>
      </c>
      <c r="F1688" s="452">
        <f t="shared" si="211"/>
        <v>67.85714285714286</v>
      </c>
      <c r="G1688" s="80"/>
      <c r="H1688" s="162"/>
      <c r="I1688" s="211"/>
      <c r="J1688" s="113"/>
      <c r="K1688" s="80"/>
      <c r="L1688" s="379"/>
      <c r="M1688" s="79">
        <v>357840</v>
      </c>
      <c r="N1688" s="80">
        <v>242820</v>
      </c>
      <c r="O1688" s="426">
        <f t="shared" si="213"/>
        <v>67.85714285714286</v>
      </c>
      <c r="P1688" s="80"/>
      <c r="Q1688" s="80"/>
      <c r="R1688" s="350"/>
    </row>
    <row r="1689" spans="1:18" s="105" customFormat="1" ht="24">
      <c r="A1689" s="111">
        <v>4170</v>
      </c>
      <c r="B1689" s="262" t="s">
        <v>511</v>
      </c>
      <c r="C1689" s="79"/>
      <c r="D1689" s="65">
        <f>G1689+J1689+P1689+M1689</f>
        <v>10000</v>
      </c>
      <c r="E1689" s="80">
        <f>SUM(H1689+K1689+N1689+Q1689)</f>
        <v>0</v>
      </c>
      <c r="F1689" s="452">
        <f>E1689/D1689*100</f>
        <v>0</v>
      </c>
      <c r="G1689" s="80"/>
      <c r="H1689" s="162"/>
      <c r="I1689" s="211"/>
      <c r="J1689" s="113"/>
      <c r="K1689" s="80"/>
      <c r="L1689" s="379"/>
      <c r="M1689" s="79">
        <v>10000</v>
      </c>
      <c r="N1689" s="80"/>
      <c r="O1689" s="426">
        <f t="shared" si="213"/>
        <v>0</v>
      </c>
      <c r="P1689" s="80"/>
      <c r="Q1689" s="80"/>
      <c r="R1689" s="350"/>
    </row>
    <row r="1690" spans="1:18" s="105" customFormat="1" ht="24">
      <c r="A1690" s="111">
        <v>4218</v>
      </c>
      <c r="B1690" s="262" t="s">
        <v>481</v>
      </c>
      <c r="C1690" s="79"/>
      <c r="D1690" s="65">
        <f t="shared" si="210"/>
        <v>7870</v>
      </c>
      <c r="E1690" s="80">
        <f t="shared" si="209"/>
        <v>7864</v>
      </c>
      <c r="F1690" s="452">
        <f t="shared" si="211"/>
        <v>99.92376111817026</v>
      </c>
      <c r="G1690" s="80"/>
      <c r="H1690" s="162"/>
      <c r="I1690" s="211"/>
      <c r="J1690" s="113"/>
      <c r="K1690" s="80"/>
      <c r="L1690" s="379"/>
      <c r="M1690" s="79">
        <v>7870</v>
      </c>
      <c r="N1690" s="80">
        <v>7864</v>
      </c>
      <c r="O1690" s="426">
        <f t="shared" si="213"/>
        <v>99.92376111817026</v>
      </c>
      <c r="P1690" s="80"/>
      <c r="Q1690" s="80"/>
      <c r="R1690" s="350"/>
    </row>
    <row r="1691" spans="1:18" s="105" customFormat="1" ht="24">
      <c r="A1691" s="111">
        <v>4219</v>
      </c>
      <c r="B1691" s="262" t="s">
        <v>481</v>
      </c>
      <c r="C1691" s="79"/>
      <c r="D1691" s="65">
        <f t="shared" si="210"/>
        <v>3695</v>
      </c>
      <c r="E1691" s="80">
        <f>SUM(H1691+K1691+N1691+Q1691)</f>
        <v>3692</v>
      </c>
      <c r="F1691" s="452">
        <f t="shared" si="211"/>
        <v>99.91880920162382</v>
      </c>
      <c r="G1691" s="80"/>
      <c r="H1691" s="162"/>
      <c r="I1691" s="211"/>
      <c r="J1691" s="113"/>
      <c r="K1691" s="80"/>
      <c r="L1691" s="379"/>
      <c r="M1691" s="79">
        <v>3695</v>
      </c>
      <c r="N1691" s="80">
        <v>3692</v>
      </c>
      <c r="O1691" s="426">
        <f t="shared" si="213"/>
        <v>99.91880920162382</v>
      </c>
      <c r="P1691" s="80"/>
      <c r="Q1691" s="80"/>
      <c r="R1691" s="350"/>
    </row>
    <row r="1692" spans="1:18" s="105" customFormat="1" ht="19.5" customHeight="1">
      <c r="A1692" s="111">
        <v>4308</v>
      </c>
      <c r="B1692" s="262" t="s">
        <v>489</v>
      </c>
      <c r="C1692" s="79"/>
      <c r="D1692" s="65">
        <f t="shared" si="210"/>
        <v>14240</v>
      </c>
      <c r="E1692" s="80">
        <f>SUM(H1692+K1692+N1692+Q1692)</f>
        <v>14238</v>
      </c>
      <c r="F1692" s="452">
        <f t="shared" si="211"/>
        <v>99.98595505617978</v>
      </c>
      <c r="G1692" s="80"/>
      <c r="H1692" s="162"/>
      <c r="I1692" s="211"/>
      <c r="J1692" s="113"/>
      <c r="K1692" s="80"/>
      <c r="L1692" s="379"/>
      <c r="M1692" s="79">
        <v>14240</v>
      </c>
      <c r="N1692" s="80">
        <v>14238</v>
      </c>
      <c r="O1692" s="426">
        <f t="shared" si="213"/>
        <v>99.98595505617978</v>
      </c>
      <c r="P1692" s="80"/>
      <c r="Q1692" s="80"/>
      <c r="R1692" s="350"/>
    </row>
    <row r="1693" spans="1:18" s="105" customFormat="1" ht="18" customHeight="1">
      <c r="A1693" s="111">
        <v>4309</v>
      </c>
      <c r="B1693" s="262" t="s">
        <v>489</v>
      </c>
      <c r="C1693" s="79"/>
      <c r="D1693" s="65">
        <f t="shared" si="210"/>
        <v>6685</v>
      </c>
      <c r="E1693" s="80">
        <f t="shared" si="209"/>
        <v>6685</v>
      </c>
      <c r="F1693" s="452">
        <f t="shared" si="211"/>
        <v>100</v>
      </c>
      <c r="G1693" s="142"/>
      <c r="H1693" s="164"/>
      <c r="I1693" s="211"/>
      <c r="J1693" s="149"/>
      <c r="K1693" s="80"/>
      <c r="L1693" s="379"/>
      <c r="M1693" s="79">
        <v>6685</v>
      </c>
      <c r="N1693" s="142">
        <v>6685</v>
      </c>
      <c r="O1693" s="426">
        <f t="shared" si="213"/>
        <v>100</v>
      </c>
      <c r="P1693" s="142"/>
      <c r="Q1693" s="142"/>
      <c r="R1693" s="354"/>
    </row>
    <row r="1694" spans="1:18" s="130" customFormat="1" ht="24">
      <c r="A1694" s="137">
        <v>85417</v>
      </c>
      <c r="B1694" s="284" t="s">
        <v>108</v>
      </c>
      <c r="C1694" s="85">
        <f>SUM(C1695:C1714)</f>
        <v>285400</v>
      </c>
      <c r="D1694" s="86">
        <f t="shared" si="210"/>
        <v>287148</v>
      </c>
      <c r="E1694" s="86">
        <f>H1694+K1694+Q1694+N1694</f>
        <v>163767</v>
      </c>
      <c r="F1694" s="460">
        <f t="shared" si="211"/>
        <v>57.03226210873835</v>
      </c>
      <c r="G1694" s="86">
        <f>SUM(G1695:G1714)</f>
        <v>287148</v>
      </c>
      <c r="H1694" s="86">
        <f>SUM(H1695:H1714)</f>
        <v>163767</v>
      </c>
      <c r="I1694" s="464">
        <f t="shared" si="212"/>
        <v>57.03226210873835</v>
      </c>
      <c r="J1694" s="158"/>
      <c r="K1694" s="86"/>
      <c r="L1694" s="406"/>
      <c r="M1694" s="86"/>
      <c r="N1694" s="86"/>
      <c r="O1694" s="256"/>
      <c r="P1694" s="86"/>
      <c r="Q1694" s="86"/>
      <c r="R1694" s="358"/>
    </row>
    <row r="1695" spans="1:18" s="105" customFormat="1" ht="24">
      <c r="A1695" s="99">
        <v>4010</v>
      </c>
      <c r="B1695" s="272" t="s">
        <v>471</v>
      </c>
      <c r="C1695" s="81">
        <v>135000</v>
      </c>
      <c r="D1695" s="94">
        <f t="shared" si="210"/>
        <v>129000</v>
      </c>
      <c r="E1695" s="95">
        <f aca="true" t="shared" si="214" ref="E1695:E1721">SUM(H1695+K1695+N1695+Q1695)</f>
        <v>73574</v>
      </c>
      <c r="F1695" s="454">
        <f t="shared" si="211"/>
        <v>57.034108527131785</v>
      </c>
      <c r="G1695" s="81">
        <f>135000-6000</f>
        <v>129000</v>
      </c>
      <c r="H1695" s="95">
        <v>73574</v>
      </c>
      <c r="I1695" s="474">
        <f t="shared" si="212"/>
        <v>57.034108527131785</v>
      </c>
      <c r="J1695" s="187"/>
      <c r="K1695" s="95"/>
      <c r="L1695" s="403"/>
      <c r="M1695" s="81"/>
      <c r="N1695" s="95"/>
      <c r="O1695" s="289"/>
      <c r="P1695" s="95"/>
      <c r="Q1695" s="95"/>
      <c r="R1695" s="376"/>
    </row>
    <row r="1696" spans="1:18" s="105" customFormat="1" ht="36">
      <c r="A1696" s="111">
        <v>3020</v>
      </c>
      <c r="B1696" s="262" t="s">
        <v>515</v>
      </c>
      <c r="C1696" s="79">
        <v>200</v>
      </c>
      <c r="D1696" s="65">
        <f t="shared" si="210"/>
        <v>200</v>
      </c>
      <c r="E1696" s="80">
        <f t="shared" si="214"/>
        <v>200</v>
      </c>
      <c r="F1696" s="452">
        <f t="shared" si="211"/>
        <v>100</v>
      </c>
      <c r="G1696" s="79">
        <v>200</v>
      </c>
      <c r="H1696" s="80">
        <v>200</v>
      </c>
      <c r="I1696" s="450">
        <f t="shared" si="212"/>
        <v>100</v>
      </c>
      <c r="J1696" s="113"/>
      <c r="K1696" s="80"/>
      <c r="L1696" s="379"/>
      <c r="M1696" s="79"/>
      <c r="N1696" s="80"/>
      <c r="O1696" s="211"/>
      <c r="P1696" s="80"/>
      <c r="Q1696" s="80"/>
      <c r="R1696" s="356"/>
    </row>
    <row r="1697" spans="1:18" s="105" customFormat="1" ht="24">
      <c r="A1697" s="111">
        <v>4040</v>
      </c>
      <c r="B1697" s="262" t="s">
        <v>475</v>
      </c>
      <c r="C1697" s="79">
        <v>10300</v>
      </c>
      <c r="D1697" s="65">
        <f t="shared" si="210"/>
        <v>10440</v>
      </c>
      <c r="E1697" s="80">
        <f t="shared" si="214"/>
        <v>10432</v>
      </c>
      <c r="F1697" s="452">
        <f t="shared" si="211"/>
        <v>99.92337164750957</v>
      </c>
      <c r="G1697" s="79">
        <f>10300+140</f>
        <v>10440</v>
      </c>
      <c r="H1697" s="80">
        <v>10432</v>
      </c>
      <c r="I1697" s="450">
        <f t="shared" si="212"/>
        <v>99.92337164750957</v>
      </c>
      <c r="J1697" s="113"/>
      <c r="K1697" s="80"/>
      <c r="L1697" s="379"/>
      <c r="M1697" s="79"/>
      <c r="N1697" s="80"/>
      <c r="O1697" s="211"/>
      <c r="P1697" s="80"/>
      <c r="Q1697" s="80"/>
      <c r="R1697" s="356"/>
    </row>
    <row r="1698" spans="1:18" s="105" customFormat="1" ht="24">
      <c r="A1698" s="111">
        <v>4110</v>
      </c>
      <c r="B1698" s="262" t="s">
        <v>477</v>
      </c>
      <c r="C1698" s="79">
        <v>22400</v>
      </c>
      <c r="D1698" s="65">
        <f t="shared" si="210"/>
        <v>22400</v>
      </c>
      <c r="E1698" s="80">
        <f t="shared" si="214"/>
        <v>11957</v>
      </c>
      <c r="F1698" s="452">
        <f t="shared" si="211"/>
        <v>53.379464285714285</v>
      </c>
      <c r="G1698" s="79">
        <v>22400</v>
      </c>
      <c r="H1698" s="80">
        <v>11957</v>
      </c>
      <c r="I1698" s="450">
        <f t="shared" si="212"/>
        <v>53.379464285714285</v>
      </c>
      <c r="J1698" s="113"/>
      <c r="K1698" s="80"/>
      <c r="L1698" s="379"/>
      <c r="M1698" s="79"/>
      <c r="N1698" s="80"/>
      <c r="O1698" s="211"/>
      <c r="P1698" s="80"/>
      <c r="Q1698" s="80"/>
      <c r="R1698" s="356"/>
    </row>
    <row r="1699" spans="1:18" s="105" customFormat="1" ht="13.5" customHeight="1">
      <c r="A1699" s="111">
        <v>4120</v>
      </c>
      <c r="B1699" s="262" t="s">
        <v>547</v>
      </c>
      <c r="C1699" s="79">
        <v>3450</v>
      </c>
      <c r="D1699" s="65">
        <f t="shared" si="210"/>
        <v>3450</v>
      </c>
      <c r="E1699" s="80">
        <f t="shared" si="214"/>
        <v>1631</v>
      </c>
      <c r="F1699" s="452">
        <f t="shared" si="211"/>
        <v>47.27536231884058</v>
      </c>
      <c r="G1699" s="79">
        <v>3450</v>
      </c>
      <c r="H1699" s="80">
        <v>1631</v>
      </c>
      <c r="I1699" s="450">
        <f t="shared" si="212"/>
        <v>47.27536231884058</v>
      </c>
      <c r="J1699" s="113"/>
      <c r="K1699" s="80"/>
      <c r="L1699" s="379"/>
      <c r="M1699" s="79"/>
      <c r="N1699" s="80"/>
      <c r="O1699" s="211"/>
      <c r="P1699" s="80"/>
      <c r="Q1699" s="80"/>
      <c r="R1699" s="356"/>
    </row>
    <row r="1700" spans="1:18" s="105" customFormat="1" ht="24">
      <c r="A1700" s="111">
        <v>4170</v>
      </c>
      <c r="B1700" s="262" t="s">
        <v>511</v>
      </c>
      <c r="C1700" s="79"/>
      <c r="D1700" s="65">
        <f t="shared" si="210"/>
        <v>6000</v>
      </c>
      <c r="E1700" s="80">
        <f t="shared" si="214"/>
        <v>1600</v>
      </c>
      <c r="F1700" s="452">
        <f t="shared" si="211"/>
        <v>26.666666666666668</v>
      </c>
      <c r="G1700" s="79">
        <v>6000</v>
      </c>
      <c r="H1700" s="80">
        <v>1600</v>
      </c>
      <c r="I1700" s="450">
        <f t="shared" si="212"/>
        <v>26.666666666666668</v>
      </c>
      <c r="J1700" s="113"/>
      <c r="K1700" s="80"/>
      <c r="L1700" s="379"/>
      <c r="M1700" s="79"/>
      <c r="N1700" s="80"/>
      <c r="O1700" s="211"/>
      <c r="P1700" s="80"/>
      <c r="Q1700" s="80"/>
      <c r="R1700" s="356"/>
    </row>
    <row r="1701" spans="1:18" s="105" customFormat="1" ht="24">
      <c r="A1701" s="111">
        <v>4210</v>
      </c>
      <c r="B1701" s="262" t="s">
        <v>481</v>
      </c>
      <c r="C1701" s="79">
        <v>20100</v>
      </c>
      <c r="D1701" s="65">
        <f t="shared" si="210"/>
        <v>20100</v>
      </c>
      <c r="E1701" s="80">
        <f t="shared" si="214"/>
        <v>14032</v>
      </c>
      <c r="F1701" s="452">
        <f t="shared" si="211"/>
        <v>69.81094527363184</v>
      </c>
      <c r="G1701" s="79">
        <v>20100</v>
      </c>
      <c r="H1701" s="80">
        <v>14032</v>
      </c>
      <c r="I1701" s="450">
        <f t="shared" si="212"/>
        <v>69.81094527363184</v>
      </c>
      <c r="J1701" s="113"/>
      <c r="K1701" s="80"/>
      <c r="L1701" s="379"/>
      <c r="M1701" s="79"/>
      <c r="N1701" s="80"/>
      <c r="O1701" s="211"/>
      <c r="P1701" s="80"/>
      <c r="Q1701" s="80"/>
      <c r="R1701" s="356"/>
    </row>
    <row r="1702" spans="1:18" s="105" customFormat="1" ht="12.75">
      <c r="A1702" s="111">
        <v>4260</v>
      </c>
      <c r="B1702" s="262" t="s">
        <v>485</v>
      </c>
      <c r="C1702" s="79">
        <v>25300</v>
      </c>
      <c r="D1702" s="65">
        <f t="shared" si="210"/>
        <v>25160</v>
      </c>
      <c r="E1702" s="80">
        <f t="shared" si="214"/>
        <v>8193</v>
      </c>
      <c r="F1702" s="452">
        <f t="shared" si="211"/>
        <v>32.56359300476947</v>
      </c>
      <c r="G1702" s="79">
        <f>25300-140</f>
        <v>25160</v>
      </c>
      <c r="H1702" s="80">
        <v>8193</v>
      </c>
      <c r="I1702" s="450">
        <f t="shared" si="212"/>
        <v>32.56359300476947</v>
      </c>
      <c r="J1702" s="113"/>
      <c r="K1702" s="80"/>
      <c r="L1702" s="379"/>
      <c r="M1702" s="79"/>
      <c r="N1702" s="80"/>
      <c r="O1702" s="211"/>
      <c r="P1702" s="80"/>
      <c r="Q1702" s="80"/>
      <c r="R1702" s="356"/>
    </row>
    <row r="1703" spans="1:18" s="105" customFormat="1" ht="15.75" customHeight="1">
      <c r="A1703" s="111">
        <v>4270</v>
      </c>
      <c r="B1703" s="262" t="s">
        <v>487</v>
      </c>
      <c r="C1703" s="79">
        <v>3300</v>
      </c>
      <c r="D1703" s="65">
        <f>G1703+J1703+P1703+M1703</f>
        <v>3300</v>
      </c>
      <c r="E1703" s="80">
        <f>SUM(H1703+K1703+N1703+Q1703)</f>
        <v>114</v>
      </c>
      <c r="F1703" s="452">
        <f>E1703/D1703*100</f>
        <v>3.4545454545454546</v>
      </c>
      <c r="G1703" s="79">
        <v>3300</v>
      </c>
      <c r="H1703" s="80">
        <v>114</v>
      </c>
      <c r="I1703" s="450">
        <f t="shared" si="212"/>
        <v>3.4545454545454546</v>
      </c>
      <c r="J1703" s="113"/>
      <c r="K1703" s="80"/>
      <c r="L1703" s="379"/>
      <c r="M1703" s="79"/>
      <c r="N1703" s="80"/>
      <c r="O1703" s="211"/>
      <c r="P1703" s="80"/>
      <c r="Q1703" s="80"/>
      <c r="R1703" s="356"/>
    </row>
    <row r="1704" spans="1:18" s="105" customFormat="1" ht="24" hidden="1">
      <c r="A1704" s="111">
        <v>4280</v>
      </c>
      <c r="B1704" s="262" t="s">
        <v>520</v>
      </c>
      <c r="C1704" s="79"/>
      <c r="D1704" s="65">
        <f>G1704+J1704+P1704+M1704</f>
        <v>0</v>
      </c>
      <c r="E1704" s="80">
        <f>SUM(H1704+K1704+N1704+Q1704)</f>
        <v>0</v>
      </c>
      <c r="F1704" s="452" t="e">
        <f>E1704/D1704*100</f>
        <v>#DIV/0!</v>
      </c>
      <c r="G1704" s="79"/>
      <c r="H1704" s="80"/>
      <c r="I1704" s="450" t="e">
        <f t="shared" si="212"/>
        <v>#DIV/0!</v>
      </c>
      <c r="J1704" s="113"/>
      <c r="K1704" s="80"/>
      <c r="L1704" s="379"/>
      <c r="M1704" s="79"/>
      <c r="N1704" s="80"/>
      <c r="O1704" s="211"/>
      <c r="P1704" s="80"/>
      <c r="Q1704" s="80"/>
      <c r="R1704" s="356"/>
    </row>
    <row r="1705" spans="1:18" s="105" customFormat="1" ht="19.5" customHeight="1">
      <c r="A1705" s="111">
        <v>4300</v>
      </c>
      <c r="B1705" s="262" t="s">
        <v>489</v>
      </c>
      <c r="C1705" s="79">
        <v>8500</v>
      </c>
      <c r="D1705" s="65">
        <f t="shared" si="210"/>
        <v>8500</v>
      </c>
      <c r="E1705" s="80">
        <f t="shared" si="214"/>
        <v>2310</v>
      </c>
      <c r="F1705" s="452">
        <f t="shared" si="211"/>
        <v>27.176470588235297</v>
      </c>
      <c r="G1705" s="79">
        <v>8500</v>
      </c>
      <c r="H1705" s="80">
        <v>2310</v>
      </c>
      <c r="I1705" s="450">
        <f t="shared" si="212"/>
        <v>27.176470588235297</v>
      </c>
      <c r="J1705" s="113"/>
      <c r="K1705" s="80"/>
      <c r="L1705" s="379"/>
      <c r="M1705" s="79"/>
      <c r="N1705" s="80"/>
      <c r="O1705" s="211"/>
      <c r="P1705" s="80"/>
      <c r="Q1705" s="80"/>
      <c r="R1705" s="356"/>
    </row>
    <row r="1706" spans="1:18" s="105" customFormat="1" ht="24">
      <c r="A1706" s="111">
        <v>4350</v>
      </c>
      <c r="B1706" s="262" t="s">
        <v>7</v>
      </c>
      <c r="C1706" s="79">
        <v>2000</v>
      </c>
      <c r="D1706" s="65">
        <f t="shared" si="210"/>
        <v>2000</v>
      </c>
      <c r="E1706" s="80">
        <f t="shared" si="214"/>
        <v>315</v>
      </c>
      <c r="F1706" s="452">
        <f t="shared" si="211"/>
        <v>15.75</v>
      </c>
      <c r="G1706" s="79">
        <v>2000</v>
      </c>
      <c r="H1706" s="80">
        <v>315</v>
      </c>
      <c r="I1706" s="450">
        <f t="shared" si="212"/>
        <v>15.75</v>
      </c>
      <c r="J1706" s="113"/>
      <c r="K1706" s="80"/>
      <c r="L1706" s="379"/>
      <c r="M1706" s="79"/>
      <c r="N1706" s="80"/>
      <c r="O1706" s="211"/>
      <c r="P1706" s="80"/>
      <c r="Q1706" s="80"/>
      <c r="R1706" s="356"/>
    </row>
    <row r="1707" spans="1:18" s="105" customFormat="1" ht="39" customHeight="1">
      <c r="A1707" s="184">
        <v>4360</v>
      </c>
      <c r="B1707" s="185" t="s">
        <v>295</v>
      </c>
      <c r="C1707" s="147">
        <v>1000</v>
      </c>
      <c r="D1707" s="148">
        <f>G1707+J1707+P1707+M1707</f>
        <v>1000</v>
      </c>
      <c r="E1707" s="142">
        <f>SUM(H1707+K1707+N1707+Q1707)</f>
        <v>380</v>
      </c>
      <c r="F1707" s="453">
        <f>E1707/D1707*100</f>
        <v>38</v>
      </c>
      <c r="G1707" s="147">
        <v>1000</v>
      </c>
      <c r="H1707" s="142">
        <v>380</v>
      </c>
      <c r="I1707" s="463">
        <f t="shared" si="212"/>
        <v>38</v>
      </c>
      <c r="J1707" s="149"/>
      <c r="K1707" s="142"/>
      <c r="L1707" s="404"/>
      <c r="M1707" s="147"/>
      <c r="N1707" s="142"/>
      <c r="O1707" s="259"/>
      <c r="P1707" s="142"/>
      <c r="Q1707" s="142"/>
      <c r="R1707" s="375"/>
    </row>
    <row r="1708" spans="1:18" s="105" customFormat="1" ht="39" customHeight="1">
      <c r="A1708" s="159">
        <v>4370</v>
      </c>
      <c r="B1708" s="326" t="s">
        <v>296</v>
      </c>
      <c r="C1708" s="79">
        <v>1700</v>
      </c>
      <c r="D1708" s="65">
        <f>G1708+J1708+P1708+M1708</f>
        <v>1700</v>
      </c>
      <c r="E1708" s="80">
        <f>SUM(H1708+K1708+N1708+Q1708)</f>
        <v>723</v>
      </c>
      <c r="F1708" s="452">
        <f>E1708/D1708*100</f>
        <v>42.529411764705884</v>
      </c>
      <c r="G1708" s="79">
        <v>1700</v>
      </c>
      <c r="H1708" s="80">
        <v>723</v>
      </c>
      <c r="I1708" s="450">
        <f t="shared" si="212"/>
        <v>42.529411764705884</v>
      </c>
      <c r="J1708" s="113"/>
      <c r="K1708" s="80"/>
      <c r="L1708" s="379"/>
      <c r="M1708" s="79"/>
      <c r="N1708" s="80"/>
      <c r="O1708" s="211"/>
      <c r="P1708" s="80"/>
      <c r="Q1708" s="80"/>
      <c r="R1708" s="356"/>
    </row>
    <row r="1709" spans="1:18" s="105" customFormat="1" ht="16.5" customHeight="1">
      <c r="A1709" s="111">
        <v>4410</v>
      </c>
      <c r="B1709" s="262" t="s">
        <v>463</v>
      </c>
      <c r="C1709" s="79">
        <v>3200</v>
      </c>
      <c r="D1709" s="65">
        <f>G1709+J1709+P1709+M1709</f>
        <v>3200</v>
      </c>
      <c r="E1709" s="80">
        <f>SUM(H1709+K1709+N1709+Q1709)</f>
        <v>1504</v>
      </c>
      <c r="F1709" s="452">
        <f>E1709/D1709*100</f>
        <v>47</v>
      </c>
      <c r="G1709" s="79">
        <v>3200</v>
      </c>
      <c r="H1709" s="80">
        <v>1504</v>
      </c>
      <c r="I1709" s="450">
        <f t="shared" si="212"/>
        <v>47</v>
      </c>
      <c r="J1709" s="113"/>
      <c r="K1709" s="80"/>
      <c r="L1709" s="379"/>
      <c r="M1709" s="79"/>
      <c r="N1709" s="80"/>
      <c r="O1709" s="211"/>
      <c r="P1709" s="80"/>
      <c r="Q1709" s="80"/>
      <c r="R1709" s="356"/>
    </row>
    <row r="1710" spans="1:18" s="105" customFormat="1" ht="12.75">
      <c r="A1710" s="111">
        <v>4430</v>
      </c>
      <c r="B1710" s="262" t="s">
        <v>491</v>
      </c>
      <c r="C1710" s="79">
        <v>1300</v>
      </c>
      <c r="D1710" s="65">
        <f>G1710+J1710+P1710+M1710</f>
        <v>1300</v>
      </c>
      <c r="E1710" s="80">
        <f>SUM(H1710+K1710+N1710+Q1710)</f>
        <v>850</v>
      </c>
      <c r="F1710" s="452">
        <f>E1710/D1710*100</f>
        <v>65.38461538461539</v>
      </c>
      <c r="G1710" s="79">
        <v>1300</v>
      </c>
      <c r="H1710" s="80">
        <v>850</v>
      </c>
      <c r="I1710" s="450">
        <f t="shared" si="212"/>
        <v>65.38461538461539</v>
      </c>
      <c r="J1710" s="113"/>
      <c r="K1710" s="80"/>
      <c r="L1710" s="379"/>
      <c r="M1710" s="79"/>
      <c r="N1710" s="80"/>
      <c r="O1710" s="211"/>
      <c r="P1710" s="80"/>
      <c r="Q1710" s="80"/>
      <c r="R1710" s="356"/>
    </row>
    <row r="1711" spans="1:18" s="105" customFormat="1" ht="12.75">
      <c r="A1711" s="111">
        <v>4440</v>
      </c>
      <c r="B1711" s="276" t="s">
        <v>493</v>
      </c>
      <c r="C1711" s="79">
        <v>5450</v>
      </c>
      <c r="D1711" s="65">
        <f>G1711+J1711+P1711+M1711</f>
        <v>7198</v>
      </c>
      <c r="E1711" s="80">
        <f>SUM(H1711+K1711+N1711+Q1711)</f>
        <v>5398</v>
      </c>
      <c r="F1711" s="452">
        <f>E1711/D1711*100</f>
        <v>74.99305362600722</v>
      </c>
      <c r="G1711" s="79">
        <f>5450+1748</f>
        <v>7198</v>
      </c>
      <c r="H1711" s="80">
        <v>5398</v>
      </c>
      <c r="I1711" s="450">
        <f t="shared" si="212"/>
        <v>74.99305362600722</v>
      </c>
      <c r="J1711" s="113"/>
      <c r="K1711" s="80"/>
      <c r="L1711" s="379"/>
      <c r="M1711" s="79"/>
      <c r="N1711" s="80"/>
      <c r="O1711" s="211"/>
      <c r="P1711" s="80"/>
      <c r="Q1711" s="80"/>
      <c r="R1711" s="356"/>
    </row>
    <row r="1712" spans="1:18" s="105" customFormat="1" ht="48.75" customHeight="1">
      <c r="A1712" s="159">
        <v>4740</v>
      </c>
      <c r="B1712" s="326" t="s">
        <v>288</v>
      </c>
      <c r="C1712" s="79">
        <v>500</v>
      </c>
      <c r="D1712" s="65">
        <f t="shared" si="210"/>
        <v>500</v>
      </c>
      <c r="E1712" s="80">
        <f t="shared" si="214"/>
        <v>409</v>
      </c>
      <c r="F1712" s="452">
        <f t="shared" si="211"/>
        <v>81.8</v>
      </c>
      <c r="G1712" s="79">
        <v>500</v>
      </c>
      <c r="H1712" s="80">
        <v>409</v>
      </c>
      <c r="I1712" s="450">
        <f t="shared" si="212"/>
        <v>81.8</v>
      </c>
      <c r="J1712" s="113"/>
      <c r="K1712" s="80"/>
      <c r="L1712" s="379"/>
      <c r="M1712" s="79"/>
      <c r="N1712" s="80"/>
      <c r="O1712" s="211"/>
      <c r="P1712" s="80"/>
      <c r="Q1712" s="80"/>
      <c r="R1712" s="356"/>
    </row>
    <row r="1713" spans="1:18" s="105" customFormat="1" ht="36">
      <c r="A1713" s="159">
        <v>4750</v>
      </c>
      <c r="B1713" s="326" t="s">
        <v>289</v>
      </c>
      <c r="C1713" s="79">
        <v>500</v>
      </c>
      <c r="D1713" s="65">
        <f>G1713+J1713+P1713+M1713</f>
        <v>500</v>
      </c>
      <c r="E1713" s="80">
        <f>SUM(H1713+K1713+N1713+Q1713)</f>
        <v>105</v>
      </c>
      <c r="F1713" s="452">
        <f>E1713/D1713*100</f>
        <v>21</v>
      </c>
      <c r="G1713" s="79">
        <v>500</v>
      </c>
      <c r="H1713" s="80">
        <v>105</v>
      </c>
      <c r="I1713" s="450">
        <f t="shared" si="212"/>
        <v>21</v>
      </c>
      <c r="J1713" s="113"/>
      <c r="K1713" s="80"/>
      <c r="L1713" s="379"/>
      <c r="M1713" s="79"/>
      <c r="N1713" s="80"/>
      <c r="O1713" s="211"/>
      <c r="P1713" s="80"/>
      <c r="Q1713" s="80"/>
      <c r="R1713" s="356"/>
    </row>
    <row r="1714" spans="1:18" s="105" customFormat="1" ht="24">
      <c r="A1714" s="111">
        <v>6050</v>
      </c>
      <c r="B1714" s="276" t="s">
        <v>549</v>
      </c>
      <c r="C1714" s="79">
        <v>41200</v>
      </c>
      <c r="D1714" s="65">
        <f t="shared" si="210"/>
        <v>41200</v>
      </c>
      <c r="E1714" s="80">
        <f t="shared" si="214"/>
        <v>30040</v>
      </c>
      <c r="F1714" s="452">
        <f t="shared" si="211"/>
        <v>72.91262135922331</v>
      </c>
      <c r="G1714" s="79">
        <v>41200</v>
      </c>
      <c r="H1714" s="80">
        <v>30040</v>
      </c>
      <c r="I1714" s="450">
        <f t="shared" si="212"/>
        <v>72.91262135922331</v>
      </c>
      <c r="J1714" s="113"/>
      <c r="K1714" s="80"/>
      <c r="L1714" s="379"/>
      <c r="M1714" s="79"/>
      <c r="N1714" s="80"/>
      <c r="O1714" s="211"/>
      <c r="P1714" s="80"/>
      <c r="Q1714" s="80"/>
      <c r="R1714" s="356"/>
    </row>
    <row r="1715" spans="1:18" s="105" customFormat="1" ht="24">
      <c r="A1715" s="137">
        <v>85419</v>
      </c>
      <c r="B1715" s="174" t="s">
        <v>375</v>
      </c>
      <c r="C1715" s="85">
        <f>SUM(C1716)</f>
        <v>800000</v>
      </c>
      <c r="D1715" s="86">
        <f aca="true" t="shared" si="215" ref="D1715:D1722">G1715+J1715+P1715+M1715</f>
        <v>800000</v>
      </c>
      <c r="E1715" s="86">
        <f>SUM(H1715+K1715+N1715+Q1715)</f>
        <v>518436</v>
      </c>
      <c r="F1715" s="460">
        <f>E1715/D1715*100</f>
        <v>64.8045</v>
      </c>
      <c r="G1715" s="158"/>
      <c r="H1715" s="86"/>
      <c r="I1715" s="486"/>
      <c r="J1715" s="206"/>
      <c r="K1715" s="86"/>
      <c r="L1715" s="406"/>
      <c r="M1715" s="85">
        <f>SUM(M1716)</f>
        <v>800000</v>
      </c>
      <c r="N1715" s="86">
        <f>SUM(N1716)</f>
        <v>518436</v>
      </c>
      <c r="O1715" s="478">
        <f aca="true" t="shared" si="216" ref="O1715:O1722">N1715/M1715*100</f>
        <v>64.8045</v>
      </c>
      <c r="P1715" s="86"/>
      <c r="Q1715" s="86"/>
      <c r="R1715" s="391"/>
    </row>
    <row r="1716" spans="1:18" s="105" customFormat="1" ht="36">
      <c r="A1716" s="131">
        <v>2540</v>
      </c>
      <c r="B1716" s="132" t="s">
        <v>376</v>
      </c>
      <c r="C1716" s="133">
        <v>800000</v>
      </c>
      <c r="D1716" s="134">
        <f t="shared" si="215"/>
        <v>800000</v>
      </c>
      <c r="E1716" s="136">
        <f>SUM(H1716+K1716+N1716+Q1716)</f>
        <v>518436</v>
      </c>
      <c r="F1716" s="451">
        <f>E1716/D1716*100</f>
        <v>64.8045</v>
      </c>
      <c r="G1716" s="135"/>
      <c r="H1716" s="136"/>
      <c r="I1716" s="473"/>
      <c r="J1716" s="548"/>
      <c r="K1716" s="136"/>
      <c r="L1716" s="395"/>
      <c r="M1716" s="133">
        <v>800000</v>
      </c>
      <c r="N1716" s="136">
        <v>518436</v>
      </c>
      <c r="O1716" s="464">
        <f t="shared" si="216"/>
        <v>64.8045</v>
      </c>
      <c r="P1716" s="136"/>
      <c r="Q1716" s="136"/>
      <c r="R1716" s="369"/>
    </row>
    <row r="1717" spans="1:18" s="130" customFormat="1" ht="36">
      <c r="A1717" s="188">
        <v>85446</v>
      </c>
      <c r="B1717" s="189" t="s">
        <v>30</v>
      </c>
      <c r="C1717" s="190">
        <f>SUM(C1718:C1721)</f>
        <v>29900</v>
      </c>
      <c r="D1717" s="109">
        <f t="shared" si="215"/>
        <v>29900</v>
      </c>
      <c r="E1717" s="109">
        <f>SUM(H1717+K1717+N1717+Q1717)</f>
        <v>11954</v>
      </c>
      <c r="F1717" s="432">
        <f t="shared" si="211"/>
        <v>39.979933110367895</v>
      </c>
      <c r="G1717" s="191"/>
      <c r="H1717" s="109"/>
      <c r="I1717" s="375"/>
      <c r="J1717" s="295"/>
      <c r="K1717" s="109"/>
      <c r="L1717" s="409"/>
      <c r="M1717" s="85">
        <f>SUM(M1718:M1721)</f>
        <v>29900</v>
      </c>
      <c r="N1717" s="86">
        <f>SUM(N1718:N1721)</f>
        <v>11954</v>
      </c>
      <c r="O1717" s="464">
        <f t="shared" si="216"/>
        <v>39.979933110367895</v>
      </c>
      <c r="P1717" s="109"/>
      <c r="Q1717" s="109"/>
      <c r="R1717" s="377"/>
    </row>
    <row r="1718" spans="1:18" s="12" customFormat="1" ht="24">
      <c r="A1718" s="159">
        <v>4210</v>
      </c>
      <c r="B1718" s="262" t="s">
        <v>481</v>
      </c>
      <c r="C1718" s="161"/>
      <c r="D1718" s="65">
        <f t="shared" si="215"/>
        <v>1000</v>
      </c>
      <c r="E1718" s="80">
        <f t="shared" si="214"/>
        <v>0</v>
      </c>
      <c r="F1718" s="452">
        <f t="shared" si="211"/>
        <v>0</v>
      </c>
      <c r="G1718" s="162"/>
      <c r="H1718" s="65"/>
      <c r="I1718" s="356"/>
      <c r="J1718" s="210"/>
      <c r="K1718" s="65"/>
      <c r="L1718" s="379"/>
      <c r="M1718" s="93">
        <v>1000</v>
      </c>
      <c r="N1718" s="65"/>
      <c r="O1718" s="465">
        <f t="shared" si="216"/>
        <v>0</v>
      </c>
      <c r="P1718" s="65"/>
      <c r="Q1718" s="65"/>
      <c r="R1718" s="356"/>
    </row>
    <row r="1719" spans="1:18" s="12" customFormat="1" ht="19.5" customHeight="1">
      <c r="A1719" s="111">
        <v>4300</v>
      </c>
      <c r="B1719" s="115" t="s">
        <v>489</v>
      </c>
      <c r="C1719" s="161">
        <v>29900</v>
      </c>
      <c r="D1719" s="65">
        <f t="shared" si="215"/>
        <v>7500</v>
      </c>
      <c r="E1719" s="80">
        <f t="shared" si="214"/>
        <v>2500</v>
      </c>
      <c r="F1719" s="452">
        <f t="shared" si="211"/>
        <v>33.33333333333333</v>
      </c>
      <c r="G1719" s="162"/>
      <c r="H1719" s="65"/>
      <c r="I1719" s="356"/>
      <c r="J1719" s="210"/>
      <c r="K1719" s="65"/>
      <c r="L1719" s="379"/>
      <c r="M1719" s="161">
        <f>29900-29900+7500</f>
        <v>7500</v>
      </c>
      <c r="N1719" s="65">
        <v>2500</v>
      </c>
      <c r="O1719" s="466">
        <f t="shared" si="216"/>
        <v>33.33333333333333</v>
      </c>
      <c r="P1719" s="65"/>
      <c r="Q1719" s="65"/>
      <c r="R1719" s="356"/>
    </row>
    <row r="1720" spans="1:18" s="105" customFormat="1" ht="17.25" customHeight="1">
      <c r="A1720" s="111">
        <v>4410</v>
      </c>
      <c r="B1720" s="262" t="s">
        <v>463</v>
      </c>
      <c r="C1720" s="79"/>
      <c r="D1720" s="65">
        <f t="shared" si="215"/>
        <v>4500</v>
      </c>
      <c r="E1720" s="80">
        <f t="shared" si="214"/>
        <v>1444</v>
      </c>
      <c r="F1720" s="452">
        <f t="shared" si="211"/>
        <v>32.08888888888889</v>
      </c>
      <c r="G1720" s="113"/>
      <c r="H1720" s="80"/>
      <c r="I1720" s="356"/>
      <c r="J1720" s="207"/>
      <c r="K1720" s="80"/>
      <c r="L1720" s="379"/>
      <c r="M1720" s="79">
        <v>4500</v>
      </c>
      <c r="N1720" s="80">
        <v>1444</v>
      </c>
      <c r="O1720" s="466">
        <f t="shared" si="216"/>
        <v>32.08888888888889</v>
      </c>
      <c r="P1720" s="80"/>
      <c r="Q1720" s="80"/>
      <c r="R1720" s="356"/>
    </row>
    <row r="1721" spans="1:18" s="105" customFormat="1" ht="36">
      <c r="A1721" s="159">
        <v>4700</v>
      </c>
      <c r="B1721" s="326" t="s">
        <v>284</v>
      </c>
      <c r="C1721" s="147"/>
      <c r="D1721" s="148">
        <f t="shared" si="215"/>
        <v>16900</v>
      </c>
      <c r="E1721" s="80">
        <f t="shared" si="214"/>
        <v>8010</v>
      </c>
      <c r="F1721" s="452">
        <f t="shared" si="211"/>
        <v>47.396449704142015</v>
      </c>
      <c r="G1721" s="149"/>
      <c r="H1721" s="142"/>
      <c r="I1721" s="375"/>
      <c r="J1721" s="231"/>
      <c r="K1721" s="142"/>
      <c r="L1721" s="404"/>
      <c r="M1721" s="147">
        <v>16900</v>
      </c>
      <c r="N1721" s="142">
        <v>8010</v>
      </c>
      <c r="O1721" s="467">
        <f t="shared" si="216"/>
        <v>47.396449704142015</v>
      </c>
      <c r="P1721" s="142"/>
      <c r="Q1721" s="142"/>
      <c r="R1721" s="375"/>
    </row>
    <row r="1722" spans="1:18" s="105" customFormat="1" ht="12.75">
      <c r="A1722" s="106">
        <v>85495</v>
      </c>
      <c r="B1722" s="172" t="s">
        <v>504</v>
      </c>
      <c r="C1722" s="108">
        <f>SUM(C1723+C1736+C1744)</f>
        <v>815700</v>
      </c>
      <c r="D1722" s="86">
        <f t="shared" si="215"/>
        <v>815465</v>
      </c>
      <c r="E1722" s="86">
        <f>H1722+K1722+Q1722+N1722</f>
        <v>506840</v>
      </c>
      <c r="F1722" s="451">
        <f>E1722/D1722*100</f>
        <v>62.15349524504424</v>
      </c>
      <c r="G1722" s="75">
        <f>SUM(G1723+G1736+G1744)</f>
        <v>103225</v>
      </c>
      <c r="H1722" s="75">
        <f>SUM(H1723+H1736+H1744)</f>
        <v>24865</v>
      </c>
      <c r="I1722" s="432">
        <f t="shared" si="212"/>
        <v>24.088156938726083</v>
      </c>
      <c r="J1722" s="296"/>
      <c r="K1722" s="75"/>
      <c r="L1722" s="406"/>
      <c r="M1722" s="75">
        <f>SUM(M1723+M1736+M1744)</f>
        <v>712240</v>
      </c>
      <c r="N1722" s="75">
        <f>SUM(N1723+N1736+N1744)</f>
        <v>481975</v>
      </c>
      <c r="O1722" s="464">
        <f t="shared" si="216"/>
        <v>67.67030776142873</v>
      </c>
      <c r="P1722" s="75"/>
      <c r="Q1722" s="75"/>
      <c r="R1722" s="369"/>
    </row>
    <row r="1723" spans="1:18" s="105" customFormat="1" ht="12.75" hidden="1">
      <c r="A1723" s="106"/>
      <c r="B1723" s="174"/>
      <c r="C1723" s="108"/>
      <c r="D1723" s="86"/>
      <c r="E1723" s="86"/>
      <c r="F1723" s="451"/>
      <c r="G1723" s="108"/>
      <c r="H1723" s="75"/>
      <c r="I1723" s="432"/>
      <c r="J1723" s="269"/>
      <c r="K1723" s="75"/>
      <c r="L1723" s="406"/>
      <c r="M1723" s="75"/>
      <c r="N1723" s="75"/>
      <c r="O1723" s="369"/>
      <c r="P1723" s="75"/>
      <c r="Q1723" s="75"/>
      <c r="R1723" s="369"/>
    </row>
    <row r="1724" spans="1:18" s="105" customFormat="1" ht="12.75" hidden="1">
      <c r="A1724" s="111"/>
      <c r="B1724" s="115"/>
      <c r="C1724" s="161"/>
      <c r="D1724" s="65"/>
      <c r="E1724" s="80"/>
      <c r="F1724" s="452"/>
      <c r="G1724" s="161"/>
      <c r="H1724" s="65"/>
      <c r="I1724" s="426"/>
      <c r="J1724" s="270"/>
      <c r="K1724" s="169"/>
      <c r="L1724" s="392"/>
      <c r="M1724" s="169"/>
      <c r="N1724" s="169"/>
      <c r="O1724" s="356"/>
      <c r="P1724" s="169"/>
      <c r="Q1724" s="169"/>
      <c r="R1724" s="356"/>
    </row>
    <row r="1725" spans="1:18" s="105" customFormat="1" ht="12.75" hidden="1">
      <c r="A1725" s="111"/>
      <c r="B1725" s="115"/>
      <c r="C1725" s="161"/>
      <c r="D1725" s="65"/>
      <c r="E1725" s="80"/>
      <c r="F1725" s="452"/>
      <c r="G1725" s="161"/>
      <c r="H1725" s="65"/>
      <c r="I1725" s="426"/>
      <c r="J1725" s="113"/>
      <c r="K1725" s="80"/>
      <c r="L1725" s="379"/>
      <c r="M1725" s="80"/>
      <c r="N1725" s="80"/>
      <c r="O1725" s="211"/>
      <c r="P1725" s="80"/>
      <c r="Q1725" s="80"/>
      <c r="R1725" s="356"/>
    </row>
    <row r="1726" spans="1:18" s="105" customFormat="1" ht="12.75" hidden="1">
      <c r="A1726" s="111"/>
      <c r="B1726" s="115"/>
      <c r="C1726" s="161"/>
      <c r="D1726" s="65"/>
      <c r="E1726" s="80"/>
      <c r="F1726" s="452"/>
      <c r="G1726" s="161"/>
      <c r="H1726" s="65"/>
      <c r="I1726" s="426"/>
      <c r="J1726" s="270"/>
      <c r="K1726" s="169"/>
      <c r="L1726" s="392"/>
      <c r="M1726" s="169"/>
      <c r="N1726" s="169"/>
      <c r="O1726" s="356"/>
      <c r="P1726" s="169"/>
      <c r="Q1726" s="169"/>
      <c r="R1726" s="356"/>
    </row>
    <row r="1727" spans="1:18" s="105" customFormat="1" ht="14.25" customHeight="1" hidden="1">
      <c r="A1727" s="111"/>
      <c r="B1727" s="115"/>
      <c r="C1727" s="161"/>
      <c r="D1727" s="65"/>
      <c r="E1727" s="80"/>
      <c r="F1727" s="452"/>
      <c r="G1727" s="161"/>
      <c r="H1727" s="65"/>
      <c r="I1727" s="426"/>
      <c r="J1727" s="270"/>
      <c r="K1727" s="169"/>
      <c r="L1727" s="392"/>
      <c r="M1727" s="169"/>
      <c r="N1727" s="169"/>
      <c r="O1727" s="356"/>
      <c r="P1727" s="169"/>
      <c r="Q1727" s="169"/>
      <c r="R1727" s="356"/>
    </row>
    <row r="1728" spans="1:18" s="105" customFormat="1" ht="12.75" hidden="1">
      <c r="A1728" s="111"/>
      <c r="B1728" s="115"/>
      <c r="C1728" s="161"/>
      <c r="D1728" s="65"/>
      <c r="E1728" s="80"/>
      <c r="F1728" s="452"/>
      <c r="G1728" s="161"/>
      <c r="H1728" s="65"/>
      <c r="I1728" s="426"/>
      <c r="J1728" s="270"/>
      <c r="K1728" s="169"/>
      <c r="L1728" s="392"/>
      <c r="M1728" s="169"/>
      <c r="N1728" s="169"/>
      <c r="O1728" s="356"/>
      <c r="P1728" s="169"/>
      <c r="Q1728" s="169"/>
      <c r="R1728" s="356"/>
    </row>
    <row r="1729" spans="1:18" s="105" customFormat="1" ht="15" customHeight="1" hidden="1">
      <c r="A1729" s="111"/>
      <c r="B1729" s="115"/>
      <c r="C1729" s="161"/>
      <c r="D1729" s="65"/>
      <c r="E1729" s="80"/>
      <c r="F1729" s="452"/>
      <c r="G1729" s="161"/>
      <c r="H1729" s="65"/>
      <c r="I1729" s="426"/>
      <c r="J1729" s="270"/>
      <c r="K1729" s="169"/>
      <c r="L1729" s="392"/>
      <c r="M1729" s="169"/>
      <c r="N1729" s="169"/>
      <c r="O1729" s="356"/>
      <c r="P1729" s="169"/>
      <c r="Q1729" s="169"/>
      <c r="R1729" s="356"/>
    </row>
    <row r="1730" spans="1:18" s="105" customFormat="1" ht="14.25" customHeight="1" hidden="1">
      <c r="A1730" s="111"/>
      <c r="B1730" s="115"/>
      <c r="C1730" s="161"/>
      <c r="D1730" s="65"/>
      <c r="E1730" s="80"/>
      <c r="F1730" s="452"/>
      <c r="G1730" s="161"/>
      <c r="H1730" s="65"/>
      <c r="I1730" s="426"/>
      <c r="J1730" s="270"/>
      <c r="K1730" s="169"/>
      <c r="L1730" s="392"/>
      <c r="M1730" s="169"/>
      <c r="N1730" s="169"/>
      <c r="O1730" s="356"/>
      <c r="P1730" s="169"/>
      <c r="Q1730" s="169"/>
      <c r="R1730" s="356"/>
    </row>
    <row r="1731" spans="1:18" s="105" customFormat="1" ht="14.25" customHeight="1" hidden="1">
      <c r="A1731" s="111"/>
      <c r="B1731" s="115"/>
      <c r="C1731" s="161"/>
      <c r="D1731" s="65"/>
      <c r="E1731" s="80"/>
      <c r="F1731" s="452"/>
      <c r="G1731" s="161"/>
      <c r="H1731" s="65"/>
      <c r="I1731" s="426"/>
      <c r="J1731" s="270"/>
      <c r="K1731" s="169"/>
      <c r="L1731" s="392"/>
      <c r="M1731" s="65"/>
      <c r="N1731" s="169"/>
      <c r="O1731" s="356"/>
      <c r="P1731" s="169"/>
      <c r="Q1731" s="169"/>
      <c r="R1731" s="356"/>
    </row>
    <row r="1732" spans="1:18" s="105" customFormat="1" ht="14.25" customHeight="1" hidden="1">
      <c r="A1732" s="111"/>
      <c r="B1732" s="115"/>
      <c r="C1732" s="161"/>
      <c r="D1732" s="65"/>
      <c r="E1732" s="80"/>
      <c r="F1732" s="452"/>
      <c r="G1732" s="161"/>
      <c r="H1732" s="65"/>
      <c r="I1732" s="426"/>
      <c r="J1732" s="270"/>
      <c r="K1732" s="169"/>
      <c r="L1732" s="392"/>
      <c r="M1732" s="169"/>
      <c r="N1732" s="169"/>
      <c r="O1732" s="356"/>
      <c r="P1732" s="169"/>
      <c r="Q1732" s="169"/>
      <c r="R1732" s="356"/>
    </row>
    <row r="1733" spans="1:18" s="105" customFormat="1" ht="14.25" customHeight="1" hidden="1">
      <c r="A1733" s="111"/>
      <c r="B1733" s="115"/>
      <c r="C1733" s="161"/>
      <c r="D1733" s="65"/>
      <c r="E1733" s="80"/>
      <c r="F1733" s="452"/>
      <c r="G1733" s="161"/>
      <c r="H1733" s="65"/>
      <c r="I1733" s="426"/>
      <c r="J1733" s="270"/>
      <c r="K1733" s="169"/>
      <c r="L1733" s="392"/>
      <c r="M1733" s="169"/>
      <c r="N1733" s="169"/>
      <c r="O1733" s="356"/>
      <c r="P1733" s="169"/>
      <c r="Q1733" s="169"/>
      <c r="R1733" s="356"/>
    </row>
    <row r="1734" spans="1:18" s="105" customFormat="1" ht="14.25" customHeight="1" hidden="1">
      <c r="A1734" s="111"/>
      <c r="B1734" s="115"/>
      <c r="C1734" s="161"/>
      <c r="D1734" s="65"/>
      <c r="E1734" s="80"/>
      <c r="F1734" s="452"/>
      <c r="G1734" s="161"/>
      <c r="H1734" s="65"/>
      <c r="I1734" s="426"/>
      <c r="J1734" s="270"/>
      <c r="K1734" s="169"/>
      <c r="L1734" s="392"/>
      <c r="M1734" s="65"/>
      <c r="N1734" s="65"/>
      <c r="O1734" s="356"/>
      <c r="P1734" s="169"/>
      <c r="Q1734" s="169"/>
      <c r="R1734" s="356"/>
    </row>
    <row r="1735" spans="1:18" s="105" customFormat="1" ht="36.75" customHeight="1" hidden="1">
      <c r="A1735" s="145"/>
      <c r="B1735" s="263"/>
      <c r="C1735" s="163"/>
      <c r="D1735" s="148"/>
      <c r="E1735" s="142"/>
      <c r="F1735" s="453"/>
      <c r="G1735" s="163"/>
      <c r="H1735" s="148"/>
      <c r="I1735" s="446"/>
      <c r="J1735" s="271"/>
      <c r="K1735" s="179"/>
      <c r="L1735" s="409"/>
      <c r="M1735" s="148"/>
      <c r="N1735" s="148"/>
      <c r="O1735" s="375"/>
      <c r="P1735" s="179"/>
      <c r="Q1735" s="179"/>
      <c r="R1735" s="375"/>
    </row>
    <row r="1736" spans="1:18" s="105" customFormat="1" ht="18.75" customHeight="1" hidden="1">
      <c r="A1736" s="166"/>
      <c r="B1736" s="167" t="s">
        <v>109</v>
      </c>
      <c r="C1736" s="168">
        <f>SUM(C1737:C1743)</f>
        <v>0</v>
      </c>
      <c r="D1736" s="126">
        <f aca="true" t="shared" si="217" ref="D1736:D1769">G1736+J1736+P1736+M1736</f>
        <v>0</v>
      </c>
      <c r="E1736" s="126">
        <f aca="true" t="shared" si="218" ref="E1736:E1744">SUM(H1736+K1736+N1736+Q1736)</f>
        <v>0</v>
      </c>
      <c r="F1736" s="452" t="e">
        <f aca="true" t="shared" si="219" ref="F1736:F1800">E1736/D1736*100</f>
        <v>#DIV/0!</v>
      </c>
      <c r="G1736" s="168">
        <f>SUM(G1737:G1743)</f>
        <v>0</v>
      </c>
      <c r="H1736" s="169">
        <f>SUM(H1737:H1743)</f>
        <v>0</v>
      </c>
      <c r="I1736" s="426" t="e">
        <f aca="true" t="shared" si="220" ref="I1736:I1745">H1736/G1736*100</f>
        <v>#DIV/0!</v>
      </c>
      <c r="J1736" s="270"/>
      <c r="K1736" s="169"/>
      <c r="L1736" s="392"/>
      <c r="M1736" s="169"/>
      <c r="N1736" s="169"/>
      <c r="O1736" s="356"/>
      <c r="P1736" s="169"/>
      <c r="Q1736" s="169"/>
      <c r="R1736" s="356"/>
    </row>
    <row r="1737" spans="1:18" s="105" customFormat="1" ht="40.5" customHeight="1" hidden="1">
      <c r="A1737" s="111">
        <v>3020</v>
      </c>
      <c r="B1737" s="115" t="s">
        <v>515</v>
      </c>
      <c r="C1737" s="161"/>
      <c r="D1737" s="65">
        <f t="shared" si="217"/>
        <v>0</v>
      </c>
      <c r="E1737" s="80">
        <f t="shared" si="218"/>
        <v>0</v>
      </c>
      <c r="F1737" s="452" t="e">
        <f t="shared" si="219"/>
        <v>#DIV/0!</v>
      </c>
      <c r="G1737" s="161"/>
      <c r="H1737" s="65"/>
      <c r="I1737" s="426" t="e">
        <f t="shared" si="220"/>
        <v>#DIV/0!</v>
      </c>
      <c r="J1737" s="270"/>
      <c r="K1737" s="169"/>
      <c r="L1737" s="392"/>
      <c r="M1737" s="169"/>
      <c r="N1737" s="169"/>
      <c r="O1737" s="356"/>
      <c r="P1737" s="169"/>
      <c r="Q1737" s="169"/>
      <c r="R1737" s="356"/>
    </row>
    <row r="1738" spans="1:18" s="105" customFormat="1" ht="27" customHeight="1" hidden="1">
      <c r="A1738" s="111">
        <v>4010</v>
      </c>
      <c r="B1738" s="115" t="s">
        <v>471</v>
      </c>
      <c r="C1738" s="161"/>
      <c r="D1738" s="65">
        <f t="shared" si="217"/>
        <v>0</v>
      </c>
      <c r="E1738" s="80">
        <f t="shared" si="218"/>
        <v>0</v>
      </c>
      <c r="F1738" s="452" t="e">
        <f t="shared" si="219"/>
        <v>#DIV/0!</v>
      </c>
      <c r="G1738" s="161"/>
      <c r="H1738" s="65"/>
      <c r="I1738" s="426" t="e">
        <f t="shared" si="220"/>
        <v>#DIV/0!</v>
      </c>
      <c r="J1738" s="270"/>
      <c r="K1738" s="169"/>
      <c r="L1738" s="392"/>
      <c r="M1738" s="169"/>
      <c r="N1738" s="169"/>
      <c r="O1738" s="356"/>
      <c r="P1738" s="169"/>
      <c r="Q1738" s="169"/>
      <c r="R1738" s="356"/>
    </row>
    <row r="1739" spans="1:18" s="105" customFormat="1" ht="29.25" customHeight="1" hidden="1">
      <c r="A1739" s="111">
        <v>4040</v>
      </c>
      <c r="B1739" s="115" t="s">
        <v>516</v>
      </c>
      <c r="C1739" s="161"/>
      <c r="D1739" s="65">
        <f t="shared" si="217"/>
        <v>0</v>
      </c>
      <c r="E1739" s="80">
        <f t="shared" si="218"/>
        <v>0</v>
      </c>
      <c r="F1739" s="452" t="e">
        <f t="shared" si="219"/>
        <v>#DIV/0!</v>
      </c>
      <c r="G1739" s="161"/>
      <c r="H1739" s="65"/>
      <c r="I1739" s="426" t="e">
        <f t="shared" si="220"/>
        <v>#DIV/0!</v>
      </c>
      <c r="J1739" s="270"/>
      <c r="K1739" s="169"/>
      <c r="L1739" s="392"/>
      <c r="M1739" s="169"/>
      <c r="N1739" s="169"/>
      <c r="O1739" s="356"/>
      <c r="P1739" s="169"/>
      <c r="Q1739" s="169"/>
      <c r="R1739" s="356"/>
    </row>
    <row r="1740" spans="1:18" s="105" customFormat="1" ht="24" hidden="1">
      <c r="A1740" s="111">
        <v>4110</v>
      </c>
      <c r="B1740" s="115" t="s">
        <v>477</v>
      </c>
      <c r="C1740" s="161"/>
      <c r="D1740" s="65">
        <f t="shared" si="217"/>
        <v>0</v>
      </c>
      <c r="E1740" s="80">
        <f t="shared" si="218"/>
        <v>0</v>
      </c>
      <c r="F1740" s="452" t="e">
        <f t="shared" si="219"/>
        <v>#DIV/0!</v>
      </c>
      <c r="G1740" s="161"/>
      <c r="H1740" s="65"/>
      <c r="I1740" s="426" t="e">
        <f t="shared" si="220"/>
        <v>#DIV/0!</v>
      </c>
      <c r="J1740" s="270"/>
      <c r="K1740" s="169"/>
      <c r="L1740" s="392"/>
      <c r="M1740" s="169"/>
      <c r="N1740" s="169"/>
      <c r="O1740" s="356"/>
      <c r="P1740" s="169"/>
      <c r="Q1740" s="169"/>
      <c r="R1740" s="356"/>
    </row>
    <row r="1741" spans="1:18" s="105" customFormat="1" ht="15.75" customHeight="1" hidden="1">
      <c r="A1741" s="111">
        <v>4120</v>
      </c>
      <c r="B1741" s="115" t="s">
        <v>547</v>
      </c>
      <c r="C1741" s="161"/>
      <c r="D1741" s="65">
        <f t="shared" si="217"/>
        <v>0</v>
      </c>
      <c r="E1741" s="80">
        <f t="shared" si="218"/>
        <v>0</v>
      </c>
      <c r="F1741" s="452" t="e">
        <f t="shared" si="219"/>
        <v>#DIV/0!</v>
      </c>
      <c r="G1741" s="161"/>
      <c r="H1741" s="65"/>
      <c r="I1741" s="426" t="e">
        <f t="shared" si="220"/>
        <v>#DIV/0!</v>
      </c>
      <c r="J1741" s="270"/>
      <c r="K1741" s="169"/>
      <c r="L1741" s="392"/>
      <c r="M1741" s="169"/>
      <c r="N1741" s="169"/>
      <c r="O1741" s="356"/>
      <c r="P1741" s="169"/>
      <c r="Q1741" s="169"/>
      <c r="R1741" s="356"/>
    </row>
    <row r="1742" spans="1:18" s="105" customFormat="1" ht="15" customHeight="1" hidden="1">
      <c r="A1742" s="111">
        <v>4140</v>
      </c>
      <c r="B1742" s="115" t="s">
        <v>519</v>
      </c>
      <c r="C1742" s="161"/>
      <c r="D1742" s="65">
        <f t="shared" si="217"/>
        <v>0</v>
      </c>
      <c r="E1742" s="80">
        <f t="shared" si="218"/>
        <v>0</v>
      </c>
      <c r="F1742" s="452" t="e">
        <f t="shared" si="219"/>
        <v>#DIV/0!</v>
      </c>
      <c r="G1742" s="161"/>
      <c r="H1742" s="65"/>
      <c r="I1742" s="426" t="e">
        <f t="shared" si="220"/>
        <v>#DIV/0!</v>
      </c>
      <c r="J1742" s="270"/>
      <c r="K1742" s="169"/>
      <c r="L1742" s="392"/>
      <c r="M1742" s="169"/>
      <c r="N1742" s="169"/>
      <c r="O1742" s="356"/>
      <c r="P1742" s="169"/>
      <c r="Q1742" s="169"/>
      <c r="R1742" s="356"/>
    </row>
    <row r="1743" spans="1:18" s="105" customFormat="1" ht="18" customHeight="1" hidden="1">
      <c r="A1743" s="145">
        <v>4440</v>
      </c>
      <c r="B1743" s="146" t="s">
        <v>493</v>
      </c>
      <c r="C1743" s="163"/>
      <c r="D1743" s="148">
        <f t="shared" si="217"/>
        <v>0</v>
      </c>
      <c r="E1743" s="142">
        <f t="shared" si="218"/>
        <v>0</v>
      </c>
      <c r="F1743" s="453" t="e">
        <f t="shared" si="219"/>
        <v>#DIV/0!</v>
      </c>
      <c r="G1743" s="163"/>
      <c r="H1743" s="148"/>
      <c r="I1743" s="446" t="e">
        <f t="shared" si="220"/>
        <v>#DIV/0!</v>
      </c>
      <c r="J1743" s="271"/>
      <c r="K1743" s="179"/>
      <c r="L1743" s="409"/>
      <c r="M1743" s="179"/>
      <c r="N1743" s="179"/>
      <c r="O1743" s="375"/>
      <c r="P1743" s="179"/>
      <c r="Q1743" s="179"/>
      <c r="R1743" s="375"/>
    </row>
    <row r="1744" spans="1:18" s="105" customFormat="1" ht="30.75" customHeight="1" hidden="1">
      <c r="A1744" s="175"/>
      <c r="B1744" s="176" t="s">
        <v>110</v>
      </c>
      <c r="C1744" s="177">
        <f>SUM(C1745:C1757)</f>
        <v>815700</v>
      </c>
      <c r="D1744" s="109">
        <f t="shared" si="217"/>
        <v>815465</v>
      </c>
      <c r="E1744" s="109">
        <f t="shared" si="218"/>
        <v>506840</v>
      </c>
      <c r="F1744" s="453">
        <f t="shared" si="219"/>
        <v>62.15349524504424</v>
      </c>
      <c r="G1744" s="177">
        <f>SUM(G1745:G1757)</f>
        <v>103225</v>
      </c>
      <c r="H1744" s="179">
        <f>SUM(H1745:H1757)</f>
        <v>24865</v>
      </c>
      <c r="I1744" s="446">
        <f t="shared" si="220"/>
        <v>24.088156938726083</v>
      </c>
      <c r="J1744" s="271"/>
      <c r="K1744" s="179"/>
      <c r="L1744" s="409"/>
      <c r="M1744" s="179">
        <f>SUM(M1745:M1757)</f>
        <v>712240</v>
      </c>
      <c r="N1744" s="179">
        <f>SUM(N1745:N1757)</f>
        <v>481975</v>
      </c>
      <c r="O1744" s="259">
        <f>N1744/M1744*100</f>
        <v>67.67030776142873</v>
      </c>
      <c r="P1744" s="179"/>
      <c r="Q1744" s="179"/>
      <c r="R1744" s="375"/>
    </row>
    <row r="1745" spans="1:18" s="105" customFormat="1" ht="65.25" customHeight="1">
      <c r="A1745" s="99">
        <v>2820</v>
      </c>
      <c r="B1745" s="186" t="s">
        <v>154</v>
      </c>
      <c r="C1745" s="81">
        <v>31000</v>
      </c>
      <c r="D1745" s="94">
        <f t="shared" si="217"/>
        <v>31000</v>
      </c>
      <c r="E1745" s="94">
        <f>H1745+K1745+Q1745+N1745</f>
        <v>18500</v>
      </c>
      <c r="F1745" s="454">
        <f t="shared" si="219"/>
        <v>59.67741935483871</v>
      </c>
      <c r="G1745" s="81">
        <v>31000</v>
      </c>
      <c r="H1745" s="95">
        <v>18500</v>
      </c>
      <c r="I1745" s="448">
        <f t="shared" si="220"/>
        <v>59.67741935483871</v>
      </c>
      <c r="J1745" s="187"/>
      <c r="K1745" s="95"/>
      <c r="L1745" s="403"/>
      <c r="M1745" s="95"/>
      <c r="N1745" s="95"/>
      <c r="O1745" s="376"/>
      <c r="P1745" s="95"/>
      <c r="Q1745" s="95"/>
      <c r="R1745" s="376"/>
    </row>
    <row r="1746" spans="1:18" s="105" customFormat="1" ht="41.25" customHeight="1">
      <c r="A1746" s="145">
        <v>3040</v>
      </c>
      <c r="B1746" s="146" t="s">
        <v>41</v>
      </c>
      <c r="C1746" s="147">
        <v>2600</v>
      </c>
      <c r="D1746" s="148">
        <f t="shared" si="217"/>
        <v>2000</v>
      </c>
      <c r="E1746" s="148">
        <f>H1746+K1746+Q1746+N1746</f>
        <v>0</v>
      </c>
      <c r="F1746" s="453">
        <f>E1746/D1746*100</f>
        <v>0</v>
      </c>
      <c r="G1746" s="147"/>
      <c r="H1746" s="142"/>
      <c r="I1746" s="446"/>
      <c r="J1746" s="231"/>
      <c r="K1746" s="142"/>
      <c r="L1746" s="404"/>
      <c r="M1746" s="142">
        <f>2600-600</f>
        <v>2000</v>
      </c>
      <c r="N1746" s="142"/>
      <c r="O1746" s="446">
        <f>N1746/M1746*100</f>
        <v>0</v>
      </c>
      <c r="P1746" s="142"/>
      <c r="Q1746" s="142"/>
      <c r="R1746" s="375"/>
    </row>
    <row r="1747" spans="1:18" s="105" customFormat="1" ht="48">
      <c r="A1747" s="111">
        <v>4010</v>
      </c>
      <c r="B1747" s="115" t="s">
        <v>118</v>
      </c>
      <c r="C1747" s="79">
        <v>134000</v>
      </c>
      <c r="D1747" s="65">
        <f t="shared" si="217"/>
        <v>79974</v>
      </c>
      <c r="E1747" s="65">
        <f>H1747+K1747+Q1747+N1747</f>
        <v>0</v>
      </c>
      <c r="F1747" s="452">
        <f>E1747/D1747*100</f>
        <v>0</v>
      </c>
      <c r="G1747" s="79">
        <f>55000-3575</f>
        <v>51425</v>
      </c>
      <c r="H1747" s="80"/>
      <c r="I1747" s="426">
        <f>H1747/G1747*100</f>
        <v>0</v>
      </c>
      <c r="J1747" s="207"/>
      <c r="K1747" s="80"/>
      <c r="L1747" s="379"/>
      <c r="M1747" s="80">
        <f>79000-9920-40531</f>
        <v>28549</v>
      </c>
      <c r="N1747" s="80"/>
      <c r="O1747" s="426">
        <f>N1747/M1747*100</f>
        <v>0</v>
      </c>
      <c r="P1747" s="80"/>
      <c r="Q1747" s="80"/>
      <c r="R1747" s="356"/>
    </row>
    <row r="1748" spans="1:18" s="105" customFormat="1" ht="24">
      <c r="A1748" s="111">
        <v>4110</v>
      </c>
      <c r="B1748" s="115" t="s">
        <v>477</v>
      </c>
      <c r="C1748" s="79">
        <v>1000</v>
      </c>
      <c r="D1748" s="65">
        <f>G1748+J1748+P1748+M1748</f>
        <v>1000</v>
      </c>
      <c r="E1748" s="65">
        <f>H1748+K1748+Q1748+N1748</f>
        <v>218</v>
      </c>
      <c r="F1748" s="452">
        <f>E1748/D1748*100</f>
        <v>21.8</v>
      </c>
      <c r="G1748" s="79"/>
      <c r="H1748" s="80"/>
      <c r="I1748" s="426"/>
      <c r="J1748" s="207"/>
      <c r="K1748" s="80"/>
      <c r="L1748" s="379"/>
      <c r="M1748" s="80">
        <v>1000</v>
      </c>
      <c r="N1748" s="80">
        <v>218</v>
      </c>
      <c r="O1748" s="426">
        <f aca="true" t="shared" si="221" ref="O1748:O1757">N1748/M1748*100</f>
        <v>21.8</v>
      </c>
      <c r="P1748" s="80"/>
      <c r="Q1748" s="80"/>
      <c r="R1748" s="356"/>
    </row>
    <row r="1749" spans="1:18" s="105" customFormat="1" ht="24">
      <c r="A1749" s="111">
        <v>4170</v>
      </c>
      <c r="B1749" s="115" t="s">
        <v>511</v>
      </c>
      <c r="C1749" s="79">
        <v>13900</v>
      </c>
      <c r="D1749" s="65">
        <f>G1749+J1749+P1749+M1749</f>
        <v>15400</v>
      </c>
      <c r="E1749" s="65">
        <f>H1749+K1749+Q1749+N1749</f>
        <v>4084</v>
      </c>
      <c r="F1749" s="452">
        <f>E1749/D1749*100</f>
        <v>26.51948051948052</v>
      </c>
      <c r="G1749" s="79"/>
      <c r="H1749" s="80"/>
      <c r="I1749" s="426"/>
      <c r="J1749" s="207"/>
      <c r="K1749" s="80"/>
      <c r="L1749" s="379"/>
      <c r="M1749" s="80">
        <f>13900+1500</f>
        <v>15400</v>
      </c>
      <c r="N1749" s="80">
        <v>4084</v>
      </c>
      <c r="O1749" s="426">
        <f t="shared" si="221"/>
        <v>26.51948051948052</v>
      </c>
      <c r="P1749" s="80"/>
      <c r="Q1749" s="80"/>
      <c r="R1749" s="356"/>
    </row>
    <row r="1750" spans="1:18" s="105" customFormat="1" ht="23.25" customHeight="1">
      <c r="A1750" s="111">
        <v>4210</v>
      </c>
      <c r="B1750" s="115" t="s">
        <v>111</v>
      </c>
      <c r="C1750" s="79">
        <v>9000</v>
      </c>
      <c r="D1750" s="65">
        <f t="shared" si="217"/>
        <v>10800</v>
      </c>
      <c r="E1750" s="80">
        <f aca="true" t="shared" si="222" ref="E1750:E1757">SUM(H1750+K1750+N1750+Q1750)</f>
        <v>3470</v>
      </c>
      <c r="F1750" s="452">
        <f t="shared" si="219"/>
        <v>32.12962962962963</v>
      </c>
      <c r="G1750" s="79">
        <f>9000-300+2000+100</f>
        <v>10800</v>
      </c>
      <c r="H1750" s="80">
        <v>3470</v>
      </c>
      <c r="I1750" s="426">
        <f>H1750/G1750*100</f>
        <v>32.12962962962963</v>
      </c>
      <c r="J1750" s="207"/>
      <c r="K1750" s="80"/>
      <c r="L1750" s="379"/>
      <c r="M1750" s="80"/>
      <c r="N1750" s="80"/>
      <c r="O1750" s="426"/>
      <c r="P1750" s="80"/>
      <c r="Q1750" s="80"/>
      <c r="R1750" s="356"/>
    </row>
    <row r="1751" spans="1:18" s="105" customFormat="1" ht="23.25" customHeight="1">
      <c r="A1751" s="111">
        <v>4210</v>
      </c>
      <c r="B1751" s="115" t="s">
        <v>236</v>
      </c>
      <c r="C1751" s="79">
        <v>20000</v>
      </c>
      <c r="D1751" s="65">
        <f>G1751+J1751+P1751+M1751</f>
        <v>25790</v>
      </c>
      <c r="E1751" s="80">
        <f t="shared" si="222"/>
        <v>13527</v>
      </c>
      <c r="F1751" s="452">
        <f>E1751/D1751*100</f>
        <v>52.4505622334238</v>
      </c>
      <c r="G1751" s="79"/>
      <c r="H1751" s="80"/>
      <c r="I1751" s="426"/>
      <c r="J1751" s="207"/>
      <c r="K1751" s="80"/>
      <c r="L1751" s="379"/>
      <c r="M1751" s="80">
        <f>20000+5790</f>
        <v>25790</v>
      </c>
      <c r="N1751" s="80">
        <v>13527</v>
      </c>
      <c r="O1751" s="426">
        <f t="shared" si="221"/>
        <v>52.4505622334238</v>
      </c>
      <c r="P1751" s="80"/>
      <c r="Q1751" s="80"/>
      <c r="R1751" s="356"/>
    </row>
    <row r="1752" spans="1:18" s="105" customFormat="1" ht="19.5" customHeight="1">
      <c r="A1752" s="111">
        <v>4300</v>
      </c>
      <c r="B1752" s="115" t="s">
        <v>489</v>
      </c>
      <c r="C1752" s="79">
        <v>50000</v>
      </c>
      <c r="D1752" s="65">
        <f t="shared" si="217"/>
        <v>53770</v>
      </c>
      <c r="E1752" s="80">
        <f t="shared" si="222"/>
        <v>25490</v>
      </c>
      <c r="F1752" s="452">
        <f t="shared" si="219"/>
        <v>47.4056165147852</v>
      </c>
      <c r="G1752" s="79"/>
      <c r="H1752" s="80"/>
      <c r="I1752" s="426"/>
      <c r="J1752" s="207"/>
      <c r="K1752" s="80"/>
      <c r="L1752" s="379"/>
      <c r="M1752" s="80">
        <f>50000+4970-1200</f>
        <v>53770</v>
      </c>
      <c r="N1752" s="80">
        <v>25490</v>
      </c>
      <c r="O1752" s="426">
        <f t="shared" si="221"/>
        <v>47.4056165147852</v>
      </c>
      <c r="P1752" s="80"/>
      <c r="Q1752" s="80"/>
      <c r="R1752" s="356"/>
    </row>
    <row r="1753" spans="1:18" s="105" customFormat="1" ht="23.25" customHeight="1">
      <c r="A1753" s="111">
        <v>4300</v>
      </c>
      <c r="B1753" s="115" t="s">
        <v>112</v>
      </c>
      <c r="C1753" s="79">
        <v>10200</v>
      </c>
      <c r="D1753" s="65">
        <f t="shared" si="217"/>
        <v>10000</v>
      </c>
      <c r="E1753" s="80">
        <f t="shared" si="222"/>
        <v>2895</v>
      </c>
      <c r="F1753" s="452">
        <f t="shared" si="219"/>
        <v>28.95</v>
      </c>
      <c r="G1753" s="79">
        <f>10200-1000+800</f>
        <v>10000</v>
      </c>
      <c r="H1753" s="80">
        <v>2895</v>
      </c>
      <c r="I1753" s="426">
        <f>H1753/G1753*100</f>
        <v>28.95</v>
      </c>
      <c r="J1753" s="207"/>
      <c r="K1753" s="80"/>
      <c r="L1753" s="379"/>
      <c r="M1753" s="80"/>
      <c r="N1753" s="80"/>
      <c r="O1753" s="426"/>
      <c r="P1753" s="80"/>
      <c r="Q1753" s="80"/>
      <c r="R1753" s="356"/>
    </row>
    <row r="1754" spans="1:18" s="105" customFormat="1" ht="16.5" customHeight="1">
      <c r="A1754" s="111">
        <v>4410</v>
      </c>
      <c r="B1754" s="115" t="s">
        <v>463</v>
      </c>
      <c r="C1754" s="79"/>
      <c r="D1754" s="65">
        <f t="shared" si="217"/>
        <v>1200</v>
      </c>
      <c r="E1754" s="80">
        <f t="shared" si="222"/>
        <v>434</v>
      </c>
      <c r="F1754" s="452">
        <f t="shared" si="219"/>
        <v>36.16666666666667</v>
      </c>
      <c r="G1754" s="79"/>
      <c r="H1754" s="80"/>
      <c r="I1754" s="426"/>
      <c r="J1754" s="207"/>
      <c r="K1754" s="80"/>
      <c r="L1754" s="379"/>
      <c r="M1754" s="80">
        <v>1200</v>
      </c>
      <c r="N1754" s="80">
        <f>433+1</f>
        <v>434</v>
      </c>
      <c r="O1754" s="426">
        <f t="shared" si="221"/>
        <v>36.16666666666667</v>
      </c>
      <c r="P1754" s="80"/>
      <c r="Q1754" s="80"/>
      <c r="R1754" s="356"/>
    </row>
    <row r="1755" spans="1:18" s="105" customFormat="1" ht="12.75">
      <c r="A1755" s="111">
        <v>4440</v>
      </c>
      <c r="B1755" s="115" t="s">
        <v>493</v>
      </c>
      <c r="C1755" s="79">
        <v>543500</v>
      </c>
      <c r="D1755" s="65">
        <f>G1755+J1755+P1755+M1755</f>
        <v>584031</v>
      </c>
      <c r="E1755" s="65">
        <f>H1755+K1755+Q1755+N1755</f>
        <v>438023</v>
      </c>
      <c r="F1755" s="452">
        <f>E1755/D1755*100</f>
        <v>74.99995719405305</v>
      </c>
      <c r="G1755" s="79"/>
      <c r="H1755" s="65"/>
      <c r="I1755" s="426"/>
      <c r="J1755" s="207"/>
      <c r="K1755" s="80"/>
      <c r="L1755" s="379"/>
      <c r="M1755" s="80">
        <f>543500+40531</f>
        <v>584031</v>
      </c>
      <c r="N1755" s="80">
        <v>438023</v>
      </c>
      <c r="O1755" s="426">
        <f t="shared" si="221"/>
        <v>74.99995719405305</v>
      </c>
      <c r="P1755" s="80"/>
      <c r="Q1755" s="80"/>
      <c r="R1755" s="356"/>
    </row>
    <row r="1756" spans="1:18" s="105" customFormat="1" ht="52.5" customHeight="1" thickBot="1">
      <c r="A1756" s="159">
        <v>4740</v>
      </c>
      <c r="B1756" s="326" t="s">
        <v>288</v>
      </c>
      <c r="C1756" s="79">
        <v>500</v>
      </c>
      <c r="D1756" s="65">
        <f>G1756+J1756+P1756+M1756</f>
        <v>500</v>
      </c>
      <c r="E1756" s="65">
        <f>H1756+K1756+Q1756+N1756</f>
        <v>199</v>
      </c>
      <c r="F1756" s="452">
        <f>E1756/D1756*100</f>
        <v>39.800000000000004</v>
      </c>
      <c r="G1756" s="79"/>
      <c r="H1756" s="65"/>
      <c r="I1756" s="426"/>
      <c r="J1756" s="207"/>
      <c r="K1756" s="80"/>
      <c r="L1756" s="379"/>
      <c r="M1756" s="80">
        <v>500</v>
      </c>
      <c r="N1756" s="80">
        <v>199</v>
      </c>
      <c r="O1756" s="426">
        <f t="shared" si="221"/>
        <v>39.800000000000004</v>
      </c>
      <c r="P1756" s="80"/>
      <c r="Q1756" s="80"/>
      <c r="R1756" s="356"/>
    </row>
    <row r="1757" spans="1:18" s="105" customFormat="1" ht="24.75" hidden="1" thickBot="1">
      <c r="A1757" s="111">
        <v>6050</v>
      </c>
      <c r="B1757" s="115" t="s">
        <v>549</v>
      </c>
      <c r="C1757" s="79"/>
      <c r="D1757" s="65">
        <f>G1757+J1757+P1757+M1757</f>
        <v>0</v>
      </c>
      <c r="E1757" s="80">
        <f t="shared" si="222"/>
        <v>0</v>
      </c>
      <c r="F1757" s="452" t="e">
        <f t="shared" si="219"/>
        <v>#DIV/0!</v>
      </c>
      <c r="G1757" s="79"/>
      <c r="H1757" s="80"/>
      <c r="I1757" s="211"/>
      <c r="J1757" s="207"/>
      <c r="K1757" s="80"/>
      <c r="L1757" s="379"/>
      <c r="M1757" s="80"/>
      <c r="N1757" s="80"/>
      <c r="O1757" s="426" t="e">
        <f t="shared" si="221"/>
        <v>#DIV/0!</v>
      </c>
      <c r="P1757" s="80"/>
      <c r="Q1757" s="80"/>
      <c r="R1757" s="356"/>
    </row>
    <row r="1758" spans="1:18" s="105" customFormat="1" ht="49.5" thickBot="1" thickTop="1">
      <c r="A1758" s="118">
        <v>900</v>
      </c>
      <c r="B1758" s="119" t="s">
        <v>113</v>
      </c>
      <c r="C1758" s="103">
        <f>C1773+C1778+C1787+C1793+C1782+C1759</f>
        <v>20804700</v>
      </c>
      <c r="D1758" s="51">
        <f t="shared" si="217"/>
        <v>26418040</v>
      </c>
      <c r="E1758" s="98">
        <f>H1758+K1758+Q1758+N1758</f>
        <v>8077541</v>
      </c>
      <c r="F1758" s="480">
        <f t="shared" si="219"/>
        <v>30.57585271276749</v>
      </c>
      <c r="G1758" s="103">
        <f>G1773+G1778+G1787+G1793+G1782+G1759</f>
        <v>21041040</v>
      </c>
      <c r="H1758" s="98">
        <f>H1773+H1778+H1787+H1793+H1782+H1759</f>
        <v>5795343</v>
      </c>
      <c r="I1758" s="447">
        <f aca="true" t="shared" si="223" ref="I1758:I1816">H1758/G1758*100</f>
        <v>27.543044450274323</v>
      </c>
      <c r="J1758" s="98"/>
      <c r="K1758" s="98"/>
      <c r="L1758" s="387"/>
      <c r="M1758" s="98">
        <f>M1773+M1778+M1787+M1793+M1782+M1759</f>
        <v>5377000</v>
      </c>
      <c r="N1758" s="98">
        <f>N1773+N1778+N1787+N1793+N1782+N1759</f>
        <v>2282198</v>
      </c>
      <c r="O1758" s="447">
        <f>N1758/M1758*100</f>
        <v>42.4437046680305</v>
      </c>
      <c r="P1758" s="98"/>
      <c r="Q1758" s="98"/>
      <c r="R1758" s="378"/>
    </row>
    <row r="1759" spans="1:18" s="105" customFormat="1" ht="30" customHeight="1" thickTop="1">
      <c r="A1759" s="106">
        <v>90001</v>
      </c>
      <c r="B1759" s="172" t="s">
        <v>114</v>
      </c>
      <c r="C1759" s="108">
        <f>SUM(C1760:C1764)</f>
        <v>8146000</v>
      </c>
      <c r="D1759" s="109">
        <f t="shared" si="217"/>
        <v>11605340</v>
      </c>
      <c r="E1759" s="179">
        <f>H1759+K1759+Q1759+N1759</f>
        <v>2234356</v>
      </c>
      <c r="F1759" s="453">
        <f t="shared" si="219"/>
        <v>19.2528267159773</v>
      </c>
      <c r="G1759" s="108">
        <f>SUM(G1760:G1764)</f>
        <v>10195340</v>
      </c>
      <c r="H1759" s="75">
        <f>SUM(H1760:H1764)</f>
        <v>1806621</v>
      </c>
      <c r="I1759" s="481">
        <f t="shared" si="223"/>
        <v>17.720066226334776</v>
      </c>
      <c r="J1759" s="110"/>
      <c r="K1759" s="75"/>
      <c r="L1759" s="259"/>
      <c r="M1759" s="75">
        <f>SUM(M1760:M1764)</f>
        <v>1410000</v>
      </c>
      <c r="N1759" s="75">
        <f>SUM(N1760:N1764)</f>
        <v>427735</v>
      </c>
      <c r="O1759" s="446">
        <f>N1759/M1759*100</f>
        <v>30.33581560283688</v>
      </c>
      <c r="P1759" s="75"/>
      <c r="Q1759" s="75"/>
      <c r="R1759" s="369"/>
    </row>
    <row r="1760" spans="1:18" s="12" customFormat="1" ht="18.75" customHeight="1">
      <c r="A1760" s="159">
        <v>4300</v>
      </c>
      <c r="B1760" s="182" t="s">
        <v>489</v>
      </c>
      <c r="C1760" s="93">
        <v>1546000</v>
      </c>
      <c r="D1760" s="65">
        <f t="shared" si="217"/>
        <v>3146000</v>
      </c>
      <c r="E1760" s="80">
        <f aca="true" t="shared" si="224" ref="E1760:E1769">SUM(H1760+K1760+N1760+Q1760)</f>
        <v>926813</v>
      </c>
      <c r="F1760" s="452">
        <f t="shared" si="219"/>
        <v>29.460044500953593</v>
      </c>
      <c r="G1760" s="93">
        <f>872000+864000</f>
        <v>1736000</v>
      </c>
      <c r="H1760" s="65">
        <v>499078</v>
      </c>
      <c r="I1760" s="426">
        <f t="shared" si="223"/>
        <v>28.74873271889401</v>
      </c>
      <c r="J1760" s="183"/>
      <c r="K1760" s="65"/>
      <c r="L1760" s="211"/>
      <c r="M1760" s="65">
        <f>674000+736000</f>
        <v>1410000</v>
      </c>
      <c r="N1760" s="65">
        <v>427735</v>
      </c>
      <c r="O1760" s="426">
        <f>N1760/M1760*100</f>
        <v>30.33581560283688</v>
      </c>
      <c r="P1760" s="65"/>
      <c r="Q1760" s="65"/>
      <c r="R1760" s="356"/>
    </row>
    <row r="1761" spans="1:18" s="12" customFormat="1" ht="24" hidden="1">
      <c r="A1761" s="159">
        <v>4270</v>
      </c>
      <c r="B1761" s="193" t="s">
        <v>487</v>
      </c>
      <c r="C1761" s="161"/>
      <c r="D1761" s="65">
        <f>G1761+J1761+P1761+M1761</f>
        <v>0</v>
      </c>
      <c r="E1761" s="80">
        <f>SUM(H1761+K1761+N1761+Q1761)</f>
        <v>0</v>
      </c>
      <c r="F1761" s="452" t="e">
        <f>E1761/D1761*100</f>
        <v>#DIV/0!</v>
      </c>
      <c r="G1761" s="161"/>
      <c r="H1761" s="65"/>
      <c r="I1761" s="426"/>
      <c r="J1761" s="162"/>
      <c r="K1761" s="65"/>
      <c r="L1761" s="211"/>
      <c r="M1761" s="65"/>
      <c r="N1761" s="65"/>
      <c r="O1761" s="426"/>
      <c r="P1761" s="65"/>
      <c r="Q1761" s="65"/>
      <c r="R1761" s="356"/>
    </row>
    <row r="1762" spans="1:18" s="12" customFormat="1" ht="17.25" customHeight="1" hidden="1">
      <c r="A1762" s="159">
        <v>4430</v>
      </c>
      <c r="B1762" s="193" t="s">
        <v>491</v>
      </c>
      <c r="C1762" s="161"/>
      <c r="D1762" s="65">
        <f t="shared" si="217"/>
        <v>0</v>
      </c>
      <c r="E1762" s="80">
        <f t="shared" si="224"/>
        <v>0</v>
      </c>
      <c r="F1762" s="452" t="e">
        <f t="shared" si="219"/>
        <v>#DIV/0!</v>
      </c>
      <c r="G1762" s="161"/>
      <c r="H1762" s="65"/>
      <c r="I1762" s="426" t="e">
        <f t="shared" si="223"/>
        <v>#DIV/0!</v>
      </c>
      <c r="J1762" s="162"/>
      <c r="K1762" s="65"/>
      <c r="L1762" s="211"/>
      <c r="M1762" s="65"/>
      <c r="N1762" s="65"/>
      <c r="O1762" s="426"/>
      <c r="P1762" s="65"/>
      <c r="Q1762" s="65"/>
      <c r="R1762" s="356"/>
    </row>
    <row r="1763" spans="1:18" s="12" customFormat="1" ht="36">
      <c r="A1763" s="159">
        <v>4390</v>
      </c>
      <c r="B1763" s="193" t="s">
        <v>271</v>
      </c>
      <c r="C1763" s="161"/>
      <c r="D1763" s="65">
        <f t="shared" si="217"/>
        <v>179340</v>
      </c>
      <c r="E1763" s="80">
        <f t="shared" si="224"/>
        <v>179340</v>
      </c>
      <c r="F1763" s="452">
        <f t="shared" si="219"/>
        <v>100</v>
      </c>
      <c r="G1763" s="161">
        <v>179340</v>
      </c>
      <c r="H1763" s="65">
        <v>179340</v>
      </c>
      <c r="I1763" s="426">
        <f t="shared" si="223"/>
        <v>100</v>
      </c>
      <c r="J1763" s="162"/>
      <c r="K1763" s="65"/>
      <c r="L1763" s="211"/>
      <c r="M1763" s="65"/>
      <c r="N1763" s="65"/>
      <c r="O1763" s="426"/>
      <c r="P1763" s="65"/>
      <c r="Q1763" s="65"/>
      <c r="R1763" s="356"/>
    </row>
    <row r="1764" spans="1:18" ht="24">
      <c r="A1764" s="257">
        <v>6050</v>
      </c>
      <c r="B1764" s="115" t="s">
        <v>512</v>
      </c>
      <c r="C1764" s="79">
        <v>6600000</v>
      </c>
      <c r="D1764" s="65">
        <f t="shared" si="217"/>
        <v>8280000</v>
      </c>
      <c r="E1764" s="80">
        <f t="shared" si="224"/>
        <v>1128203</v>
      </c>
      <c r="F1764" s="452">
        <f t="shared" si="219"/>
        <v>13.625640096618358</v>
      </c>
      <c r="G1764" s="79">
        <f>6600000+1500000-1060000+560000-250000-70000+1000000</f>
        <v>8280000</v>
      </c>
      <c r="H1764" s="80">
        <v>1128203</v>
      </c>
      <c r="I1764" s="426">
        <f t="shared" si="223"/>
        <v>13.625640096618358</v>
      </c>
      <c r="J1764" s="113"/>
      <c r="K1764" s="80"/>
      <c r="L1764" s="211"/>
      <c r="M1764" s="80"/>
      <c r="N1764" s="80"/>
      <c r="O1764" s="426"/>
      <c r="P1764" s="80"/>
      <c r="Q1764" s="80"/>
      <c r="R1764" s="356"/>
    </row>
    <row r="1765" spans="1:18" s="199" customFormat="1" ht="25.5" customHeight="1" hidden="1">
      <c r="A1765" s="297"/>
      <c r="B1765" s="298" t="s">
        <v>115</v>
      </c>
      <c r="C1765" s="79">
        <v>200000</v>
      </c>
      <c r="D1765" s="65">
        <f t="shared" si="217"/>
        <v>200000</v>
      </c>
      <c r="E1765" s="80">
        <f t="shared" si="224"/>
        <v>0</v>
      </c>
      <c r="F1765" s="452">
        <f t="shared" si="219"/>
        <v>0</v>
      </c>
      <c r="G1765" s="79">
        <v>200000</v>
      </c>
      <c r="H1765" s="299"/>
      <c r="I1765" s="426">
        <f t="shared" si="223"/>
        <v>0</v>
      </c>
      <c r="J1765" s="198"/>
      <c r="K1765" s="197"/>
      <c r="L1765" s="211"/>
      <c r="M1765" s="197"/>
      <c r="N1765" s="197"/>
      <c r="O1765" s="211"/>
      <c r="P1765" s="197"/>
      <c r="Q1765" s="197"/>
      <c r="R1765" s="379"/>
    </row>
    <row r="1766" spans="1:18" s="199" customFormat="1" ht="25.5" customHeight="1" hidden="1">
      <c r="A1766" s="297"/>
      <c r="B1766" s="298" t="s">
        <v>116</v>
      </c>
      <c r="C1766" s="79">
        <v>800000</v>
      </c>
      <c r="D1766" s="65">
        <f t="shared" si="217"/>
        <v>600000</v>
      </c>
      <c r="E1766" s="80">
        <f t="shared" si="224"/>
        <v>0</v>
      </c>
      <c r="F1766" s="452">
        <f t="shared" si="219"/>
        <v>0</v>
      </c>
      <c r="G1766" s="79">
        <f>800000-200000</f>
        <v>600000</v>
      </c>
      <c r="H1766" s="299"/>
      <c r="I1766" s="426">
        <f t="shared" si="223"/>
        <v>0</v>
      </c>
      <c r="J1766" s="198"/>
      <c r="K1766" s="197"/>
      <c r="L1766" s="211"/>
      <c r="M1766" s="197"/>
      <c r="N1766" s="197"/>
      <c r="O1766" s="211"/>
      <c r="P1766" s="197"/>
      <c r="Q1766" s="197"/>
      <c r="R1766" s="379"/>
    </row>
    <row r="1767" spans="1:18" s="199" customFormat="1" ht="17.25" customHeight="1" hidden="1">
      <c r="A1767" s="297"/>
      <c r="B1767" s="298" t="s">
        <v>117</v>
      </c>
      <c r="C1767" s="79">
        <v>100000</v>
      </c>
      <c r="D1767" s="65">
        <f t="shared" si="217"/>
        <v>100000</v>
      </c>
      <c r="E1767" s="80">
        <f t="shared" si="224"/>
        <v>0</v>
      </c>
      <c r="F1767" s="452">
        <f t="shared" si="219"/>
        <v>0</v>
      </c>
      <c r="G1767" s="79">
        <v>100000</v>
      </c>
      <c r="H1767" s="299"/>
      <c r="I1767" s="426">
        <f t="shared" si="223"/>
        <v>0</v>
      </c>
      <c r="J1767" s="198"/>
      <c r="K1767" s="197"/>
      <c r="L1767" s="211"/>
      <c r="M1767" s="197"/>
      <c r="N1767" s="197"/>
      <c r="O1767" s="211"/>
      <c r="P1767" s="197"/>
      <c r="Q1767" s="197"/>
      <c r="R1767" s="379"/>
    </row>
    <row r="1768" spans="1:18" s="199" customFormat="1" ht="38.25" customHeight="1" hidden="1">
      <c r="A1768" s="297"/>
      <c r="B1768" s="298" t="s">
        <v>134</v>
      </c>
      <c r="C1768" s="79">
        <v>700000</v>
      </c>
      <c r="D1768" s="65">
        <f t="shared" si="217"/>
        <v>550000</v>
      </c>
      <c r="E1768" s="80">
        <f t="shared" si="224"/>
        <v>0</v>
      </c>
      <c r="F1768" s="452">
        <f t="shared" si="219"/>
        <v>0</v>
      </c>
      <c r="G1768" s="79">
        <f>700000-150000</f>
        <v>550000</v>
      </c>
      <c r="H1768" s="299"/>
      <c r="I1768" s="426">
        <f t="shared" si="223"/>
        <v>0</v>
      </c>
      <c r="J1768" s="198"/>
      <c r="K1768" s="197"/>
      <c r="L1768" s="211"/>
      <c r="M1768" s="197"/>
      <c r="N1768" s="197"/>
      <c r="O1768" s="211"/>
      <c r="P1768" s="197"/>
      <c r="Q1768" s="197"/>
      <c r="R1768" s="379"/>
    </row>
    <row r="1769" spans="1:18" s="199" customFormat="1" ht="25.5" customHeight="1" hidden="1">
      <c r="A1769" s="194"/>
      <c r="B1769" s="298" t="s">
        <v>135</v>
      </c>
      <c r="C1769" s="79">
        <v>500000</v>
      </c>
      <c r="D1769" s="65">
        <f t="shared" si="217"/>
        <v>1300000</v>
      </c>
      <c r="E1769" s="80">
        <f t="shared" si="224"/>
        <v>0</v>
      </c>
      <c r="F1769" s="452">
        <f t="shared" si="219"/>
        <v>0</v>
      </c>
      <c r="G1769" s="79">
        <f>500000+800000</f>
        <v>1300000</v>
      </c>
      <c r="H1769" s="197"/>
      <c r="I1769" s="426">
        <f t="shared" si="223"/>
        <v>0</v>
      </c>
      <c r="J1769" s="198"/>
      <c r="K1769" s="197"/>
      <c r="L1769" s="211"/>
      <c r="M1769" s="197"/>
      <c r="N1769" s="197"/>
      <c r="O1769" s="211"/>
      <c r="P1769" s="197"/>
      <c r="Q1769" s="197"/>
      <c r="R1769" s="357"/>
    </row>
    <row r="1770" spans="1:18" s="199" customFormat="1" ht="49.5" customHeight="1" hidden="1">
      <c r="A1770" s="194"/>
      <c r="B1770" s="298" t="s">
        <v>136</v>
      </c>
      <c r="C1770" s="79">
        <v>200000</v>
      </c>
      <c r="D1770" s="65"/>
      <c r="E1770" s="80"/>
      <c r="F1770" s="452"/>
      <c r="G1770" s="79">
        <v>200000</v>
      </c>
      <c r="H1770" s="197"/>
      <c r="I1770" s="426"/>
      <c r="J1770" s="198"/>
      <c r="K1770" s="197"/>
      <c r="L1770" s="211"/>
      <c r="M1770" s="197"/>
      <c r="N1770" s="197"/>
      <c r="O1770" s="211"/>
      <c r="P1770" s="197"/>
      <c r="Q1770" s="197"/>
      <c r="R1770" s="357"/>
    </row>
    <row r="1771" spans="1:18" s="199" customFormat="1" ht="59.25" customHeight="1" hidden="1">
      <c r="A1771" s="194"/>
      <c r="B1771" s="298" t="s">
        <v>137</v>
      </c>
      <c r="C1771" s="79">
        <v>200000</v>
      </c>
      <c r="D1771" s="65"/>
      <c r="E1771" s="80"/>
      <c r="F1771" s="452"/>
      <c r="G1771" s="79">
        <f>200000-80000</f>
        <v>120000</v>
      </c>
      <c r="H1771" s="197"/>
      <c r="I1771" s="426"/>
      <c r="J1771" s="198"/>
      <c r="K1771" s="197"/>
      <c r="L1771" s="211"/>
      <c r="M1771" s="197"/>
      <c r="N1771" s="197"/>
      <c r="O1771" s="211"/>
      <c r="P1771" s="197"/>
      <c r="Q1771" s="197"/>
      <c r="R1771" s="357"/>
    </row>
    <row r="1772" spans="1:18" s="199" customFormat="1" ht="60" customHeight="1" hidden="1">
      <c r="A1772" s="194"/>
      <c r="B1772" s="298" t="s">
        <v>138</v>
      </c>
      <c r="C1772" s="79">
        <v>200000</v>
      </c>
      <c r="D1772" s="65"/>
      <c r="E1772" s="80"/>
      <c r="F1772" s="452"/>
      <c r="G1772" s="147">
        <v>200000</v>
      </c>
      <c r="H1772" s="300"/>
      <c r="I1772" s="426"/>
      <c r="J1772" s="198"/>
      <c r="K1772" s="197"/>
      <c r="L1772" s="211"/>
      <c r="M1772" s="197"/>
      <c r="N1772" s="197"/>
      <c r="O1772" s="211"/>
      <c r="P1772" s="197"/>
      <c r="Q1772" s="197"/>
      <c r="R1772" s="357"/>
    </row>
    <row r="1773" spans="1:18" s="105" customFormat="1" ht="24">
      <c r="A1773" s="106">
        <v>90003</v>
      </c>
      <c r="B1773" s="172" t="s">
        <v>139</v>
      </c>
      <c r="C1773" s="108">
        <f>SUM(C1774:C1777)</f>
        <v>3310000</v>
      </c>
      <c r="D1773" s="86">
        <f aca="true" t="shared" si="225" ref="D1773:E1796">G1773+J1773+P1773+M1773</f>
        <v>3610000</v>
      </c>
      <c r="E1773" s="75">
        <f t="shared" si="225"/>
        <v>1912158</v>
      </c>
      <c r="F1773" s="451">
        <f t="shared" si="219"/>
        <v>52.96836565096953</v>
      </c>
      <c r="G1773" s="75">
        <f>SUM(G1774:G1777)</f>
        <v>1860000</v>
      </c>
      <c r="H1773" s="110">
        <f>SUM(H1774:H1777)</f>
        <v>894848</v>
      </c>
      <c r="I1773" s="432">
        <f t="shared" si="223"/>
        <v>48.11010752688172</v>
      </c>
      <c r="J1773" s="110"/>
      <c r="K1773" s="75"/>
      <c r="L1773" s="301"/>
      <c r="M1773" s="75">
        <f>SUM(M1774:M1777)</f>
        <v>1750000</v>
      </c>
      <c r="N1773" s="75">
        <f>SUM(N1774:N1777)</f>
        <v>1017310</v>
      </c>
      <c r="O1773" s="432">
        <f aca="true" t="shared" si="226" ref="O1773:O1779">N1773/M1773*100</f>
        <v>58.132</v>
      </c>
      <c r="P1773" s="75"/>
      <c r="Q1773" s="75"/>
      <c r="R1773" s="360"/>
    </row>
    <row r="1774" spans="1:18" s="12" customFormat="1" ht="24" hidden="1">
      <c r="A1774" s="181">
        <v>4210</v>
      </c>
      <c r="B1774" s="182" t="s">
        <v>481</v>
      </c>
      <c r="C1774" s="93"/>
      <c r="D1774" s="65">
        <f t="shared" si="225"/>
        <v>0</v>
      </c>
      <c r="E1774" s="65">
        <f t="shared" si="225"/>
        <v>0</v>
      </c>
      <c r="F1774" s="452" t="e">
        <f>E1774/D1774*100</f>
        <v>#DIV/0!</v>
      </c>
      <c r="G1774" s="94"/>
      <c r="H1774" s="183"/>
      <c r="I1774" s="448"/>
      <c r="J1774" s="183"/>
      <c r="K1774" s="94"/>
      <c r="L1774" s="289"/>
      <c r="M1774" s="94"/>
      <c r="N1774" s="94"/>
      <c r="O1774" s="426" t="e">
        <f t="shared" si="226"/>
        <v>#DIV/0!</v>
      </c>
      <c r="P1774" s="94"/>
      <c r="Q1774" s="94"/>
      <c r="R1774" s="353"/>
    </row>
    <row r="1775" spans="1:18" s="12" customFormat="1" ht="24">
      <c r="A1775" s="159">
        <v>4270</v>
      </c>
      <c r="B1775" s="193" t="s">
        <v>487</v>
      </c>
      <c r="C1775" s="161">
        <v>70000</v>
      </c>
      <c r="D1775" s="65">
        <f t="shared" si="225"/>
        <v>70000</v>
      </c>
      <c r="E1775" s="65">
        <f t="shared" si="225"/>
        <v>25300</v>
      </c>
      <c r="F1775" s="452">
        <f>E1775/D1775*100</f>
        <v>36.142857142857146</v>
      </c>
      <c r="G1775" s="65"/>
      <c r="H1775" s="162"/>
      <c r="I1775" s="211"/>
      <c r="J1775" s="162"/>
      <c r="K1775" s="65"/>
      <c r="L1775" s="211"/>
      <c r="M1775" s="65">
        <v>70000</v>
      </c>
      <c r="N1775" s="65">
        <v>25300</v>
      </c>
      <c r="O1775" s="426">
        <f t="shared" si="226"/>
        <v>36.142857142857146</v>
      </c>
      <c r="P1775" s="65"/>
      <c r="Q1775" s="65"/>
      <c r="R1775" s="350"/>
    </row>
    <row r="1776" spans="1:18" s="12" customFormat="1" ht="24" customHeight="1">
      <c r="A1776" s="145">
        <v>4300</v>
      </c>
      <c r="B1776" s="146" t="s">
        <v>401</v>
      </c>
      <c r="C1776" s="163"/>
      <c r="D1776" s="148">
        <f t="shared" si="225"/>
        <v>300000</v>
      </c>
      <c r="E1776" s="148">
        <f t="shared" si="225"/>
        <v>0</v>
      </c>
      <c r="F1776" s="453">
        <f>E1776/D1776*100</f>
        <v>0</v>
      </c>
      <c r="G1776" s="148">
        <v>300000</v>
      </c>
      <c r="H1776" s="164"/>
      <c r="I1776" s="446">
        <f t="shared" si="223"/>
        <v>0</v>
      </c>
      <c r="J1776" s="164"/>
      <c r="K1776" s="148"/>
      <c r="L1776" s="259"/>
      <c r="M1776" s="148"/>
      <c r="N1776" s="148"/>
      <c r="O1776" s="446"/>
      <c r="P1776" s="148"/>
      <c r="Q1776" s="148"/>
      <c r="R1776" s="354"/>
    </row>
    <row r="1777" spans="1:18" ht="16.5" customHeight="1">
      <c r="A1777" s="111">
        <v>4300</v>
      </c>
      <c r="B1777" s="115" t="s">
        <v>489</v>
      </c>
      <c r="C1777" s="79">
        <v>3240000</v>
      </c>
      <c r="D1777" s="65">
        <f t="shared" si="225"/>
        <v>3240000</v>
      </c>
      <c r="E1777" s="148">
        <f t="shared" si="225"/>
        <v>1886858</v>
      </c>
      <c r="F1777" s="452">
        <f t="shared" si="219"/>
        <v>58.236358024691356</v>
      </c>
      <c r="G1777" s="80">
        <f>1560000</f>
        <v>1560000</v>
      </c>
      <c r="H1777" s="113">
        <v>894848</v>
      </c>
      <c r="I1777" s="426">
        <f t="shared" si="223"/>
        <v>57.36205128205128</v>
      </c>
      <c r="J1777" s="113"/>
      <c r="K1777" s="80"/>
      <c r="L1777" s="211"/>
      <c r="M1777" s="80">
        <v>1680000</v>
      </c>
      <c r="N1777" s="80">
        <v>992010</v>
      </c>
      <c r="O1777" s="426">
        <f t="shared" si="226"/>
        <v>59.04821428571429</v>
      </c>
      <c r="P1777" s="80"/>
      <c r="Q1777" s="80"/>
      <c r="R1777" s="350"/>
    </row>
    <row r="1778" spans="1:18" s="105" customFormat="1" ht="28.5" customHeight="1">
      <c r="A1778" s="106">
        <v>90004</v>
      </c>
      <c r="B1778" s="172" t="s">
        <v>140</v>
      </c>
      <c r="C1778" s="108">
        <f>SUM(C1779:C1781)</f>
        <v>2106000</v>
      </c>
      <c r="D1778" s="86">
        <f t="shared" si="225"/>
        <v>2806000</v>
      </c>
      <c r="E1778" s="75">
        <f t="shared" si="225"/>
        <v>682032</v>
      </c>
      <c r="F1778" s="451">
        <f t="shared" si="219"/>
        <v>24.306200997861723</v>
      </c>
      <c r="G1778" s="75">
        <f>SUM(G1779:G1781)</f>
        <v>2006000</v>
      </c>
      <c r="H1778" s="110">
        <f>SUM(H1779:H1781)</f>
        <v>489722</v>
      </c>
      <c r="I1778" s="432">
        <f t="shared" si="223"/>
        <v>24.412861415752744</v>
      </c>
      <c r="J1778" s="110"/>
      <c r="K1778" s="75"/>
      <c r="L1778" s="301"/>
      <c r="M1778" s="75">
        <f>SUM(M1779:M1779)</f>
        <v>800000</v>
      </c>
      <c r="N1778" s="75">
        <f>SUM(N1779:N1779)</f>
        <v>192310</v>
      </c>
      <c r="O1778" s="432">
        <f t="shared" si="226"/>
        <v>24.03875</v>
      </c>
      <c r="P1778" s="75"/>
      <c r="Q1778" s="75"/>
      <c r="R1778" s="360"/>
    </row>
    <row r="1779" spans="1:18" ht="18.75" customHeight="1">
      <c r="A1779" s="99">
        <v>4300</v>
      </c>
      <c r="B1779" s="186" t="s">
        <v>489</v>
      </c>
      <c r="C1779" s="81">
        <v>1900000</v>
      </c>
      <c r="D1779" s="94">
        <f t="shared" si="225"/>
        <v>1900000</v>
      </c>
      <c r="E1779" s="95">
        <f>SUM(H1779+K1779+N1779+Q1779)</f>
        <v>651532</v>
      </c>
      <c r="F1779" s="454">
        <f t="shared" si="219"/>
        <v>34.29115789473684</v>
      </c>
      <c r="G1779" s="95">
        <v>1100000</v>
      </c>
      <c r="H1779" s="187">
        <v>459222</v>
      </c>
      <c r="I1779" s="448">
        <f t="shared" si="223"/>
        <v>41.747454545454545</v>
      </c>
      <c r="J1779" s="187"/>
      <c r="K1779" s="95"/>
      <c r="L1779" s="289"/>
      <c r="M1779" s="95">
        <v>800000</v>
      </c>
      <c r="N1779" s="95">
        <v>192310</v>
      </c>
      <c r="O1779" s="448">
        <f t="shared" si="226"/>
        <v>24.03875</v>
      </c>
      <c r="P1779" s="95"/>
      <c r="Q1779" s="95"/>
      <c r="R1779" s="353"/>
    </row>
    <row r="1780" spans="1:18" ht="24">
      <c r="A1780" s="111">
        <v>4210</v>
      </c>
      <c r="B1780" s="115" t="s">
        <v>481</v>
      </c>
      <c r="C1780" s="79">
        <v>6000</v>
      </c>
      <c r="D1780" s="65">
        <f>G1780+J1780+P1780+M1780</f>
        <v>6000</v>
      </c>
      <c r="E1780" s="80">
        <f>SUM(H1780+K1780+N1780+Q1780)</f>
        <v>0</v>
      </c>
      <c r="F1780" s="452">
        <f>E1780/D1780*100</f>
        <v>0</v>
      </c>
      <c r="G1780" s="80">
        <v>6000</v>
      </c>
      <c r="H1780" s="113"/>
      <c r="I1780" s="426">
        <f t="shared" si="223"/>
        <v>0</v>
      </c>
      <c r="J1780" s="113"/>
      <c r="K1780" s="80"/>
      <c r="L1780" s="211"/>
      <c r="M1780" s="80"/>
      <c r="N1780" s="80"/>
      <c r="O1780" s="426"/>
      <c r="P1780" s="80"/>
      <c r="Q1780" s="80"/>
      <c r="R1780" s="350"/>
    </row>
    <row r="1781" spans="1:18" ht="24">
      <c r="A1781" s="257">
        <v>6050</v>
      </c>
      <c r="B1781" s="115" t="s">
        <v>512</v>
      </c>
      <c r="C1781" s="147">
        <v>200000</v>
      </c>
      <c r="D1781" s="148">
        <f t="shared" si="225"/>
        <v>900000</v>
      </c>
      <c r="E1781" s="80">
        <f>SUM(H1781+K1781+N1781+Q1781)</f>
        <v>30500</v>
      </c>
      <c r="F1781" s="452">
        <f t="shared" si="219"/>
        <v>3.3888888888888893</v>
      </c>
      <c r="G1781" s="142">
        <f>200000+700000</f>
        <v>900000</v>
      </c>
      <c r="H1781" s="149">
        <v>30500</v>
      </c>
      <c r="I1781" s="426">
        <f t="shared" si="223"/>
        <v>3.3888888888888893</v>
      </c>
      <c r="J1781" s="149"/>
      <c r="K1781" s="142"/>
      <c r="L1781" s="259"/>
      <c r="M1781" s="142"/>
      <c r="N1781" s="142"/>
      <c r="O1781" s="259"/>
      <c r="P1781" s="142"/>
      <c r="Q1781" s="142"/>
      <c r="R1781" s="354"/>
    </row>
    <row r="1782" spans="1:18" s="105" customFormat="1" ht="15.75" customHeight="1">
      <c r="A1782" s="106">
        <v>90013</v>
      </c>
      <c r="B1782" s="172" t="s">
        <v>141</v>
      </c>
      <c r="C1782" s="108">
        <f>SUM(C1783:C1786)</f>
        <v>1025000</v>
      </c>
      <c r="D1782" s="86">
        <f t="shared" si="225"/>
        <v>1175000</v>
      </c>
      <c r="E1782" s="75">
        <f>H1782+K1782+Q1782+N1782</f>
        <v>396454</v>
      </c>
      <c r="F1782" s="451">
        <f t="shared" si="219"/>
        <v>33.74076595744681</v>
      </c>
      <c r="G1782" s="75">
        <f>SUM(G1783:G1786)</f>
        <v>1175000</v>
      </c>
      <c r="H1782" s="75">
        <f>SUM(H1783:H1786)</f>
        <v>396454</v>
      </c>
      <c r="I1782" s="432">
        <f t="shared" si="223"/>
        <v>33.74076595744681</v>
      </c>
      <c r="J1782" s="110"/>
      <c r="K1782" s="75"/>
      <c r="L1782" s="256"/>
      <c r="M1782" s="75"/>
      <c r="N1782" s="75"/>
      <c r="O1782" s="301"/>
      <c r="P1782" s="75"/>
      <c r="Q1782" s="75"/>
      <c r="R1782" s="360"/>
    </row>
    <row r="1783" spans="1:18" s="12" customFormat="1" ht="64.5" customHeight="1">
      <c r="A1783" s="111">
        <v>2820</v>
      </c>
      <c r="B1783" s="115" t="s">
        <v>163</v>
      </c>
      <c r="C1783" s="161"/>
      <c r="D1783" s="65">
        <f t="shared" si="225"/>
        <v>300000</v>
      </c>
      <c r="E1783" s="80">
        <f>SUM(H1783+K1783+N1783+Q1783)</f>
        <v>71250</v>
      </c>
      <c r="F1783" s="452">
        <f t="shared" si="219"/>
        <v>23.75</v>
      </c>
      <c r="G1783" s="65">
        <v>300000</v>
      </c>
      <c r="H1783" s="162">
        <v>71250</v>
      </c>
      <c r="I1783" s="426">
        <f t="shared" si="223"/>
        <v>23.75</v>
      </c>
      <c r="J1783" s="162"/>
      <c r="K1783" s="65"/>
      <c r="L1783" s="211"/>
      <c r="M1783" s="65"/>
      <c r="N1783" s="65"/>
      <c r="O1783" s="211"/>
      <c r="P1783" s="65"/>
      <c r="Q1783" s="65"/>
      <c r="R1783" s="350"/>
    </row>
    <row r="1784" spans="1:18" s="12" customFormat="1" ht="16.5" customHeight="1">
      <c r="A1784" s="159">
        <v>4270</v>
      </c>
      <c r="B1784" s="193" t="s">
        <v>487</v>
      </c>
      <c r="C1784" s="161">
        <v>25000</v>
      </c>
      <c r="D1784" s="65">
        <f t="shared" si="225"/>
        <v>0</v>
      </c>
      <c r="E1784" s="80">
        <f>SUM(H1784+K1784+N1784+Q1784)</f>
        <v>0</v>
      </c>
      <c r="F1784" s="452"/>
      <c r="G1784" s="65">
        <f>25000-25000</f>
        <v>0</v>
      </c>
      <c r="H1784" s="162"/>
      <c r="I1784" s="426"/>
      <c r="J1784" s="162"/>
      <c r="K1784" s="65"/>
      <c r="L1784" s="211"/>
      <c r="M1784" s="65"/>
      <c r="N1784" s="65"/>
      <c r="O1784" s="211"/>
      <c r="P1784" s="65"/>
      <c r="Q1784" s="65"/>
      <c r="R1784" s="350"/>
    </row>
    <row r="1785" spans="1:18" ht="29.25" customHeight="1">
      <c r="A1785" s="111">
        <v>4300</v>
      </c>
      <c r="B1785" s="115" t="s">
        <v>142</v>
      </c>
      <c r="C1785" s="79">
        <v>500000</v>
      </c>
      <c r="D1785" s="65">
        <f t="shared" si="225"/>
        <v>375000</v>
      </c>
      <c r="E1785" s="80">
        <f>SUM(H1785+K1785+N1785+Q1785)</f>
        <v>322764</v>
      </c>
      <c r="F1785" s="452">
        <f t="shared" si="219"/>
        <v>86.0704</v>
      </c>
      <c r="G1785" s="80">
        <f>500000+150000-275000</f>
        <v>375000</v>
      </c>
      <c r="H1785" s="113">
        <v>322764</v>
      </c>
      <c r="I1785" s="426">
        <f t="shared" si="223"/>
        <v>86.0704</v>
      </c>
      <c r="J1785" s="113"/>
      <c r="K1785" s="80"/>
      <c r="L1785" s="211"/>
      <c r="M1785" s="80"/>
      <c r="N1785" s="80"/>
      <c r="O1785" s="211"/>
      <c r="P1785" s="80"/>
      <c r="Q1785" s="80"/>
      <c r="R1785" s="350"/>
    </row>
    <row r="1786" spans="1:18" ht="36">
      <c r="A1786" s="111">
        <v>6050</v>
      </c>
      <c r="B1786" s="115" t="s">
        <v>306</v>
      </c>
      <c r="C1786" s="79">
        <v>500000</v>
      </c>
      <c r="D1786" s="65">
        <f t="shared" si="225"/>
        <v>500000</v>
      </c>
      <c r="E1786" s="65">
        <f>H1786+K1786+Q1786+N1786</f>
        <v>2440</v>
      </c>
      <c r="F1786" s="452">
        <f t="shared" si="219"/>
        <v>0.488</v>
      </c>
      <c r="G1786" s="79">
        <v>500000</v>
      </c>
      <c r="H1786" s="207">
        <v>2440</v>
      </c>
      <c r="I1786" s="426">
        <f t="shared" si="223"/>
        <v>0.488</v>
      </c>
      <c r="J1786" s="113"/>
      <c r="K1786" s="80"/>
      <c r="L1786" s="211"/>
      <c r="M1786" s="113"/>
      <c r="N1786" s="142"/>
      <c r="O1786" s="211"/>
      <c r="P1786" s="113"/>
      <c r="Q1786" s="80"/>
      <c r="R1786" s="350"/>
    </row>
    <row r="1787" spans="1:18" s="105" customFormat="1" ht="27" customHeight="1">
      <c r="A1787" s="106">
        <v>90015</v>
      </c>
      <c r="B1787" s="172" t="s">
        <v>143</v>
      </c>
      <c r="C1787" s="108">
        <f>SUM(C1788:C1792)</f>
        <v>3356000</v>
      </c>
      <c r="D1787" s="86">
        <f t="shared" si="225"/>
        <v>3378000</v>
      </c>
      <c r="E1787" s="75">
        <f t="shared" si="225"/>
        <v>1827425</v>
      </c>
      <c r="F1787" s="451">
        <f t="shared" si="219"/>
        <v>54.0978389579633</v>
      </c>
      <c r="G1787" s="75">
        <f>SUM(G1788:G1792)</f>
        <v>1961000</v>
      </c>
      <c r="H1787" s="110">
        <f>SUM(H1788:H1792)</f>
        <v>1182582</v>
      </c>
      <c r="I1787" s="432">
        <f t="shared" si="223"/>
        <v>60.30504844467109</v>
      </c>
      <c r="J1787" s="110"/>
      <c r="K1787" s="75"/>
      <c r="L1787" s="301"/>
      <c r="M1787" s="75">
        <f>SUM(M1788:M1792)</f>
        <v>1417000</v>
      </c>
      <c r="N1787" s="179">
        <f>SUM(N1788:N1792)</f>
        <v>644843</v>
      </c>
      <c r="O1787" s="432">
        <f>N1787/M1787*100</f>
        <v>45.507621736062106</v>
      </c>
      <c r="P1787" s="75"/>
      <c r="Q1787" s="75"/>
      <c r="R1787" s="360"/>
    </row>
    <row r="1788" spans="1:18" ht="15" customHeight="1">
      <c r="A1788" s="99">
        <v>4260</v>
      </c>
      <c r="B1788" s="144" t="s">
        <v>485</v>
      </c>
      <c r="C1788" s="81">
        <v>1760000</v>
      </c>
      <c r="D1788" s="94">
        <f t="shared" si="225"/>
        <v>1760000</v>
      </c>
      <c r="E1788" s="95">
        <f aca="true" t="shared" si="227" ref="E1788:E1816">SUM(H1788+K1788+N1788+Q1788)</f>
        <v>1142788</v>
      </c>
      <c r="F1788" s="454">
        <f t="shared" si="219"/>
        <v>64.93113636363637</v>
      </c>
      <c r="G1788" s="95">
        <v>1029000</v>
      </c>
      <c r="H1788" s="187">
        <v>757165</v>
      </c>
      <c r="I1788" s="448">
        <f t="shared" si="223"/>
        <v>73.58260447035957</v>
      </c>
      <c r="J1788" s="187"/>
      <c r="K1788" s="95"/>
      <c r="L1788" s="289"/>
      <c r="M1788" s="95">
        <v>731000</v>
      </c>
      <c r="N1788" s="95">
        <v>385623</v>
      </c>
      <c r="O1788" s="426">
        <f>N1788/M1788*100</f>
        <v>52.75280437756498</v>
      </c>
      <c r="P1788" s="95"/>
      <c r="Q1788" s="95"/>
      <c r="R1788" s="353"/>
    </row>
    <row r="1789" spans="1:18" ht="17.25" customHeight="1">
      <c r="A1789" s="111">
        <v>4270</v>
      </c>
      <c r="B1789" s="115" t="s">
        <v>487</v>
      </c>
      <c r="C1789" s="79">
        <v>1266000</v>
      </c>
      <c r="D1789" s="65">
        <f t="shared" si="225"/>
        <v>1265200</v>
      </c>
      <c r="E1789" s="80">
        <f t="shared" si="227"/>
        <v>622700</v>
      </c>
      <c r="F1789" s="452">
        <f t="shared" si="219"/>
        <v>49.21751501738856</v>
      </c>
      <c r="G1789" s="80">
        <f>782000-800</f>
        <v>781200</v>
      </c>
      <c r="H1789" s="113">
        <v>363480</v>
      </c>
      <c r="I1789" s="426">
        <f t="shared" si="223"/>
        <v>46.528417818740394</v>
      </c>
      <c r="J1789" s="113"/>
      <c r="K1789" s="80"/>
      <c r="L1789" s="211"/>
      <c r="M1789" s="80">
        <v>484000</v>
      </c>
      <c r="N1789" s="80">
        <v>259220</v>
      </c>
      <c r="O1789" s="426">
        <f>N1789/M1789*100</f>
        <v>53.55785123966942</v>
      </c>
      <c r="P1789" s="80"/>
      <c r="Q1789" s="80"/>
      <c r="R1789" s="350"/>
    </row>
    <row r="1790" spans="1:18" ht="15.75" customHeight="1">
      <c r="A1790" s="111">
        <v>4300</v>
      </c>
      <c r="B1790" s="115" t="s">
        <v>489</v>
      </c>
      <c r="C1790" s="79"/>
      <c r="D1790" s="65">
        <f t="shared" si="225"/>
        <v>800</v>
      </c>
      <c r="E1790" s="80">
        <f t="shared" si="227"/>
        <v>222</v>
      </c>
      <c r="F1790" s="452">
        <f t="shared" si="219"/>
        <v>27.750000000000004</v>
      </c>
      <c r="G1790" s="80">
        <v>800</v>
      </c>
      <c r="H1790" s="113">
        <v>222</v>
      </c>
      <c r="I1790" s="426">
        <f t="shared" si="223"/>
        <v>27.750000000000004</v>
      </c>
      <c r="J1790" s="113"/>
      <c r="K1790" s="80"/>
      <c r="L1790" s="211"/>
      <c r="M1790" s="80"/>
      <c r="N1790" s="80"/>
      <c r="O1790" s="426"/>
      <c r="P1790" s="80"/>
      <c r="Q1790" s="80"/>
      <c r="R1790" s="350"/>
    </row>
    <row r="1791" spans="1:18" ht="36">
      <c r="A1791" s="111">
        <v>4390</v>
      </c>
      <c r="B1791" s="115" t="s">
        <v>271</v>
      </c>
      <c r="C1791" s="79"/>
      <c r="D1791" s="65">
        <f>G1791+J1791+P1791+M1791</f>
        <v>62000</v>
      </c>
      <c r="E1791" s="80">
        <f>SUM(H1791+K1791+N1791+Q1791)</f>
        <v>0</v>
      </c>
      <c r="F1791" s="452">
        <f>E1791/D1791*100</f>
        <v>0</v>
      </c>
      <c r="G1791" s="80"/>
      <c r="H1791" s="113"/>
      <c r="I1791" s="426"/>
      <c r="J1791" s="113"/>
      <c r="K1791" s="80"/>
      <c r="L1791" s="211"/>
      <c r="M1791" s="80">
        <v>62000</v>
      </c>
      <c r="N1791" s="80"/>
      <c r="O1791" s="426">
        <f>N1791/M1791*100</f>
        <v>0</v>
      </c>
      <c r="P1791" s="80"/>
      <c r="Q1791" s="80"/>
      <c r="R1791" s="350"/>
    </row>
    <row r="1792" spans="1:18" ht="24">
      <c r="A1792" s="145">
        <v>6050</v>
      </c>
      <c r="B1792" s="146" t="s">
        <v>512</v>
      </c>
      <c r="C1792" s="147">
        <v>330000</v>
      </c>
      <c r="D1792" s="148">
        <f t="shared" si="225"/>
        <v>290000</v>
      </c>
      <c r="E1792" s="142">
        <f t="shared" si="227"/>
        <v>61715</v>
      </c>
      <c r="F1792" s="453">
        <f t="shared" si="219"/>
        <v>21.28103448275862</v>
      </c>
      <c r="G1792" s="142">
        <f>190000-40000</f>
        <v>150000</v>
      </c>
      <c r="H1792" s="149">
        <v>61715</v>
      </c>
      <c r="I1792" s="426">
        <f t="shared" si="223"/>
        <v>41.14333333333333</v>
      </c>
      <c r="J1792" s="149"/>
      <c r="K1792" s="142"/>
      <c r="L1792" s="259"/>
      <c r="M1792" s="142">
        <v>140000</v>
      </c>
      <c r="N1792" s="142"/>
      <c r="O1792" s="426">
        <f>N1792/M1792*100</f>
        <v>0</v>
      </c>
      <c r="P1792" s="142"/>
      <c r="Q1792" s="142"/>
      <c r="R1792" s="354"/>
    </row>
    <row r="1793" spans="1:18" ht="24" customHeight="1">
      <c r="A1793" s="106">
        <v>90095</v>
      </c>
      <c r="B1793" s="172" t="s">
        <v>504</v>
      </c>
      <c r="C1793" s="266">
        <f>SUM(C1794:C1804)</f>
        <v>2861700</v>
      </c>
      <c r="D1793" s="86">
        <f t="shared" si="225"/>
        <v>3843700</v>
      </c>
      <c r="E1793" s="86">
        <f t="shared" si="227"/>
        <v>1025116</v>
      </c>
      <c r="F1793" s="451">
        <f t="shared" si="219"/>
        <v>26.670031480084294</v>
      </c>
      <c r="G1793" s="75">
        <f>SUM(G1794:G1802)+G1804</f>
        <v>3843700</v>
      </c>
      <c r="H1793" s="75">
        <f>SUM(H1794:H1802)+H1804</f>
        <v>1025116</v>
      </c>
      <c r="I1793" s="432">
        <f t="shared" si="223"/>
        <v>26.670031480084294</v>
      </c>
      <c r="J1793" s="296"/>
      <c r="K1793" s="75"/>
      <c r="L1793" s="301"/>
      <c r="M1793" s="75"/>
      <c r="N1793" s="75"/>
      <c r="O1793" s="301"/>
      <c r="P1793" s="75"/>
      <c r="Q1793" s="75"/>
      <c r="R1793" s="369"/>
    </row>
    <row r="1794" spans="1:18" ht="24" hidden="1">
      <c r="A1794" s="111">
        <v>4210</v>
      </c>
      <c r="B1794" s="115" t="s">
        <v>481</v>
      </c>
      <c r="C1794" s="302"/>
      <c r="D1794" s="65">
        <f t="shared" si="225"/>
        <v>0</v>
      </c>
      <c r="E1794" s="80">
        <f t="shared" si="227"/>
        <v>0</v>
      </c>
      <c r="F1794" s="452" t="e">
        <f t="shared" si="219"/>
        <v>#DIV/0!</v>
      </c>
      <c r="G1794" s="302"/>
      <c r="H1794" s="113"/>
      <c r="I1794" s="426" t="e">
        <f>H1794/G1794*100</f>
        <v>#DIV/0!</v>
      </c>
      <c r="J1794" s="113"/>
      <c r="K1794" s="80"/>
      <c r="L1794" s="211"/>
      <c r="M1794" s="80"/>
      <c r="N1794" s="80"/>
      <c r="O1794" s="211"/>
      <c r="P1794" s="80"/>
      <c r="Q1794" s="80"/>
      <c r="R1794" s="350"/>
    </row>
    <row r="1795" spans="1:18" ht="25.5" customHeight="1">
      <c r="A1795" s="111">
        <v>4270</v>
      </c>
      <c r="B1795" s="115" t="s">
        <v>261</v>
      </c>
      <c r="C1795" s="302">
        <f>200000+352500</f>
        <v>552500</v>
      </c>
      <c r="D1795" s="65">
        <f t="shared" si="225"/>
        <v>513000</v>
      </c>
      <c r="E1795" s="80">
        <f t="shared" si="227"/>
        <v>0</v>
      </c>
      <c r="F1795" s="452">
        <f t="shared" si="219"/>
        <v>0</v>
      </c>
      <c r="G1795" s="302">
        <f>200000+352500-4000-37500+65000-63000-2000+2000</f>
        <v>513000</v>
      </c>
      <c r="H1795" s="113"/>
      <c r="I1795" s="426">
        <f>H1795/G1795*100</f>
        <v>0</v>
      </c>
      <c r="J1795" s="113"/>
      <c r="K1795" s="80"/>
      <c r="L1795" s="211"/>
      <c r="M1795" s="80"/>
      <c r="N1795" s="80"/>
      <c r="O1795" s="211"/>
      <c r="P1795" s="80"/>
      <c r="Q1795" s="80"/>
      <c r="R1795" s="350"/>
    </row>
    <row r="1796" spans="1:18" ht="17.25" customHeight="1">
      <c r="A1796" s="111">
        <v>4300</v>
      </c>
      <c r="B1796" s="115" t="s">
        <v>489</v>
      </c>
      <c r="C1796" s="303">
        <v>209200</v>
      </c>
      <c r="D1796" s="65">
        <f t="shared" si="225"/>
        <v>202063</v>
      </c>
      <c r="E1796" s="80">
        <f t="shared" si="227"/>
        <v>150260</v>
      </c>
      <c r="F1796" s="452">
        <f t="shared" si="219"/>
        <v>74.36294620984545</v>
      </c>
      <c r="G1796" s="303">
        <f>209200-4020-3000-117</f>
        <v>202063</v>
      </c>
      <c r="H1796" s="162">
        <v>150260</v>
      </c>
      <c r="I1796" s="426">
        <f t="shared" si="223"/>
        <v>74.36294620984545</v>
      </c>
      <c r="J1796" s="113"/>
      <c r="K1796" s="80"/>
      <c r="L1796" s="211"/>
      <c r="M1796" s="80"/>
      <c r="N1796" s="80"/>
      <c r="O1796" s="211"/>
      <c r="P1796" s="80"/>
      <c r="Q1796" s="80"/>
      <c r="R1796" s="350"/>
    </row>
    <row r="1797" spans="1:18" ht="12.75">
      <c r="A1797" s="145">
        <v>4430</v>
      </c>
      <c r="B1797" s="146" t="s">
        <v>491</v>
      </c>
      <c r="C1797" s="615"/>
      <c r="D1797" s="148">
        <f>G1797+J1797+P1797+M1797</f>
        <v>7020</v>
      </c>
      <c r="E1797" s="142">
        <f>SUM(H1797+K1797+N1797+Q1797)</f>
        <v>6677</v>
      </c>
      <c r="F1797" s="453">
        <f>E1797/D1797*100</f>
        <v>95.11396011396012</v>
      </c>
      <c r="G1797" s="615">
        <v>7020</v>
      </c>
      <c r="H1797" s="164">
        <v>6677</v>
      </c>
      <c r="I1797" s="446">
        <f t="shared" si="223"/>
        <v>95.11396011396012</v>
      </c>
      <c r="J1797" s="149"/>
      <c r="K1797" s="142"/>
      <c r="L1797" s="259"/>
      <c r="M1797" s="142"/>
      <c r="N1797" s="142"/>
      <c r="O1797" s="259"/>
      <c r="P1797" s="142"/>
      <c r="Q1797" s="142"/>
      <c r="R1797" s="354"/>
    </row>
    <row r="1798" spans="1:18" s="12" customFormat="1" ht="12.75" hidden="1">
      <c r="A1798" s="159">
        <v>4580</v>
      </c>
      <c r="B1798" s="193" t="s">
        <v>525</v>
      </c>
      <c r="C1798" s="302"/>
      <c r="D1798" s="65">
        <f>G1798+J1798+P1798+M1798</f>
        <v>0</v>
      </c>
      <c r="E1798" s="80">
        <f t="shared" si="227"/>
        <v>0</v>
      </c>
      <c r="F1798" s="452" t="e">
        <f t="shared" si="219"/>
        <v>#DIV/0!</v>
      </c>
      <c r="G1798" s="302"/>
      <c r="H1798" s="162"/>
      <c r="I1798" s="426" t="e">
        <f t="shared" si="223"/>
        <v>#DIV/0!</v>
      </c>
      <c r="J1798" s="162"/>
      <c r="K1798" s="65"/>
      <c r="L1798" s="211"/>
      <c r="M1798" s="65"/>
      <c r="N1798" s="65"/>
      <c r="O1798" s="390"/>
      <c r="P1798" s="65"/>
      <c r="Q1798" s="65"/>
      <c r="R1798" s="350"/>
    </row>
    <row r="1799" spans="1:18" s="12" customFormat="1" ht="36" hidden="1">
      <c r="A1799" s="159">
        <v>4590</v>
      </c>
      <c r="B1799" s="193" t="s">
        <v>526</v>
      </c>
      <c r="C1799" s="302"/>
      <c r="D1799" s="65">
        <f>G1799+J1799+P1799+M1799</f>
        <v>0</v>
      </c>
      <c r="E1799" s="80">
        <f>SUM(H1799+K1799+N1799+Q1799)</f>
        <v>0</v>
      </c>
      <c r="F1799" s="452" t="e">
        <f t="shared" si="219"/>
        <v>#DIV/0!</v>
      </c>
      <c r="G1799" s="302"/>
      <c r="H1799" s="162"/>
      <c r="I1799" s="426" t="e">
        <f t="shared" si="223"/>
        <v>#DIV/0!</v>
      </c>
      <c r="J1799" s="162"/>
      <c r="K1799" s="65"/>
      <c r="L1799" s="211"/>
      <c r="M1799" s="65"/>
      <c r="N1799" s="65"/>
      <c r="O1799" s="390"/>
      <c r="P1799" s="65"/>
      <c r="Q1799" s="65"/>
      <c r="R1799" s="350"/>
    </row>
    <row r="1800" spans="1:18" s="12" customFormat="1" ht="36">
      <c r="A1800" s="159">
        <v>4610</v>
      </c>
      <c r="B1800" s="193" t="s">
        <v>548</v>
      </c>
      <c r="C1800" s="302"/>
      <c r="D1800" s="65">
        <f>G1800+J1800+P1800+M1800</f>
        <v>117</v>
      </c>
      <c r="E1800" s="80">
        <f>SUM(H1800+K1800+N1800+Q1800)</f>
        <v>117</v>
      </c>
      <c r="F1800" s="452">
        <f t="shared" si="219"/>
        <v>100</v>
      </c>
      <c r="G1800" s="302">
        <v>117</v>
      </c>
      <c r="H1800" s="162">
        <v>117</v>
      </c>
      <c r="I1800" s="426">
        <f t="shared" si="223"/>
        <v>100</v>
      </c>
      <c r="J1800" s="162"/>
      <c r="K1800" s="65"/>
      <c r="L1800" s="211"/>
      <c r="M1800" s="65"/>
      <c r="N1800" s="65"/>
      <c r="O1800" s="390"/>
      <c r="P1800" s="65"/>
      <c r="Q1800" s="65"/>
      <c r="R1800" s="350"/>
    </row>
    <row r="1801" spans="1:18" ht="24">
      <c r="A1801" s="257">
        <v>6050</v>
      </c>
      <c r="B1801" s="115" t="s">
        <v>512</v>
      </c>
      <c r="C1801" s="302">
        <v>2000000</v>
      </c>
      <c r="D1801" s="65">
        <f>G1801+J1801+P1801+M1801</f>
        <v>1821500</v>
      </c>
      <c r="E1801" s="80">
        <f t="shared" si="227"/>
        <v>868062</v>
      </c>
      <c r="F1801" s="452">
        <f aca="true" t="shared" si="228" ref="F1801:F1864">E1801/D1801*100</f>
        <v>47.65643700247049</v>
      </c>
      <c r="G1801" s="302">
        <f>2000000+620000+21500-134000+134000-820000</f>
        <v>1821500</v>
      </c>
      <c r="H1801" s="253">
        <v>868062</v>
      </c>
      <c r="I1801" s="426">
        <f t="shared" si="223"/>
        <v>47.65643700247049</v>
      </c>
      <c r="J1801" s="198"/>
      <c r="K1801" s="197"/>
      <c r="L1801" s="211"/>
      <c r="M1801" s="80"/>
      <c r="N1801" s="80"/>
      <c r="O1801" s="211"/>
      <c r="P1801" s="80"/>
      <c r="Q1801" s="80"/>
      <c r="R1801" s="350"/>
    </row>
    <row r="1802" spans="1:18" s="199" customFormat="1" ht="101.25" customHeight="1">
      <c r="A1802" s="111">
        <v>6300</v>
      </c>
      <c r="B1802" s="115" t="s">
        <v>82</v>
      </c>
      <c r="C1802" s="302"/>
      <c r="D1802" s="65">
        <f aca="true" t="shared" si="229" ref="D1802:D1816">G1802+J1802+P1802+M1802</f>
        <v>1200000</v>
      </c>
      <c r="E1802" s="80">
        <f t="shared" si="227"/>
        <v>0</v>
      </c>
      <c r="F1802" s="452">
        <f t="shared" si="228"/>
        <v>0</v>
      </c>
      <c r="G1802" s="302">
        <v>1200000</v>
      </c>
      <c r="H1802" s="304"/>
      <c r="I1802" s="426">
        <f t="shared" si="223"/>
        <v>0</v>
      </c>
      <c r="J1802" s="198"/>
      <c r="K1802" s="197"/>
      <c r="L1802" s="211"/>
      <c r="M1802" s="197"/>
      <c r="N1802" s="197"/>
      <c r="O1802" s="211"/>
      <c r="P1802" s="197"/>
      <c r="Q1802" s="197"/>
      <c r="R1802" s="357"/>
    </row>
    <row r="1803" spans="1:18" ht="60" hidden="1">
      <c r="A1803" s="111">
        <v>6010</v>
      </c>
      <c r="B1803" s="115" t="s">
        <v>150</v>
      </c>
      <c r="C1803" s="79">
        <v>0</v>
      </c>
      <c r="D1803" s="65">
        <f t="shared" si="229"/>
        <v>0</v>
      </c>
      <c r="E1803" s="80">
        <f t="shared" si="227"/>
        <v>0</v>
      </c>
      <c r="F1803" s="452" t="e">
        <f t="shared" si="228"/>
        <v>#DIV/0!</v>
      </c>
      <c r="G1803" s="80">
        <v>0</v>
      </c>
      <c r="H1803" s="113">
        <v>0</v>
      </c>
      <c r="I1803" s="426" t="e">
        <f t="shared" si="223"/>
        <v>#DIV/0!</v>
      </c>
      <c r="J1803" s="113"/>
      <c r="K1803" s="80"/>
      <c r="L1803" s="211"/>
      <c r="M1803" s="80"/>
      <c r="N1803" s="80"/>
      <c r="O1803" s="211"/>
      <c r="P1803" s="80"/>
      <c r="Q1803" s="80"/>
      <c r="R1803" s="350"/>
    </row>
    <row r="1804" spans="1:18" s="130" customFormat="1" ht="12.75">
      <c r="A1804" s="122"/>
      <c r="B1804" s="123" t="s">
        <v>234</v>
      </c>
      <c r="C1804" s="124">
        <f>SUM(C1805:C1816)</f>
        <v>100000</v>
      </c>
      <c r="D1804" s="126">
        <f t="shared" si="229"/>
        <v>100000</v>
      </c>
      <c r="E1804" s="126">
        <f t="shared" si="227"/>
        <v>0</v>
      </c>
      <c r="F1804" s="461">
        <f t="shared" si="228"/>
        <v>0</v>
      </c>
      <c r="G1804" s="127">
        <f>SUM(G1805:G1816)</f>
        <v>100000</v>
      </c>
      <c r="H1804" s="127">
        <f>SUM(H1805:H1816)</f>
        <v>0</v>
      </c>
      <c r="I1804" s="426">
        <f t="shared" si="223"/>
        <v>0</v>
      </c>
      <c r="J1804" s="127"/>
      <c r="K1804" s="126"/>
      <c r="L1804" s="337"/>
      <c r="M1804" s="127"/>
      <c r="N1804" s="127"/>
      <c r="O1804" s="372"/>
      <c r="P1804" s="127"/>
      <c r="Q1804" s="126"/>
      <c r="R1804" s="352"/>
    </row>
    <row r="1805" spans="1:18" ht="24">
      <c r="A1805" s="111">
        <v>4178</v>
      </c>
      <c r="B1805" s="115" t="s">
        <v>307</v>
      </c>
      <c r="C1805" s="79">
        <v>10000</v>
      </c>
      <c r="D1805" s="65">
        <f t="shared" si="229"/>
        <v>10000</v>
      </c>
      <c r="E1805" s="80">
        <f t="shared" si="227"/>
        <v>0</v>
      </c>
      <c r="F1805" s="452">
        <f t="shared" si="228"/>
        <v>0</v>
      </c>
      <c r="G1805" s="113">
        <v>10000</v>
      </c>
      <c r="H1805" s="113"/>
      <c r="I1805" s="426">
        <f t="shared" si="223"/>
        <v>0</v>
      </c>
      <c r="J1805" s="113"/>
      <c r="K1805" s="80"/>
      <c r="L1805" s="211"/>
      <c r="M1805" s="113"/>
      <c r="N1805" s="113"/>
      <c r="O1805" s="265"/>
      <c r="P1805" s="113"/>
      <c r="Q1805" s="80"/>
      <c r="R1805" s="350"/>
    </row>
    <row r="1806" spans="1:18" ht="24">
      <c r="A1806" s="111">
        <v>4210</v>
      </c>
      <c r="B1806" s="115" t="s">
        <v>481</v>
      </c>
      <c r="C1806" s="79">
        <v>100</v>
      </c>
      <c r="D1806" s="65">
        <f>G1806+J1806+P1806+M1806</f>
        <v>100</v>
      </c>
      <c r="E1806" s="80">
        <f>SUM(H1806+K1806+N1806+Q1806)</f>
        <v>0</v>
      </c>
      <c r="F1806" s="452">
        <f t="shared" si="228"/>
        <v>0</v>
      </c>
      <c r="G1806" s="113">
        <v>100</v>
      </c>
      <c r="H1806" s="113"/>
      <c r="I1806" s="426">
        <f t="shared" si="223"/>
        <v>0</v>
      </c>
      <c r="J1806" s="113"/>
      <c r="K1806" s="80"/>
      <c r="L1806" s="211"/>
      <c r="M1806" s="113"/>
      <c r="N1806" s="113"/>
      <c r="O1806" s="265"/>
      <c r="P1806" s="113"/>
      <c r="Q1806" s="80"/>
      <c r="R1806" s="350"/>
    </row>
    <row r="1807" spans="1:18" ht="24">
      <c r="A1807" s="111">
        <v>4218</v>
      </c>
      <c r="B1807" s="115" t="s">
        <v>481</v>
      </c>
      <c r="C1807" s="79">
        <v>3000</v>
      </c>
      <c r="D1807" s="65">
        <f t="shared" si="229"/>
        <v>3000</v>
      </c>
      <c r="E1807" s="80">
        <f t="shared" si="227"/>
        <v>0</v>
      </c>
      <c r="F1807" s="452">
        <f t="shared" si="228"/>
        <v>0</v>
      </c>
      <c r="G1807" s="113">
        <v>3000</v>
      </c>
      <c r="H1807" s="113"/>
      <c r="I1807" s="426">
        <f t="shared" si="223"/>
        <v>0</v>
      </c>
      <c r="J1807" s="113"/>
      <c r="K1807" s="80"/>
      <c r="L1807" s="211"/>
      <c r="M1807" s="113"/>
      <c r="N1807" s="113"/>
      <c r="O1807" s="265"/>
      <c r="P1807" s="113"/>
      <c r="Q1807" s="80"/>
      <c r="R1807" s="350"/>
    </row>
    <row r="1808" spans="1:18" ht="24">
      <c r="A1808" s="111">
        <v>4219</v>
      </c>
      <c r="B1808" s="115" t="s">
        <v>481</v>
      </c>
      <c r="C1808" s="79">
        <v>700</v>
      </c>
      <c r="D1808" s="65">
        <f t="shared" si="229"/>
        <v>700</v>
      </c>
      <c r="E1808" s="80">
        <f t="shared" si="227"/>
        <v>0</v>
      </c>
      <c r="F1808" s="452">
        <f t="shared" si="228"/>
        <v>0</v>
      </c>
      <c r="G1808" s="113">
        <v>700</v>
      </c>
      <c r="H1808" s="113"/>
      <c r="I1808" s="426">
        <f t="shared" si="223"/>
        <v>0</v>
      </c>
      <c r="J1808" s="113"/>
      <c r="K1808" s="80"/>
      <c r="L1808" s="211"/>
      <c r="M1808" s="113"/>
      <c r="N1808" s="113"/>
      <c r="O1808" s="265"/>
      <c r="P1808" s="113"/>
      <c r="Q1808" s="80"/>
      <c r="R1808" s="350"/>
    </row>
    <row r="1809" spans="1:18" ht="24" hidden="1">
      <c r="A1809" s="111">
        <v>4300</v>
      </c>
      <c r="B1809" s="115" t="s">
        <v>502</v>
      </c>
      <c r="C1809" s="79"/>
      <c r="D1809" s="65">
        <f t="shared" si="229"/>
        <v>0</v>
      </c>
      <c r="E1809" s="80">
        <f>SUM(H1809+K1809+N1809+Q1809)</f>
        <v>0</v>
      </c>
      <c r="F1809" s="452" t="e">
        <f>E1809/D1809*100</f>
        <v>#DIV/0!</v>
      </c>
      <c r="G1809" s="113"/>
      <c r="H1809" s="113"/>
      <c r="I1809" s="426" t="e">
        <f t="shared" si="223"/>
        <v>#DIV/0!</v>
      </c>
      <c r="J1809" s="113"/>
      <c r="K1809" s="80"/>
      <c r="L1809" s="211"/>
      <c r="M1809" s="113"/>
      <c r="N1809" s="113"/>
      <c r="O1809" s="265"/>
      <c r="P1809" s="113"/>
      <c r="Q1809" s="80"/>
      <c r="R1809" s="350"/>
    </row>
    <row r="1810" spans="1:18" ht="15.75" customHeight="1">
      <c r="A1810" s="111">
        <v>4308</v>
      </c>
      <c r="B1810" s="115" t="s">
        <v>502</v>
      </c>
      <c r="C1810" s="79">
        <v>10000</v>
      </c>
      <c r="D1810" s="65">
        <f t="shared" si="229"/>
        <v>10000</v>
      </c>
      <c r="E1810" s="80">
        <f t="shared" si="227"/>
        <v>0</v>
      </c>
      <c r="F1810" s="452">
        <f t="shared" si="228"/>
        <v>0</v>
      </c>
      <c r="G1810" s="113">
        <v>10000</v>
      </c>
      <c r="H1810" s="113"/>
      <c r="I1810" s="426">
        <f t="shared" si="223"/>
        <v>0</v>
      </c>
      <c r="J1810" s="113"/>
      <c r="K1810" s="80"/>
      <c r="L1810" s="211"/>
      <c r="M1810" s="113"/>
      <c r="N1810" s="113"/>
      <c r="O1810" s="265"/>
      <c r="P1810" s="113"/>
      <c r="Q1810" s="80"/>
      <c r="R1810" s="350"/>
    </row>
    <row r="1811" spans="1:18" ht="14.25" customHeight="1">
      <c r="A1811" s="111">
        <v>4309</v>
      </c>
      <c r="B1811" s="115" t="s">
        <v>502</v>
      </c>
      <c r="C1811" s="79">
        <v>2200</v>
      </c>
      <c r="D1811" s="65">
        <f t="shared" si="229"/>
        <v>2200</v>
      </c>
      <c r="E1811" s="80">
        <f t="shared" si="227"/>
        <v>0</v>
      </c>
      <c r="F1811" s="452">
        <f t="shared" si="228"/>
        <v>0</v>
      </c>
      <c r="G1811" s="113">
        <v>2200</v>
      </c>
      <c r="H1811" s="113"/>
      <c r="I1811" s="426">
        <f t="shared" si="223"/>
        <v>0</v>
      </c>
      <c r="J1811" s="113"/>
      <c r="K1811" s="80"/>
      <c r="L1811" s="211"/>
      <c r="M1811" s="113"/>
      <c r="N1811" s="113"/>
      <c r="O1811" s="265"/>
      <c r="P1811" s="113"/>
      <c r="Q1811" s="80"/>
      <c r="R1811" s="350"/>
    </row>
    <row r="1812" spans="1:18" ht="27.75" customHeight="1">
      <c r="A1812" s="111">
        <v>4388</v>
      </c>
      <c r="B1812" s="115" t="s">
        <v>297</v>
      </c>
      <c r="C1812" s="79">
        <v>2800</v>
      </c>
      <c r="D1812" s="65">
        <f t="shared" si="229"/>
        <v>2800</v>
      </c>
      <c r="E1812" s="80">
        <f t="shared" si="227"/>
        <v>0</v>
      </c>
      <c r="F1812" s="452">
        <f t="shared" si="228"/>
        <v>0</v>
      </c>
      <c r="G1812" s="113">
        <v>2800</v>
      </c>
      <c r="H1812" s="113"/>
      <c r="I1812" s="426">
        <f t="shared" si="223"/>
        <v>0</v>
      </c>
      <c r="J1812" s="113"/>
      <c r="K1812" s="80"/>
      <c r="L1812" s="211"/>
      <c r="M1812" s="113"/>
      <c r="N1812" s="113"/>
      <c r="O1812" s="265"/>
      <c r="P1812" s="113"/>
      <c r="Q1812" s="80"/>
      <c r="R1812" s="350"/>
    </row>
    <row r="1813" spans="1:18" ht="36">
      <c r="A1813" s="111">
        <v>4398</v>
      </c>
      <c r="B1813" s="193" t="s">
        <v>271</v>
      </c>
      <c r="C1813" s="79">
        <v>60000</v>
      </c>
      <c r="D1813" s="65">
        <f t="shared" si="229"/>
        <v>60000</v>
      </c>
      <c r="E1813" s="80">
        <f t="shared" si="227"/>
        <v>0</v>
      </c>
      <c r="F1813" s="452">
        <f t="shared" si="228"/>
        <v>0</v>
      </c>
      <c r="G1813" s="113">
        <v>60000</v>
      </c>
      <c r="H1813" s="113"/>
      <c r="I1813" s="426">
        <f t="shared" si="223"/>
        <v>0</v>
      </c>
      <c r="J1813" s="113"/>
      <c r="K1813" s="80"/>
      <c r="L1813" s="211"/>
      <c r="M1813" s="113"/>
      <c r="N1813" s="113"/>
      <c r="O1813" s="265"/>
      <c r="P1813" s="113"/>
      <c r="Q1813" s="80"/>
      <c r="R1813" s="350"/>
    </row>
    <row r="1814" spans="1:18" ht="36">
      <c r="A1814" s="111">
        <v>4399</v>
      </c>
      <c r="B1814" s="193" t="s">
        <v>271</v>
      </c>
      <c r="C1814" s="79">
        <v>800</v>
      </c>
      <c r="D1814" s="65">
        <f t="shared" si="229"/>
        <v>800</v>
      </c>
      <c r="E1814" s="80">
        <f t="shared" si="227"/>
        <v>0</v>
      </c>
      <c r="F1814" s="452">
        <f t="shared" si="228"/>
        <v>0</v>
      </c>
      <c r="G1814" s="113">
        <v>800</v>
      </c>
      <c r="H1814" s="113"/>
      <c r="I1814" s="426">
        <f t="shared" si="223"/>
        <v>0</v>
      </c>
      <c r="J1814" s="113"/>
      <c r="K1814" s="80"/>
      <c r="L1814" s="211"/>
      <c r="M1814" s="113"/>
      <c r="N1814" s="113"/>
      <c r="O1814" s="265"/>
      <c r="P1814" s="113"/>
      <c r="Q1814" s="80"/>
      <c r="R1814" s="350"/>
    </row>
    <row r="1815" spans="1:18" ht="24">
      <c r="A1815" s="111">
        <v>4420</v>
      </c>
      <c r="B1815" s="115" t="s">
        <v>532</v>
      </c>
      <c r="C1815" s="79">
        <v>400</v>
      </c>
      <c r="D1815" s="65">
        <f t="shared" si="229"/>
        <v>400</v>
      </c>
      <c r="E1815" s="80">
        <f t="shared" si="227"/>
        <v>0</v>
      </c>
      <c r="F1815" s="452">
        <f t="shared" si="228"/>
        <v>0</v>
      </c>
      <c r="G1815" s="113">
        <v>400</v>
      </c>
      <c r="H1815" s="113"/>
      <c r="I1815" s="426">
        <f t="shared" si="223"/>
        <v>0</v>
      </c>
      <c r="J1815" s="113"/>
      <c r="K1815" s="80"/>
      <c r="L1815" s="211"/>
      <c r="M1815" s="113"/>
      <c r="N1815" s="113"/>
      <c r="O1815" s="265"/>
      <c r="P1815" s="113"/>
      <c r="Q1815" s="80"/>
      <c r="R1815" s="350"/>
    </row>
    <row r="1816" spans="1:18" ht="24.75" thickBot="1">
      <c r="A1816" s="111">
        <v>4428</v>
      </c>
      <c r="B1816" s="115" t="s">
        <v>532</v>
      </c>
      <c r="C1816" s="116">
        <v>10000</v>
      </c>
      <c r="D1816" s="65">
        <f t="shared" si="229"/>
        <v>10000</v>
      </c>
      <c r="E1816" s="80">
        <f t="shared" si="227"/>
        <v>0</v>
      </c>
      <c r="F1816" s="452">
        <f t="shared" si="228"/>
        <v>0</v>
      </c>
      <c r="G1816" s="113">
        <v>10000</v>
      </c>
      <c r="H1816" s="113"/>
      <c r="I1816" s="426">
        <f t="shared" si="223"/>
        <v>0</v>
      </c>
      <c r="J1816" s="113"/>
      <c r="K1816" s="80"/>
      <c r="L1816" s="211"/>
      <c r="M1816" s="113"/>
      <c r="N1816" s="113"/>
      <c r="O1816" s="265"/>
      <c r="P1816" s="113"/>
      <c r="Q1816" s="80"/>
      <c r="R1816" s="350"/>
    </row>
    <row r="1817" spans="1:18" s="105" customFormat="1" ht="46.5" customHeight="1" thickTop="1">
      <c r="A1817" s="200">
        <v>921</v>
      </c>
      <c r="B1817" s="201" t="s">
        <v>156</v>
      </c>
      <c r="C1817" s="242">
        <f>C1868+C1820+C1842+C1858+C1903+C1917+C1944+C1951+C1818</f>
        <v>17214100</v>
      </c>
      <c r="D1817" s="173">
        <f>D1868+D1820+D1842+D1858+D1903+D1917+D1944+D1951+D1818</f>
        <v>21229726</v>
      </c>
      <c r="E1817" s="173">
        <f>E1868+E1820+E1842+E1858+E1903+E1917+E1944+E1951+E1818</f>
        <v>9244233</v>
      </c>
      <c r="F1817" s="481">
        <f t="shared" si="228"/>
        <v>43.54381681610022</v>
      </c>
      <c r="G1817" s="242">
        <f>G1868+G1820+G1842+G1858+G1903+G1917+G1944+G1951+G1818</f>
        <v>7682326</v>
      </c>
      <c r="H1817" s="173">
        <f>H1868+H1820+H1842+H1858+H1903+H1917+H1944+H1951+H1818</f>
        <v>3577638</v>
      </c>
      <c r="I1817" s="481">
        <f>H1817/G1817*100</f>
        <v>46.56972380500385</v>
      </c>
      <c r="J1817" s="242">
        <f>J1858</f>
        <v>5000</v>
      </c>
      <c r="K1817" s="173">
        <f>K1858</f>
        <v>0</v>
      </c>
      <c r="L1817" s="617">
        <f>K1817/J1817*100</f>
        <v>0</v>
      </c>
      <c r="M1817" s="242">
        <f>M1868+M1820+M1842+M1858+M1903+M1917+M1944+M1951</f>
        <v>13474400</v>
      </c>
      <c r="N1817" s="254">
        <f>N1868+N1820+N1842+N1858+N1903+N1917+N1944+N1951</f>
        <v>5666595</v>
      </c>
      <c r="O1817" s="370">
        <f>N1817/M1817*100</f>
        <v>42.054525618951494</v>
      </c>
      <c r="P1817" s="242">
        <f>P1868+P1820+P1842+P1858+P1903+P1917+P1944+P1951</f>
        <v>68000</v>
      </c>
      <c r="Q1817" s="254">
        <f>Q1868+Q1820+Q1842+Q1858+Q1903+Q1917+Q1944+Q1951</f>
        <v>0</v>
      </c>
      <c r="R1817" s="501">
        <f>Q1817/P1817*100</f>
        <v>0</v>
      </c>
    </row>
    <row r="1818" spans="1:18" s="105" customFormat="1" ht="24.75" hidden="1" thickTop="1">
      <c r="A1818" s="188">
        <v>92103</v>
      </c>
      <c r="B1818" s="189" t="s">
        <v>157</v>
      </c>
      <c r="C1818" s="177"/>
      <c r="D1818" s="109">
        <f aca="true" t="shared" si="230" ref="D1818:E1833">G1818+J1818+P1818+M1818</f>
        <v>0</v>
      </c>
      <c r="E1818" s="179">
        <f t="shared" si="230"/>
        <v>0</v>
      </c>
      <c r="F1818" s="453" t="e">
        <f t="shared" si="228"/>
        <v>#DIV/0!</v>
      </c>
      <c r="G1818" s="177">
        <f>G1819</f>
        <v>0</v>
      </c>
      <c r="H1818" s="271">
        <f>H1819</f>
        <v>0</v>
      </c>
      <c r="I1818" s="446" t="e">
        <f>H1818/G1818*100</f>
        <v>#DIV/0!</v>
      </c>
      <c r="J1818" s="180"/>
      <c r="K1818" s="179"/>
      <c r="L1818" s="409"/>
      <c r="M1818" s="180"/>
      <c r="N1818" s="179"/>
      <c r="O1818" s="312"/>
      <c r="P1818" s="180"/>
      <c r="Q1818" s="179"/>
      <c r="R1818" s="354"/>
    </row>
    <row r="1819" spans="1:18" s="12" customFormat="1" ht="36.75" hidden="1" thickTop="1">
      <c r="A1819" s="159">
        <v>2550</v>
      </c>
      <c r="B1819" s="132" t="s">
        <v>159</v>
      </c>
      <c r="C1819" s="161"/>
      <c r="D1819" s="148">
        <f t="shared" si="230"/>
        <v>0</v>
      </c>
      <c r="E1819" s="148">
        <f t="shared" si="230"/>
        <v>0</v>
      </c>
      <c r="F1819" s="453" t="e">
        <f t="shared" si="228"/>
        <v>#DIV/0!</v>
      </c>
      <c r="G1819" s="210"/>
      <c r="H1819" s="65"/>
      <c r="I1819" s="446" t="e">
        <f>H1819/G1819*100</f>
        <v>#DIV/0!</v>
      </c>
      <c r="J1819" s="162"/>
      <c r="K1819" s="65"/>
      <c r="L1819" s="379"/>
      <c r="M1819" s="162"/>
      <c r="N1819" s="65"/>
      <c r="O1819" s="265"/>
      <c r="P1819" s="162"/>
      <c r="Q1819" s="65"/>
      <c r="R1819" s="350"/>
    </row>
    <row r="1820" spans="1:18" ht="24" customHeight="1">
      <c r="A1820" s="106">
        <v>92105</v>
      </c>
      <c r="B1820" s="172" t="s">
        <v>160</v>
      </c>
      <c r="C1820" s="108">
        <f>SUM(C1821:C1830)</f>
        <v>400300</v>
      </c>
      <c r="D1820" s="86">
        <f t="shared" si="230"/>
        <v>413300</v>
      </c>
      <c r="E1820" s="75">
        <f t="shared" si="230"/>
        <v>237780</v>
      </c>
      <c r="F1820" s="451">
        <f t="shared" si="228"/>
        <v>57.53205903701911</v>
      </c>
      <c r="G1820" s="75">
        <f>SUM(G1821:G1831)</f>
        <v>413300</v>
      </c>
      <c r="H1820" s="75">
        <f>SUM(H1821:H1831)</f>
        <v>237780</v>
      </c>
      <c r="I1820" s="432">
        <f>H1820/G1820*100</f>
        <v>57.53205903701911</v>
      </c>
      <c r="J1820" s="110"/>
      <c r="K1820" s="75"/>
      <c r="L1820" s="406"/>
      <c r="M1820" s="75"/>
      <c r="N1820" s="75"/>
      <c r="O1820" s="369"/>
      <c r="P1820" s="75"/>
      <c r="Q1820" s="75"/>
      <c r="R1820" s="360"/>
    </row>
    <row r="1821" spans="1:18" ht="36" hidden="1">
      <c r="A1821" s="99">
        <v>3020</v>
      </c>
      <c r="B1821" s="186" t="s">
        <v>12</v>
      </c>
      <c r="C1821" s="81"/>
      <c r="D1821" s="94">
        <f t="shared" si="230"/>
        <v>0</v>
      </c>
      <c r="E1821" s="95">
        <f aca="true" t="shared" si="231" ref="E1821:E1841">SUM(H1821+K1821+N1821+Q1821)</f>
        <v>0</v>
      </c>
      <c r="F1821" s="454"/>
      <c r="G1821" s="81"/>
      <c r="H1821" s="95"/>
      <c r="I1821" s="448"/>
      <c r="J1821" s="187"/>
      <c r="K1821" s="95"/>
      <c r="L1821" s="403"/>
      <c r="M1821" s="95"/>
      <c r="N1821" s="95"/>
      <c r="O1821" s="376"/>
      <c r="P1821" s="95"/>
      <c r="Q1821" s="95"/>
      <c r="R1821" s="353"/>
    </row>
    <row r="1822" spans="1:18" ht="36.75" customHeight="1">
      <c r="A1822" s="111">
        <v>3040</v>
      </c>
      <c r="B1822" s="115" t="s">
        <v>41</v>
      </c>
      <c r="C1822" s="79">
        <v>52000</v>
      </c>
      <c r="D1822" s="65">
        <f t="shared" si="230"/>
        <v>87000</v>
      </c>
      <c r="E1822" s="80">
        <f t="shared" si="231"/>
        <v>56600</v>
      </c>
      <c r="F1822" s="452">
        <f t="shared" si="228"/>
        <v>65.05747126436782</v>
      </c>
      <c r="G1822" s="79">
        <f>52000+5000+30000</f>
        <v>87000</v>
      </c>
      <c r="H1822" s="80">
        <v>56600</v>
      </c>
      <c r="I1822" s="426">
        <f aca="true" t="shared" si="232" ref="I1822:I1840">H1822/G1822*100</f>
        <v>65.05747126436782</v>
      </c>
      <c r="J1822" s="113"/>
      <c r="K1822" s="80"/>
      <c r="L1822" s="379"/>
      <c r="M1822" s="80"/>
      <c r="N1822" s="80"/>
      <c r="O1822" s="356"/>
      <c r="P1822" s="80"/>
      <c r="Q1822" s="80"/>
      <c r="R1822" s="350"/>
    </row>
    <row r="1823" spans="1:18" ht="26.25" customHeight="1">
      <c r="A1823" s="111">
        <v>4210</v>
      </c>
      <c r="B1823" s="115" t="s">
        <v>481</v>
      </c>
      <c r="C1823" s="79">
        <v>18000</v>
      </c>
      <c r="D1823" s="65">
        <f t="shared" si="230"/>
        <v>18000</v>
      </c>
      <c r="E1823" s="80">
        <f t="shared" si="231"/>
        <v>8320</v>
      </c>
      <c r="F1823" s="452">
        <f t="shared" si="228"/>
        <v>46.22222222222222</v>
      </c>
      <c r="G1823" s="79">
        <v>18000</v>
      </c>
      <c r="H1823" s="80">
        <v>8320</v>
      </c>
      <c r="I1823" s="426">
        <f t="shared" si="232"/>
        <v>46.22222222222222</v>
      </c>
      <c r="J1823" s="113"/>
      <c r="K1823" s="80"/>
      <c r="L1823" s="379"/>
      <c r="M1823" s="80"/>
      <c r="N1823" s="80"/>
      <c r="O1823" s="356"/>
      <c r="P1823" s="80"/>
      <c r="Q1823" s="80"/>
      <c r="R1823" s="350"/>
    </row>
    <row r="1824" spans="1:18" ht="27" customHeight="1" hidden="1">
      <c r="A1824" s="111">
        <v>4300</v>
      </c>
      <c r="B1824" s="115" t="s">
        <v>161</v>
      </c>
      <c r="C1824" s="79"/>
      <c r="D1824" s="65">
        <f t="shared" si="230"/>
        <v>0</v>
      </c>
      <c r="E1824" s="80">
        <f t="shared" si="231"/>
        <v>0</v>
      </c>
      <c r="F1824" s="452" t="e">
        <f t="shared" si="228"/>
        <v>#DIV/0!</v>
      </c>
      <c r="G1824" s="79"/>
      <c r="H1824" s="80"/>
      <c r="I1824" s="426" t="e">
        <f t="shared" si="232"/>
        <v>#DIV/0!</v>
      </c>
      <c r="J1824" s="113"/>
      <c r="K1824" s="80"/>
      <c r="L1824" s="379"/>
      <c r="M1824" s="80"/>
      <c r="N1824" s="80"/>
      <c r="O1824" s="356"/>
      <c r="P1824" s="80"/>
      <c r="Q1824" s="80"/>
      <c r="R1824" s="350"/>
    </row>
    <row r="1825" spans="1:18" ht="27" customHeight="1" hidden="1">
      <c r="A1825" s="111">
        <v>4210</v>
      </c>
      <c r="B1825" s="115" t="s">
        <v>162</v>
      </c>
      <c r="C1825" s="79"/>
      <c r="D1825" s="65">
        <f t="shared" si="230"/>
        <v>0</v>
      </c>
      <c r="E1825" s="80">
        <f t="shared" si="231"/>
        <v>0</v>
      </c>
      <c r="F1825" s="452" t="e">
        <f t="shared" si="228"/>
        <v>#DIV/0!</v>
      </c>
      <c r="G1825" s="79"/>
      <c r="H1825" s="80"/>
      <c r="I1825" s="426" t="e">
        <f t="shared" si="232"/>
        <v>#DIV/0!</v>
      </c>
      <c r="J1825" s="113"/>
      <c r="K1825" s="80"/>
      <c r="L1825" s="379"/>
      <c r="M1825" s="80"/>
      <c r="N1825" s="80"/>
      <c r="O1825" s="356"/>
      <c r="P1825" s="80"/>
      <c r="Q1825" s="80"/>
      <c r="R1825" s="350"/>
    </row>
    <row r="1826" spans="1:18" ht="24" hidden="1">
      <c r="A1826" s="111">
        <v>4170</v>
      </c>
      <c r="B1826" s="115" t="s">
        <v>511</v>
      </c>
      <c r="C1826" s="79"/>
      <c r="D1826" s="65">
        <f t="shared" si="230"/>
        <v>0</v>
      </c>
      <c r="E1826" s="80">
        <f t="shared" si="231"/>
        <v>0</v>
      </c>
      <c r="F1826" s="452" t="e">
        <f t="shared" si="228"/>
        <v>#DIV/0!</v>
      </c>
      <c r="G1826" s="79"/>
      <c r="H1826" s="80"/>
      <c r="I1826" s="426" t="e">
        <f t="shared" si="232"/>
        <v>#DIV/0!</v>
      </c>
      <c r="J1826" s="113"/>
      <c r="K1826" s="80"/>
      <c r="L1826" s="379"/>
      <c r="M1826" s="80"/>
      <c r="N1826" s="80"/>
      <c r="O1826" s="356"/>
      <c r="P1826" s="80"/>
      <c r="Q1826" s="80"/>
      <c r="R1826" s="350"/>
    </row>
    <row r="1827" spans="1:18" ht="12.75">
      <c r="A1827" s="111">
        <v>4430</v>
      </c>
      <c r="B1827" s="115" t="s">
        <v>491</v>
      </c>
      <c r="C1827" s="79">
        <v>300</v>
      </c>
      <c r="D1827" s="65">
        <f t="shared" si="230"/>
        <v>300</v>
      </c>
      <c r="E1827" s="80">
        <f t="shared" si="231"/>
        <v>0</v>
      </c>
      <c r="F1827" s="452">
        <f t="shared" si="228"/>
        <v>0</v>
      </c>
      <c r="G1827" s="79">
        <v>300</v>
      </c>
      <c r="H1827" s="80"/>
      <c r="I1827" s="426">
        <f t="shared" si="232"/>
        <v>0</v>
      </c>
      <c r="J1827" s="113"/>
      <c r="K1827" s="80"/>
      <c r="L1827" s="379"/>
      <c r="M1827" s="80"/>
      <c r="N1827" s="80"/>
      <c r="O1827" s="356"/>
      <c r="P1827" s="80"/>
      <c r="Q1827" s="80"/>
      <c r="R1827" s="350"/>
    </row>
    <row r="1828" spans="1:18" ht="15" customHeight="1">
      <c r="A1828" s="111">
        <v>4300</v>
      </c>
      <c r="B1828" s="115" t="s">
        <v>489</v>
      </c>
      <c r="C1828" s="79">
        <v>120000</v>
      </c>
      <c r="D1828" s="65">
        <f t="shared" si="230"/>
        <v>85000</v>
      </c>
      <c r="E1828" s="80">
        <f t="shared" si="231"/>
        <v>22420</v>
      </c>
      <c r="F1828" s="452">
        <f t="shared" si="228"/>
        <v>26.376470588235296</v>
      </c>
      <c r="G1828" s="79">
        <f>120000-30000-5000</f>
        <v>85000</v>
      </c>
      <c r="H1828" s="80">
        <f>22420+1-1</f>
        <v>22420</v>
      </c>
      <c r="I1828" s="426">
        <f t="shared" si="232"/>
        <v>26.376470588235296</v>
      </c>
      <c r="J1828" s="113"/>
      <c r="K1828" s="80"/>
      <c r="L1828" s="379"/>
      <c r="M1828" s="80"/>
      <c r="N1828" s="80"/>
      <c r="O1828" s="356"/>
      <c r="P1828" s="80"/>
      <c r="Q1828" s="80"/>
      <c r="R1828" s="350"/>
    </row>
    <row r="1829" spans="1:18" ht="12.75" hidden="1">
      <c r="A1829" s="111">
        <v>4430</v>
      </c>
      <c r="B1829" s="115" t="s">
        <v>491</v>
      </c>
      <c r="C1829" s="79"/>
      <c r="D1829" s="65">
        <f t="shared" si="230"/>
        <v>0</v>
      </c>
      <c r="E1829" s="80">
        <f t="shared" si="231"/>
        <v>0</v>
      </c>
      <c r="F1829" s="452" t="e">
        <f t="shared" si="228"/>
        <v>#DIV/0!</v>
      </c>
      <c r="G1829" s="79"/>
      <c r="H1829" s="80"/>
      <c r="I1829" s="426" t="e">
        <f t="shared" si="232"/>
        <v>#DIV/0!</v>
      </c>
      <c r="J1829" s="113"/>
      <c r="K1829" s="80"/>
      <c r="L1829" s="379"/>
      <c r="M1829" s="80"/>
      <c r="N1829" s="80"/>
      <c r="O1829" s="356"/>
      <c r="P1829" s="80"/>
      <c r="Q1829" s="80"/>
      <c r="R1829" s="350"/>
    </row>
    <row r="1830" spans="1:18" ht="64.5" customHeight="1">
      <c r="A1830" s="111">
        <v>2820</v>
      </c>
      <c r="B1830" s="115" t="s">
        <v>163</v>
      </c>
      <c r="C1830" s="79">
        <v>210000</v>
      </c>
      <c r="D1830" s="65">
        <f t="shared" si="230"/>
        <v>223000</v>
      </c>
      <c r="E1830" s="80">
        <f t="shared" si="231"/>
        <v>150440</v>
      </c>
      <c r="F1830" s="452">
        <f t="shared" si="228"/>
        <v>67.46188340807176</v>
      </c>
      <c r="G1830" s="79">
        <f>210000+13000</f>
        <v>223000</v>
      </c>
      <c r="H1830" s="80">
        <v>150440</v>
      </c>
      <c r="I1830" s="426">
        <f t="shared" si="232"/>
        <v>67.46188340807176</v>
      </c>
      <c r="J1830" s="113"/>
      <c r="K1830" s="80"/>
      <c r="L1830" s="379"/>
      <c r="M1830" s="80"/>
      <c r="N1830" s="80"/>
      <c r="O1830" s="356"/>
      <c r="P1830" s="80"/>
      <c r="Q1830" s="80"/>
      <c r="R1830" s="350"/>
    </row>
    <row r="1831" spans="1:18" s="130" customFormat="1" ht="48" hidden="1">
      <c r="A1831" s="122"/>
      <c r="B1831" s="123" t="s">
        <v>411</v>
      </c>
      <c r="C1831" s="124"/>
      <c r="D1831" s="126">
        <f t="shared" si="230"/>
        <v>0</v>
      </c>
      <c r="E1831" s="126">
        <f t="shared" si="231"/>
        <v>0</v>
      </c>
      <c r="F1831" s="452" t="e">
        <f t="shared" si="228"/>
        <v>#DIV/0!</v>
      </c>
      <c r="G1831" s="127">
        <f>SUM(G1832:G1841)</f>
        <v>0</v>
      </c>
      <c r="H1831" s="126">
        <f>SUM(H1832:H1841)</f>
        <v>0</v>
      </c>
      <c r="I1831" s="426" t="e">
        <f t="shared" si="232"/>
        <v>#DIV/0!</v>
      </c>
      <c r="J1831" s="127"/>
      <c r="K1831" s="126"/>
      <c r="L1831" s="388"/>
      <c r="M1831" s="126"/>
      <c r="N1831" s="126"/>
      <c r="O1831" s="388"/>
      <c r="P1831" s="126"/>
      <c r="Q1831" s="126"/>
      <c r="R1831" s="352"/>
    </row>
    <row r="1832" spans="1:18" ht="24" hidden="1">
      <c r="A1832" s="111">
        <v>4110</v>
      </c>
      <c r="B1832" s="115" t="s">
        <v>477</v>
      </c>
      <c r="C1832" s="79"/>
      <c r="D1832" s="65">
        <f t="shared" si="230"/>
        <v>0</v>
      </c>
      <c r="E1832" s="80">
        <f t="shared" si="231"/>
        <v>0</v>
      </c>
      <c r="F1832" s="452" t="e">
        <f t="shared" si="228"/>
        <v>#DIV/0!</v>
      </c>
      <c r="G1832" s="113"/>
      <c r="H1832" s="80"/>
      <c r="I1832" s="426" t="e">
        <f t="shared" si="232"/>
        <v>#DIV/0!</v>
      </c>
      <c r="J1832" s="113"/>
      <c r="K1832" s="80"/>
      <c r="L1832" s="379"/>
      <c r="M1832" s="80"/>
      <c r="N1832" s="80"/>
      <c r="O1832" s="356"/>
      <c r="P1832" s="80"/>
      <c r="Q1832" s="80"/>
      <c r="R1832" s="350"/>
    </row>
    <row r="1833" spans="1:18" ht="12.75" hidden="1">
      <c r="A1833" s="111">
        <v>4120</v>
      </c>
      <c r="B1833" s="115" t="s">
        <v>547</v>
      </c>
      <c r="C1833" s="79"/>
      <c r="D1833" s="65">
        <f t="shared" si="230"/>
        <v>0</v>
      </c>
      <c r="E1833" s="80">
        <f t="shared" si="231"/>
        <v>0</v>
      </c>
      <c r="F1833" s="452" t="e">
        <f t="shared" si="228"/>
        <v>#DIV/0!</v>
      </c>
      <c r="G1833" s="113"/>
      <c r="H1833" s="80"/>
      <c r="I1833" s="426" t="e">
        <f t="shared" si="232"/>
        <v>#DIV/0!</v>
      </c>
      <c r="J1833" s="113"/>
      <c r="K1833" s="80"/>
      <c r="L1833" s="379"/>
      <c r="M1833" s="80"/>
      <c r="N1833" s="80"/>
      <c r="O1833" s="356"/>
      <c r="P1833" s="80"/>
      <c r="Q1833" s="80"/>
      <c r="R1833" s="350"/>
    </row>
    <row r="1834" spans="1:18" ht="24" hidden="1">
      <c r="A1834" s="111">
        <v>4178</v>
      </c>
      <c r="B1834" s="115" t="s">
        <v>307</v>
      </c>
      <c r="C1834" s="79"/>
      <c r="D1834" s="65">
        <f aca="true" t="shared" si="233" ref="D1834:D1881">G1834+J1834+P1834+M1834</f>
        <v>0</v>
      </c>
      <c r="E1834" s="80">
        <f t="shared" si="231"/>
        <v>0</v>
      </c>
      <c r="F1834" s="452" t="e">
        <f t="shared" si="228"/>
        <v>#DIV/0!</v>
      </c>
      <c r="G1834" s="113"/>
      <c r="H1834" s="80"/>
      <c r="I1834" s="426" t="e">
        <f t="shared" si="232"/>
        <v>#DIV/0!</v>
      </c>
      <c r="J1834" s="113"/>
      <c r="K1834" s="80"/>
      <c r="L1834" s="379"/>
      <c r="M1834" s="80"/>
      <c r="N1834" s="80"/>
      <c r="O1834" s="356"/>
      <c r="P1834" s="80"/>
      <c r="Q1834" s="80"/>
      <c r="R1834" s="350"/>
    </row>
    <row r="1835" spans="1:18" ht="24" hidden="1">
      <c r="A1835" s="111">
        <v>4179</v>
      </c>
      <c r="B1835" s="115" t="s">
        <v>307</v>
      </c>
      <c r="C1835" s="79"/>
      <c r="D1835" s="65">
        <f t="shared" si="233"/>
        <v>0</v>
      </c>
      <c r="E1835" s="80">
        <f t="shared" si="231"/>
        <v>0</v>
      </c>
      <c r="F1835" s="452" t="e">
        <f t="shared" si="228"/>
        <v>#DIV/0!</v>
      </c>
      <c r="G1835" s="113"/>
      <c r="H1835" s="80"/>
      <c r="I1835" s="426" t="e">
        <f t="shared" si="232"/>
        <v>#DIV/0!</v>
      </c>
      <c r="J1835" s="113"/>
      <c r="K1835" s="80"/>
      <c r="L1835" s="379"/>
      <c r="M1835" s="80"/>
      <c r="N1835" s="80"/>
      <c r="O1835" s="356"/>
      <c r="P1835" s="80"/>
      <c r="Q1835" s="80"/>
      <c r="R1835" s="350"/>
    </row>
    <row r="1836" spans="1:18" ht="24" hidden="1">
      <c r="A1836" s="99">
        <v>4218</v>
      </c>
      <c r="B1836" s="186" t="s">
        <v>481</v>
      </c>
      <c r="C1836" s="81"/>
      <c r="D1836" s="94">
        <f>G1836+J1836+P1836+M1836</f>
        <v>0</v>
      </c>
      <c r="E1836" s="95">
        <f>SUM(H1836+K1836+N1836+Q1836)</f>
        <v>0</v>
      </c>
      <c r="F1836" s="454" t="e">
        <f>E1836/D1836*100</f>
        <v>#DIV/0!</v>
      </c>
      <c r="G1836" s="187"/>
      <c r="H1836" s="95"/>
      <c r="I1836" s="448" t="e">
        <f t="shared" si="232"/>
        <v>#DIV/0!</v>
      </c>
      <c r="J1836" s="187"/>
      <c r="K1836" s="95"/>
      <c r="L1836" s="403"/>
      <c r="M1836" s="95"/>
      <c r="N1836" s="95"/>
      <c r="O1836" s="376"/>
      <c r="P1836" s="95"/>
      <c r="Q1836" s="95"/>
      <c r="R1836" s="353"/>
    </row>
    <row r="1837" spans="1:18" ht="24" hidden="1">
      <c r="A1837" s="111">
        <v>4219</v>
      </c>
      <c r="B1837" s="115" t="s">
        <v>481</v>
      </c>
      <c r="C1837" s="79"/>
      <c r="D1837" s="65">
        <f>G1837+J1837+P1837+M1837</f>
        <v>0</v>
      </c>
      <c r="E1837" s="80">
        <f>SUM(H1837+K1837+N1837+Q1837)</f>
        <v>0</v>
      </c>
      <c r="F1837" s="452" t="e">
        <f>E1837/D1837*100</f>
        <v>#DIV/0!</v>
      </c>
      <c r="G1837" s="113"/>
      <c r="H1837" s="80"/>
      <c r="I1837" s="426" t="e">
        <f t="shared" si="232"/>
        <v>#DIV/0!</v>
      </c>
      <c r="J1837" s="113"/>
      <c r="K1837" s="80"/>
      <c r="L1837" s="379"/>
      <c r="M1837" s="80"/>
      <c r="N1837" s="80"/>
      <c r="O1837" s="356"/>
      <c r="P1837" s="80"/>
      <c r="Q1837" s="80"/>
      <c r="R1837" s="350"/>
    </row>
    <row r="1838" spans="1:18" ht="24" hidden="1">
      <c r="A1838" s="111">
        <v>4308</v>
      </c>
      <c r="B1838" s="115" t="s">
        <v>489</v>
      </c>
      <c r="C1838" s="79"/>
      <c r="D1838" s="65">
        <f>G1838+J1838+P1838+M1838</f>
        <v>0</v>
      </c>
      <c r="E1838" s="80">
        <f>SUM(H1838+K1838+N1838+Q1838)</f>
        <v>0</v>
      </c>
      <c r="F1838" s="452" t="e">
        <f>E1838/D1838*100</f>
        <v>#DIV/0!</v>
      </c>
      <c r="G1838" s="113"/>
      <c r="H1838" s="80"/>
      <c r="I1838" s="426" t="e">
        <f t="shared" si="232"/>
        <v>#DIV/0!</v>
      </c>
      <c r="J1838" s="113"/>
      <c r="K1838" s="80"/>
      <c r="L1838" s="379"/>
      <c r="M1838" s="80"/>
      <c r="N1838" s="80"/>
      <c r="O1838" s="356"/>
      <c r="P1838" s="80"/>
      <c r="Q1838" s="80"/>
      <c r="R1838" s="350"/>
    </row>
    <row r="1839" spans="1:18" ht="24" hidden="1">
      <c r="A1839" s="111">
        <v>4309</v>
      </c>
      <c r="B1839" s="115" t="s">
        <v>489</v>
      </c>
      <c r="C1839" s="79"/>
      <c r="D1839" s="65">
        <f>G1839+J1839+P1839+M1839</f>
        <v>0</v>
      </c>
      <c r="E1839" s="80">
        <f>SUM(H1839+K1839+N1839+Q1839)</f>
        <v>0</v>
      </c>
      <c r="F1839" s="452" t="e">
        <f>E1839/D1839*100</f>
        <v>#DIV/0!</v>
      </c>
      <c r="G1839" s="113"/>
      <c r="H1839" s="80"/>
      <c r="I1839" s="426" t="e">
        <f t="shared" si="232"/>
        <v>#DIV/0!</v>
      </c>
      <c r="J1839" s="113"/>
      <c r="K1839" s="80"/>
      <c r="L1839" s="379"/>
      <c r="M1839" s="80"/>
      <c r="N1839" s="80"/>
      <c r="O1839" s="356"/>
      <c r="P1839" s="80"/>
      <c r="Q1839" s="80"/>
      <c r="R1839" s="350"/>
    </row>
    <row r="1840" spans="1:18" ht="36" hidden="1">
      <c r="A1840" s="111">
        <v>4388</v>
      </c>
      <c r="B1840" s="115" t="s">
        <v>297</v>
      </c>
      <c r="C1840" s="79"/>
      <c r="D1840" s="65">
        <f t="shared" si="233"/>
        <v>0</v>
      </c>
      <c r="E1840" s="80">
        <f t="shared" si="231"/>
        <v>0</v>
      </c>
      <c r="F1840" s="452" t="e">
        <f t="shared" si="228"/>
        <v>#DIV/0!</v>
      </c>
      <c r="G1840" s="113"/>
      <c r="H1840" s="80"/>
      <c r="I1840" s="426" t="e">
        <f t="shared" si="232"/>
        <v>#DIV/0!</v>
      </c>
      <c r="J1840" s="113"/>
      <c r="K1840" s="80"/>
      <c r="L1840" s="379"/>
      <c r="M1840" s="80"/>
      <c r="N1840" s="80"/>
      <c r="O1840" s="356"/>
      <c r="P1840" s="80"/>
      <c r="Q1840" s="80"/>
      <c r="R1840" s="350"/>
    </row>
    <row r="1841" spans="1:18" ht="36" hidden="1">
      <c r="A1841" s="111">
        <v>4389</v>
      </c>
      <c r="B1841" s="115" t="s">
        <v>297</v>
      </c>
      <c r="C1841" s="79"/>
      <c r="D1841" s="65">
        <f t="shared" si="233"/>
        <v>0</v>
      </c>
      <c r="E1841" s="80">
        <f t="shared" si="231"/>
        <v>0</v>
      </c>
      <c r="F1841" s="452" t="e">
        <f t="shared" si="228"/>
        <v>#DIV/0!</v>
      </c>
      <c r="G1841" s="113">
        <f>1300-1300</f>
        <v>0</v>
      </c>
      <c r="H1841" s="142"/>
      <c r="I1841" s="426"/>
      <c r="J1841" s="113"/>
      <c r="K1841" s="80"/>
      <c r="L1841" s="379"/>
      <c r="M1841" s="80"/>
      <c r="N1841" s="80"/>
      <c r="O1841" s="356"/>
      <c r="P1841" s="80"/>
      <c r="Q1841" s="80"/>
      <c r="R1841" s="350"/>
    </row>
    <row r="1842" spans="1:18" s="130" customFormat="1" ht="17.25" customHeight="1">
      <c r="A1842" s="137">
        <v>92106</v>
      </c>
      <c r="B1842" s="174" t="s">
        <v>250</v>
      </c>
      <c r="C1842" s="85">
        <f>C1843+SUM(C1852:C1854)</f>
        <v>3091000</v>
      </c>
      <c r="D1842" s="86">
        <f t="shared" si="233"/>
        <v>4299000</v>
      </c>
      <c r="E1842" s="86">
        <f>H1842+K1842+Q1842+N1842</f>
        <v>1620300</v>
      </c>
      <c r="F1842" s="460">
        <f t="shared" si="228"/>
        <v>37.690160502442424</v>
      </c>
      <c r="G1842" s="86"/>
      <c r="H1842" s="86"/>
      <c r="I1842" s="432"/>
      <c r="J1842" s="158"/>
      <c r="K1842" s="86"/>
      <c r="L1842" s="406"/>
      <c r="M1842" s="86">
        <f>SUM(M1843)+M1854+M1853+M1852+M1856+M1855</f>
        <v>4231000</v>
      </c>
      <c r="N1842" s="86">
        <f>SUM(N1843)+N1854+N1853+N1852+N1856+N1855</f>
        <v>1620300</v>
      </c>
      <c r="O1842" s="468">
        <f aca="true" t="shared" si="234" ref="O1842:O1867">N1842/M1842*100</f>
        <v>38.29591113212006</v>
      </c>
      <c r="P1842" s="86">
        <f>P1843+P1856</f>
        <v>68000</v>
      </c>
      <c r="Q1842" s="86">
        <f>Q1843+Q1856</f>
        <v>0</v>
      </c>
      <c r="R1842" s="593">
        <f>Q1842/P1842*100</f>
        <v>0</v>
      </c>
    </row>
    <row r="1843" spans="1:18" ht="42" customHeight="1">
      <c r="A1843" s="99">
        <v>2480</v>
      </c>
      <c r="B1843" s="186" t="s">
        <v>164</v>
      </c>
      <c r="C1843" s="81">
        <f>SUM(C1844:C1851)</f>
        <v>2591000</v>
      </c>
      <c r="D1843" s="94">
        <f t="shared" si="233"/>
        <v>3091000</v>
      </c>
      <c r="E1843" s="95">
        <f aca="true" t="shared" si="235" ref="E1843:E1854">SUM(H1843+K1843+N1843+Q1843)</f>
        <v>1545496</v>
      </c>
      <c r="F1843" s="454">
        <f t="shared" si="228"/>
        <v>49.99987059204141</v>
      </c>
      <c r="G1843" s="95"/>
      <c r="H1843" s="187"/>
      <c r="I1843" s="448"/>
      <c r="J1843" s="187"/>
      <c r="K1843" s="95"/>
      <c r="L1843" s="403"/>
      <c r="M1843" s="81">
        <f>SUM(M1844:M1851)</f>
        <v>3091000</v>
      </c>
      <c r="N1843" s="95">
        <f>SUM(N1844:N1851)</f>
        <v>1545496</v>
      </c>
      <c r="O1843" s="448">
        <f t="shared" si="234"/>
        <v>49.99987059204141</v>
      </c>
      <c r="P1843" s="95"/>
      <c r="Q1843" s="95"/>
      <c r="R1843" s="353"/>
    </row>
    <row r="1844" spans="1:18" s="11" customFormat="1" ht="15.75" customHeight="1">
      <c r="A1844" s="151"/>
      <c r="B1844" s="220" t="s">
        <v>165</v>
      </c>
      <c r="C1844" s="153">
        <v>2591000</v>
      </c>
      <c r="D1844" s="154">
        <f t="shared" si="233"/>
        <v>3091000</v>
      </c>
      <c r="E1844" s="154">
        <f t="shared" si="235"/>
        <v>1545496</v>
      </c>
      <c r="F1844" s="452">
        <f t="shared" si="228"/>
        <v>49.99987059204141</v>
      </c>
      <c r="G1844" s="154"/>
      <c r="H1844" s="155"/>
      <c r="I1844" s="426"/>
      <c r="J1844" s="155"/>
      <c r="K1844" s="154"/>
      <c r="L1844" s="379"/>
      <c r="M1844" s="153">
        <f>2591000+500000</f>
        <v>3091000</v>
      </c>
      <c r="N1844" s="154">
        <f>215916+215916+215916+215916+215916+215916+125000+125000</f>
        <v>1545496</v>
      </c>
      <c r="O1844" s="426">
        <f t="shared" si="234"/>
        <v>49.99987059204141</v>
      </c>
      <c r="P1844" s="154"/>
      <c r="Q1844" s="154"/>
      <c r="R1844" s="357"/>
    </row>
    <row r="1845" spans="1:18" s="11" customFormat="1" ht="12.75" hidden="1">
      <c r="A1845" s="151"/>
      <c r="B1845" s="220" t="s">
        <v>407</v>
      </c>
      <c r="C1845" s="153"/>
      <c r="D1845" s="154">
        <f t="shared" si="233"/>
        <v>0</v>
      </c>
      <c r="E1845" s="154">
        <f t="shared" si="235"/>
        <v>0</v>
      </c>
      <c r="F1845" s="452" t="e">
        <f t="shared" si="228"/>
        <v>#DIV/0!</v>
      </c>
      <c r="G1845" s="154"/>
      <c r="H1845" s="155"/>
      <c r="I1845" s="426"/>
      <c r="J1845" s="155"/>
      <c r="K1845" s="154"/>
      <c r="L1845" s="379"/>
      <c r="M1845" s="153"/>
      <c r="N1845" s="154"/>
      <c r="O1845" s="426" t="e">
        <f t="shared" si="234"/>
        <v>#DIV/0!</v>
      </c>
      <c r="P1845" s="154"/>
      <c r="Q1845" s="154"/>
      <c r="R1845" s="357"/>
    </row>
    <row r="1846" spans="1:18" s="11" customFormat="1" ht="12.75" hidden="1">
      <c r="A1846" s="151" t="s">
        <v>382</v>
      </c>
      <c r="B1846" s="220" t="s">
        <v>618</v>
      </c>
      <c r="C1846" s="153"/>
      <c r="D1846" s="154">
        <f>G1846+J1846+P1846+M1846</f>
        <v>0</v>
      </c>
      <c r="E1846" s="154">
        <f>SUM(H1846+K1846+N1846+Q1846)</f>
        <v>0</v>
      </c>
      <c r="F1846" s="452" t="e">
        <f t="shared" si="228"/>
        <v>#DIV/0!</v>
      </c>
      <c r="G1846" s="154"/>
      <c r="H1846" s="155"/>
      <c r="I1846" s="426"/>
      <c r="J1846" s="155"/>
      <c r="K1846" s="154"/>
      <c r="L1846" s="379"/>
      <c r="M1846" s="153"/>
      <c r="N1846" s="154"/>
      <c r="O1846" s="426" t="e">
        <f t="shared" si="234"/>
        <v>#DIV/0!</v>
      </c>
      <c r="P1846" s="154"/>
      <c r="Q1846" s="154"/>
      <c r="R1846" s="357"/>
    </row>
    <row r="1847" spans="1:18" s="11" customFormat="1" ht="27" customHeight="1" hidden="1">
      <c r="A1847" s="151"/>
      <c r="B1847" s="220" t="s">
        <v>637</v>
      </c>
      <c r="C1847" s="153"/>
      <c r="D1847" s="154">
        <f>G1847+J1847+P1847+M1847</f>
        <v>0</v>
      </c>
      <c r="E1847" s="154">
        <f>SUM(H1847+K1847+N1847+Q1847)</f>
        <v>0</v>
      </c>
      <c r="F1847" s="452" t="e">
        <f t="shared" si="228"/>
        <v>#DIV/0!</v>
      </c>
      <c r="G1847" s="154"/>
      <c r="H1847" s="155"/>
      <c r="I1847" s="426"/>
      <c r="J1847" s="155"/>
      <c r="K1847" s="154"/>
      <c r="L1847" s="379"/>
      <c r="M1847" s="153"/>
      <c r="N1847" s="154"/>
      <c r="O1847" s="426" t="e">
        <f t="shared" si="234"/>
        <v>#DIV/0!</v>
      </c>
      <c r="P1847" s="154"/>
      <c r="Q1847" s="154"/>
      <c r="R1847" s="357"/>
    </row>
    <row r="1848" spans="1:18" s="11" customFormat="1" ht="36" hidden="1">
      <c r="A1848" s="151"/>
      <c r="B1848" s="220" t="s">
        <v>377</v>
      </c>
      <c r="C1848" s="153"/>
      <c r="D1848" s="154">
        <f t="shared" si="233"/>
        <v>0</v>
      </c>
      <c r="E1848" s="154">
        <f t="shared" si="235"/>
        <v>0</v>
      </c>
      <c r="F1848" s="452"/>
      <c r="G1848" s="154"/>
      <c r="H1848" s="155"/>
      <c r="I1848" s="426"/>
      <c r="J1848" s="155"/>
      <c r="K1848" s="154"/>
      <c r="L1848" s="379"/>
      <c r="M1848" s="153"/>
      <c r="N1848" s="154"/>
      <c r="O1848" s="426"/>
      <c r="P1848" s="154"/>
      <c r="Q1848" s="154"/>
      <c r="R1848" s="357"/>
    </row>
    <row r="1849" spans="1:18" s="11" customFormat="1" ht="36" hidden="1">
      <c r="A1849" s="151"/>
      <c r="B1849" s="220" t="s">
        <v>328</v>
      </c>
      <c r="C1849" s="153"/>
      <c r="D1849" s="154">
        <f t="shared" si="233"/>
        <v>0</v>
      </c>
      <c r="E1849" s="154">
        <f t="shared" si="235"/>
        <v>0</v>
      </c>
      <c r="F1849" s="452" t="e">
        <f t="shared" si="228"/>
        <v>#DIV/0!</v>
      </c>
      <c r="G1849" s="154"/>
      <c r="H1849" s="155"/>
      <c r="I1849" s="426"/>
      <c r="J1849" s="155"/>
      <c r="K1849" s="154"/>
      <c r="L1849" s="379"/>
      <c r="M1849" s="153"/>
      <c r="N1849" s="154"/>
      <c r="O1849" s="426" t="e">
        <f t="shared" si="234"/>
        <v>#DIV/0!</v>
      </c>
      <c r="P1849" s="154"/>
      <c r="Q1849" s="154"/>
      <c r="R1849" s="357"/>
    </row>
    <row r="1850" spans="1:18" s="11" customFormat="1" ht="12.75" hidden="1">
      <c r="A1850" s="151"/>
      <c r="B1850" s="220" t="s">
        <v>167</v>
      </c>
      <c r="C1850" s="153"/>
      <c r="D1850" s="154">
        <f t="shared" si="233"/>
        <v>0</v>
      </c>
      <c r="E1850" s="154">
        <f t="shared" si="235"/>
        <v>0</v>
      </c>
      <c r="F1850" s="452" t="e">
        <f t="shared" si="228"/>
        <v>#DIV/0!</v>
      </c>
      <c r="G1850" s="154"/>
      <c r="H1850" s="155"/>
      <c r="I1850" s="426"/>
      <c r="J1850" s="155"/>
      <c r="K1850" s="154"/>
      <c r="L1850" s="379"/>
      <c r="M1850" s="153"/>
      <c r="N1850" s="154"/>
      <c r="O1850" s="426" t="e">
        <f t="shared" si="234"/>
        <v>#DIV/0!</v>
      </c>
      <c r="P1850" s="154"/>
      <c r="Q1850" s="154"/>
      <c r="R1850" s="357"/>
    </row>
    <row r="1851" spans="1:18" s="11" customFormat="1" ht="36" hidden="1">
      <c r="A1851" s="151"/>
      <c r="B1851" s="220" t="s">
        <v>308</v>
      </c>
      <c r="C1851" s="153"/>
      <c r="D1851" s="154">
        <f t="shared" si="233"/>
        <v>0</v>
      </c>
      <c r="E1851" s="154">
        <f t="shared" si="235"/>
        <v>0</v>
      </c>
      <c r="F1851" s="452" t="e">
        <f t="shared" si="228"/>
        <v>#DIV/0!</v>
      </c>
      <c r="G1851" s="154"/>
      <c r="H1851" s="155"/>
      <c r="I1851" s="426"/>
      <c r="J1851" s="155"/>
      <c r="K1851" s="154"/>
      <c r="L1851" s="379"/>
      <c r="M1851" s="153"/>
      <c r="N1851" s="154"/>
      <c r="O1851" s="426" t="e">
        <f t="shared" si="234"/>
        <v>#DIV/0!</v>
      </c>
      <c r="P1851" s="154"/>
      <c r="Q1851" s="154"/>
      <c r="R1851" s="357"/>
    </row>
    <row r="1852" spans="1:18" s="12" customFormat="1" ht="24">
      <c r="A1852" s="159">
        <v>6050</v>
      </c>
      <c r="B1852" s="193" t="s">
        <v>549</v>
      </c>
      <c r="C1852" s="161">
        <v>500000</v>
      </c>
      <c r="D1852" s="65">
        <f>G1852+J1852+P1852+M1852</f>
        <v>1100000</v>
      </c>
      <c r="E1852" s="65">
        <f>SUM(H1852+K1852+N1852+Q1852)</f>
        <v>74804</v>
      </c>
      <c r="F1852" s="458">
        <f>E1852/D1852*100</f>
        <v>6.800363636363636</v>
      </c>
      <c r="G1852" s="65"/>
      <c r="H1852" s="162"/>
      <c r="I1852" s="469"/>
      <c r="J1852" s="162"/>
      <c r="K1852" s="65"/>
      <c r="L1852" s="379"/>
      <c r="M1852" s="161">
        <f>500000+600000</f>
        <v>1100000</v>
      </c>
      <c r="N1852" s="65">
        <v>74804</v>
      </c>
      <c r="O1852" s="426">
        <f t="shared" si="234"/>
        <v>6.800363636363636</v>
      </c>
      <c r="P1852" s="65"/>
      <c r="Q1852" s="65"/>
      <c r="R1852" s="350"/>
    </row>
    <row r="1853" spans="1:18" s="12" customFormat="1" ht="24" hidden="1">
      <c r="A1853" s="159">
        <v>6058</v>
      </c>
      <c r="B1853" s="193" t="s">
        <v>549</v>
      </c>
      <c r="C1853" s="161"/>
      <c r="D1853" s="65">
        <f>G1853+J1853+P1853+M1853</f>
        <v>0</v>
      </c>
      <c r="E1853" s="65">
        <f>SUM(H1853+K1853+N1853+Q1853)</f>
        <v>0</v>
      </c>
      <c r="F1853" s="458" t="e">
        <f>E1853/D1853*100</f>
        <v>#DIV/0!</v>
      </c>
      <c r="G1853" s="65"/>
      <c r="H1853" s="162"/>
      <c r="I1853" s="469"/>
      <c r="J1853" s="162"/>
      <c r="K1853" s="65"/>
      <c r="L1853" s="379"/>
      <c r="M1853" s="161"/>
      <c r="N1853" s="65"/>
      <c r="O1853" s="426" t="e">
        <f t="shared" si="234"/>
        <v>#DIV/0!</v>
      </c>
      <c r="P1853" s="65"/>
      <c r="Q1853" s="65"/>
      <c r="R1853" s="350"/>
    </row>
    <row r="1854" spans="1:18" ht="24" hidden="1">
      <c r="A1854" s="111">
        <v>6059</v>
      </c>
      <c r="B1854" s="115" t="s">
        <v>549</v>
      </c>
      <c r="C1854" s="79"/>
      <c r="D1854" s="65">
        <f t="shared" si="233"/>
        <v>0</v>
      </c>
      <c r="E1854" s="80">
        <f t="shared" si="235"/>
        <v>0</v>
      </c>
      <c r="F1854" s="452" t="e">
        <f t="shared" si="228"/>
        <v>#DIV/0!</v>
      </c>
      <c r="G1854" s="80"/>
      <c r="H1854" s="113"/>
      <c r="I1854" s="426"/>
      <c r="J1854" s="113"/>
      <c r="K1854" s="80"/>
      <c r="L1854" s="379"/>
      <c r="M1854" s="79"/>
      <c r="N1854" s="80"/>
      <c r="O1854" s="426" t="e">
        <f t="shared" si="234"/>
        <v>#DIV/0!</v>
      </c>
      <c r="P1854" s="80"/>
      <c r="Q1854" s="80"/>
      <c r="R1854" s="350"/>
    </row>
    <row r="1855" spans="1:18" ht="24" hidden="1">
      <c r="A1855" s="111">
        <v>4270</v>
      </c>
      <c r="B1855" s="115" t="s">
        <v>487</v>
      </c>
      <c r="C1855" s="79"/>
      <c r="D1855" s="65">
        <f>G1855+J1855+P1855+M1855</f>
        <v>0</v>
      </c>
      <c r="E1855" s="80">
        <f>SUM(H1855+K1855+N1855+Q1855)</f>
        <v>0</v>
      </c>
      <c r="F1855" s="452" t="e">
        <f>E1855/D1855*100</f>
        <v>#DIV/0!</v>
      </c>
      <c r="G1855" s="80"/>
      <c r="H1855" s="113"/>
      <c r="I1855" s="426"/>
      <c r="J1855" s="113"/>
      <c r="K1855" s="80"/>
      <c r="L1855" s="379"/>
      <c r="M1855" s="113"/>
      <c r="N1855" s="80"/>
      <c r="O1855" s="426" t="e">
        <f t="shared" si="234"/>
        <v>#DIV/0!</v>
      </c>
      <c r="P1855" s="80"/>
      <c r="Q1855" s="80"/>
      <c r="R1855" s="350"/>
    </row>
    <row r="1856" spans="1:18" ht="88.5" customHeight="1">
      <c r="A1856" s="111">
        <v>6220</v>
      </c>
      <c r="B1856" s="115" t="s">
        <v>238</v>
      </c>
      <c r="C1856" s="79"/>
      <c r="D1856" s="65">
        <f>G1856+J1856+P1856+M1856</f>
        <v>108000</v>
      </c>
      <c r="E1856" s="80">
        <f>SUM(H1856+K1856+N1856+Q1856)</f>
        <v>0</v>
      </c>
      <c r="F1856" s="452">
        <f>E1856/D1856*100</f>
        <v>0</v>
      </c>
      <c r="G1856" s="80"/>
      <c r="H1856" s="113"/>
      <c r="I1856" s="426"/>
      <c r="J1856" s="113"/>
      <c r="K1856" s="80"/>
      <c r="L1856" s="379"/>
      <c r="M1856" s="113">
        <f>SUM(M1857)</f>
        <v>40000</v>
      </c>
      <c r="N1856" s="80">
        <f>SUM(N1857)</f>
        <v>0</v>
      </c>
      <c r="O1856" s="426">
        <f t="shared" si="234"/>
        <v>0</v>
      </c>
      <c r="P1856" s="80">
        <f>SUM(P1857)</f>
        <v>68000</v>
      </c>
      <c r="Q1856" s="80">
        <f>SUM(Q1857)</f>
        <v>0</v>
      </c>
      <c r="R1856" s="477">
        <f>Q1856/P1856*100</f>
        <v>0</v>
      </c>
    </row>
    <row r="1857" spans="1:18" s="11" customFormat="1" ht="60">
      <c r="A1857" s="427" t="s">
        <v>382</v>
      </c>
      <c r="B1857" s="428" t="s">
        <v>38</v>
      </c>
      <c r="C1857" s="429"/>
      <c r="D1857" s="154">
        <f>G1857+J1857+P1857+M1857</f>
        <v>108000</v>
      </c>
      <c r="E1857" s="154">
        <f>SUM(H1857+K1857+N1857+Q1857)</f>
        <v>0</v>
      </c>
      <c r="F1857" s="452">
        <f>E1857/D1857*100</f>
        <v>0</v>
      </c>
      <c r="G1857" s="430"/>
      <c r="H1857" s="431"/>
      <c r="I1857" s="446"/>
      <c r="J1857" s="431"/>
      <c r="K1857" s="430"/>
      <c r="L1857" s="404"/>
      <c r="M1857" s="431">
        <f>40000</f>
        <v>40000</v>
      </c>
      <c r="N1857" s="430"/>
      <c r="O1857" s="426">
        <f t="shared" si="234"/>
        <v>0</v>
      </c>
      <c r="P1857" s="430">
        <v>68000</v>
      </c>
      <c r="Q1857" s="430"/>
      <c r="R1857" s="586">
        <f>Q1857/P1857*100</f>
        <v>0</v>
      </c>
    </row>
    <row r="1858" spans="1:18" ht="22.5" customHeight="1">
      <c r="A1858" s="106">
        <v>92108</v>
      </c>
      <c r="B1858" s="172" t="s">
        <v>168</v>
      </c>
      <c r="C1858" s="108">
        <f>SUM(C1859:C1859)+C1866</f>
        <v>4127000</v>
      </c>
      <c r="D1858" s="86">
        <f t="shared" si="233"/>
        <v>4302000</v>
      </c>
      <c r="E1858" s="75">
        <f>H1858+K1858+Q1858+N1858</f>
        <v>1586664</v>
      </c>
      <c r="F1858" s="451">
        <f t="shared" si="228"/>
        <v>36.882008368200836</v>
      </c>
      <c r="G1858" s="86"/>
      <c r="H1858" s="158"/>
      <c r="I1858" s="301"/>
      <c r="J1858" s="158">
        <f>J1859+J1865+J1866</f>
        <v>5000</v>
      </c>
      <c r="K1858" s="158">
        <f>K1859+K1865+K1866</f>
        <v>0</v>
      </c>
      <c r="L1858" s="478">
        <f>K1858/J1858*100</f>
        <v>0</v>
      </c>
      <c r="M1858" s="75">
        <f>SUM(M1859)+M1866+M1867</f>
        <v>4297000</v>
      </c>
      <c r="N1858" s="75">
        <f>SUM(N1859)+N1866+N1867</f>
        <v>1586664</v>
      </c>
      <c r="O1858" s="432">
        <f t="shared" si="234"/>
        <v>36.92492436583663</v>
      </c>
      <c r="P1858" s="75"/>
      <c r="Q1858" s="75"/>
      <c r="R1858" s="360"/>
    </row>
    <row r="1859" spans="1:18" ht="40.5" customHeight="1">
      <c r="A1859" s="99">
        <v>2480</v>
      </c>
      <c r="B1859" s="186" t="s">
        <v>184</v>
      </c>
      <c r="C1859" s="81">
        <f>SUM(C1860:C1864)</f>
        <v>3127000</v>
      </c>
      <c r="D1859" s="94">
        <f t="shared" si="233"/>
        <v>3297000</v>
      </c>
      <c r="E1859" s="95">
        <f aca="true" t="shared" si="236" ref="E1859:E1866">SUM(H1859+K1859+N1859+Q1859)</f>
        <v>1586664</v>
      </c>
      <c r="F1859" s="454">
        <f t="shared" si="228"/>
        <v>48.12447679708826</v>
      </c>
      <c r="G1859" s="95"/>
      <c r="H1859" s="183"/>
      <c r="I1859" s="289"/>
      <c r="J1859" s="187"/>
      <c r="K1859" s="95"/>
      <c r="L1859" s="465"/>
      <c r="M1859" s="81">
        <f>SUM(M1860:M1864)</f>
        <v>3297000</v>
      </c>
      <c r="N1859" s="95">
        <f>SUM(N1860:N1864)</f>
        <v>1586664</v>
      </c>
      <c r="O1859" s="448">
        <f t="shared" si="234"/>
        <v>48.12447679708826</v>
      </c>
      <c r="P1859" s="95"/>
      <c r="Q1859" s="95"/>
      <c r="R1859" s="353"/>
    </row>
    <row r="1860" spans="1:18" s="11" customFormat="1" ht="12.75">
      <c r="A1860" s="427"/>
      <c r="B1860" s="428" t="s">
        <v>165</v>
      </c>
      <c r="C1860" s="429">
        <v>2940000</v>
      </c>
      <c r="D1860" s="430">
        <f t="shared" si="233"/>
        <v>3110000</v>
      </c>
      <c r="E1860" s="430">
        <f t="shared" si="236"/>
        <v>1526664</v>
      </c>
      <c r="F1860" s="453">
        <f t="shared" si="228"/>
        <v>49.088874598070745</v>
      </c>
      <c r="G1860" s="430"/>
      <c r="H1860" s="431"/>
      <c r="I1860" s="259"/>
      <c r="J1860" s="431"/>
      <c r="K1860" s="430"/>
      <c r="L1860" s="467"/>
      <c r="M1860" s="429">
        <f>2940000+170000</f>
        <v>3110000</v>
      </c>
      <c r="N1860" s="430">
        <f>250000+250000+235000+263888+263888+263888</f>
        <v>1526664</v>
      </c>
      <c r="O1860" s="446">
        <f t="shared" si="234"/>
        <v>49.088874598070745</v>
      </c>
      <c r="P1860" s="430"/>
      <c r="Q1860" s="430"/>
      <c r="R1860" s="416"/>
    </row>
    <row r="1861" spans="1:18" s="11" customFormat="1" ht="12.75">
      <c r="A1861" s="151"/>
      <c r="B1861" s="220" t="s">
        <v>119</v>
      </c>
      <c r="C1861" s="153">
        <v>60000</v>
      </c>
      <c r="D1861" s="154">
        <f t="shared" si="233"/>
        <v>60000</v>
      </c>
      <c r="E1861" s="154"/>
      <c r="F1861" s="452">
        <f t="shared" si="228"/>
        <v>0</v>
      </c>
      <c r="G1861" s="154"/>
      <c r="H1861" s="155"/>
      <c r="I1861" s="211"/>
      <c r="J1861" s="155"/>
      <c r="K1861" s="154"/>
      <c r="L1861" s="466"/>
      <c r="M1861" s="153">
        <v>60000</v>
      </c>
      <c r="N1861" s="154">
        <v>60000</v>
      </c>
      <c r="O1861" s="426">
        <f t="shared" si="234"/>
        <v>100</v>
      </c>
      <c r="P1861" s="154"/>
      <c r="Q1861" s="154"/>
      <c r="R1861" s="357"/>
    </row>
    <row r="1862" spans="1:18" s="11" customFormat="1" ht="36" hidden="1">
      <c r="A1862" s="151"/>
      <c r="B1862" s="220" t="s">
        <v>377</v>
      </c>
      <c r="C1862" s="153"/>
      <c r="D1862" s="154">
        <f t="shared" si="233"/>
        <v>0</v>
      </c>
      <c r="E1862" s="154">
        <f t="shared" si="236"/>
        <v>0</v>
      </c>
      <c r="F1862" s="452"/>
      <c r="G1862" s="154"/>
      <c r="H1862" s="155"/>
      <c r="I1862" s="211"/>
      <c r="J1862" s="155"/>
      <c r="K1862" s="154"/>
      <c r="L1862" s="466"/>
      <c r="M1862" s="153"/>
      <c r="N1862" s="154"/>
      <c r="O1862" s="426"/>
      <c r="P1862" s="154"/>
      <c r="Q1862" s="154"/>
      <c r="R1862" s="357"/>
    </row>
    <row r="1863" spans="1:18" s="11" customFormat="1" ht="24">
      <c r="A1863" s="151"/>
      <c r="B1863" s="220" t="s">
        <v>224</v>
      </c>
      <c r="C1863" s="153">
        <v>72000</v>
      </c>
      <c r="D1863" s="154">
        <f t="shared" si="233"/>
        <v>72000</v>
      </c>
      <c r="E1863" s="154">
        <f t="shared" si="236"/>
        <v>0</v>
      </c>
      <c r="F1863" s="452">
        <f t="shared" si="228"/>
        <v>0</v>
      </c>
      <c r="G1863" s="154"/>
      <c r="H1863" s="155"/>
      <c r="I1863" s="211"/>
      <c r="J1863" s="155"/>
      <c r="K1863" s="154"/>
      <c r="L1863" s="466"/>
      <c r="M1863" s="153">
        <v>72000</v>
      </c>
      <c r="N1863" s="154"/>
      <c r="O1863" s="426">
        <f t="shared" si="234"/>
        <v>0</v>
      </c>
      <c r="P1863" s="154"/>
      <c r="Q1863" s="154"/>
      <c r="R1863" s="357"/>
    </row>
    <row r="1864" spans="1:18" s="11" customFormat="1" ht="24">
      <c r="A1864" s="151"/>
      <c r="B1864" s="220" t="s">
        <v>185</v>
      </c>
      <c r="C1864" s="153">
        <v>55000</v>
      </c>
      <c r="D1864" s="154">
        <f t="shared" si="233"/>
        <v>55000</v>
      </c>
      <c r="E1864" s="154">
        <f t="shared" si="236"/>
        <v>0</v>
      </c>
      <c r="F1864" s="452">
        <f t="shared" si="228"/>
        <v>0</v>
      </c>
      <c r="G1864" s="154"/>
      <c r="H1864" s="155"/>
      <c r="I1864" s="211"/>
      <c r="J1864" s="155"/>
      <c r="K1864" s="154"/>
      <c r="L1864" s="466"/>
      <c r="M1864" s="153">
        <v>55000</v>
      </c>
      <c r="N1864" s="154"/>
      <c r="O1864" s="426">
        <f t="shared" si="234"/>
        <v>0</v>
      </c>
      <c r="P1864" s="154"/>
      <c r="Q1864" s="154"/>
      <c r="R1864" s="357"/>
    </row>
    <row r="1865" spans="1:18" ht="26.25" customHeight="1">
      <c r="A1865" s="111">
        <v>4210</v>
      </c>
      <c r="B1865" s="115" t="s">
        <v>392</v>
      </c>
      <c r="C1865" s="79"/>
      <c r="D1865" s="65">
        <f t="shared" si="233"/>
        <v>5000</v>
      </c>
      <c r="E1865" s="80">
        <f t="shared" si="236"/>
        <v>0</v>
      </c>
      <c r="F1865" s="452">
        <f>E1865/D1865*100</f>
        <v>0</v>
      </c>
      <c r="G1865" s="80"/>
      <c r="H1865" s="162"/>
      <c r="I1865" s="211"/>
      <c r="J1865" s="113">
        <v>5000</v>
      </c>
      <c r="K1865" s="80"/>
      <c r="L1865" s="466">
        <f>K1865/J1865*100</f>
        <v>0</v>
      </c>
      <c r="M1865" s="113"/>
      <c r="N1865" s="80"/>
      <c r="O1865" s="426"/>
      <c r="P1865" s="80"/>
      <c r="Q1865" s="80"/>
      <c r="R1865" s="350"/>
    </row>
    <row r="1866" spans="1:18" ht="36">
      <c r="A1866" s="111">
        <v>6050</v>
      </c>
      <c r="B1866" s="193" t="s">
        <v>378</v>
      </c>
      <c r="C1866" s="79">
        <v>1000000</v>
      </c>
      <c r="D1866" s="65">
        <f t="shared" si="233"/>
        <v>1000000</v>
      </c>
      <c r="E1866" s="80">
        <f t="shared" si="236"/>
        <v>0</v>
      </c>
      <c r="F1866" s="452">
        <f>E1866/D1866*100</f>
        <v>0</v>
      </c>
      <c r="G1866" s="79"/>
      <c r="H1866" s="162"/>
      <c r="I1866" s="211"/>
      <c r="J1866" s="113"/>
      <c r="K1866" s="80"/>
      <c r="L1866" s="379"/>
      <c r="M1866" s="113">
        <v>1000000</v>
      </c>
      <c r="N1866" s="80"/>
      <c r="O1866" s="426">
        <f t="shared" si="234"/>
        <v>0</v>
      </c>
      <c r="P1866" s="80"/>
      <c r="Q1866" s="80"/>
      <c r="R1866" s="350"/>
    </row>
    <row r="1867" spans="1:18" ht="94.5" customHeight="1" hidden="1">
      <c r="A1867" s="111">
        <v>6220</v>
      </c>
      <c r="B1867" s="146" t="s">
        <v>383</v>
      </c>
      <c r="C1867" s="147"/>
      <c r="D1867" s="65">
        <f t="shared" si="233"/>
        <v>0</v>
      </c>
      <c r="E1867" s="80"/>
      <c r="F1867" s="452"/>
      <c r="G1867" s="147"/>
      <c r="H1867" s="164"/>
      <c r="I1867" s="259"/>
      <c r="J1867" s="149"/>
      <c r="K1867" s="142"/>
      <c r="L1867" s="404"/>
      <c r="M1867" s="149"/>
      <c r="N1867" s="142"/>
      <c r="O1867" s="446" t="e">
        <f t="shared" si="234"/>
        <v>#DIV/0!</v>
      </c>
      <c r="P1867" s="142"/>
      <c r="Q1867" s="142"/>
      <c r="R1867" s="354"/>
    </row>
    <row r="1868" spans="1:18" ht="28.5" customHeight="1">
      <c r="A1868" s="106">
        <v>92109</v>
      </c>
      <c r="B1868" s="172" t="s">
        <v>187</v>
      </c>
      <c r="C1868" s="108">
        <f>C1869</f>
        <v>2569000</v>
      </c>
      <c r="D1868" s="86">
        <f t="shared" si="233"/>
        <v>3439000</v>
      </c>
      <c r="E1868" s="75">
        <f>H1868+K1868+Q1868+N1868</f>
        <v>2201212</v>
      </c>
      <c r="F1868" s="451">
        <f>E1868/D1868*100</f>
        <v>64.00732771154405</v>
      </c>
      <c r="G1868" s="75">
        <f>G1869</f>
        <v>3439000</v>
      </c>
      <c r="H1868" s="75">
        <f>H1869</f>
        <v>2201212</v>
      </c>
      <c r="I1868" s="432">
        <f>H1868/G1868*100</f>
        <v>64.00732771154405</v>
      </c>
      <c r="J1868" s="110"/>
      <c r="K1868" s="75"/>
      <c r="L1868" s="406"/>
      <c r="M1868" s="75"/>
      <c r="N1868" s="75"/>
      <c r="O1868" s="301"/>
      <c r="P1868" s="75"/>
      <c r="Q1868" s="75"/>
      <c r="R1868" s="360"/>
    </row>
    <row r="1869" spans="1:18" s="11" customFormat="1" ht="13.5">
      <c r="A1869" s="305"/>
      <c r="B1869" s="306" t="s">
        <v>155</v>
      </c>
      <c r="C1869" s="307">
        <f>SUM(C1870:C1883)+C1902+C1899+C1900</f>
        <v>2569000</v>
      </c>
      <c r="D1869" s="308">
        <f t="shared" si="233"/>
        <v>3439000</v>
      </c>
      <c r="E1869" s="308">
        <f>H1869+K1869+Q1869+N1869</f>
        <v>2201212</v>
      </c>
      <c r="F1869" s="451">
        <f>E1869/D1869*100</f>
        <v>64.00732771154405</v>
      </c>
      <c r="G1869" s="308">
        <f>SUM(G1870:G1883)+G1899+G1900</f>
        <v>3439000</v>
      </c>
      <c r="H1869" s="308">
        <f>SUM(H1870:H1883)+H1899+H1900</f>
        <v>2201212</v>
      </c>
      <c r="I1869" s="432">
        <f>H1869/G1869*100</f>
        <v>64.00732771154405</v>
      </c>
      <c r="J1869" s="309"/>
      <c r="K1869" s="308"/>
      <c r="L1869" s="406"/>
      <c r="M1869" s="308"/>
      <c r="N1869" s="308"/>
      <c r="O1869" s="301"/>
      <c r="P1869" s="308"/>
      <c r="Q1869" s="308"/>
      <c r="R1869" s="380"/>
    </row>
    <row r="1870" spans="1:18" ht="40.5" customHeight="1" hidden="1">
      <c r="A1870" s="111">
        <v>3020</v>
      </c>
      <c r="B1870" s="115" t="s">
        <v>515</v>
      </c>
      <c r="C1870" s="79"/>
      <c r="D1870" s="65">
        <f t="shared" si="233"/>
        <v>0</v>
      </c>
      <c r="E1870" s="80">
        <f>SUM(H1870+K1870+N1870+Q1870)</f>
        <v>0</v>
      </c>
      <c r="F1870" s="452"/>
      <c r="G1870" s="169"/>
      <c r="H1870" s="170"/>
      <c r="I1870" s="426"/>
      <c r="J1870" s="170"/>
      <c r="K1870" s="169"/>
      <c r="L1870" s="392"/>
      <c r="M1870" s="79"/>
      <c r="N1870" s="80"/>
      <c r="O1870" s="211"/>
      <c r="P1870" s="80"/>
      <c r="Q1870" s="80"/>
      <c r="R1870" s="350"/>
    </row>
    <row r="1871" spans="1:18" ht="24.75" customHeight="1" hidden="1">
      <c r="A1871" s="111">
        <v>4010</v>
      </c>
      <c r="B1871" s="115" t="s">
        <v>471</v>
      </c>
      <c r="C1871" s="79"/>
      <c r="D1871" s="65">
        <f t="shared" si="233"/>
        <v>0</v>
      </c>
      <c r="E1871" s="80">
        <f aca="true" t="shared" si="237" ref="E1871:E1877">SUM(H1871+K1871+N1871+Q1871)</f>
        <v>0</v>
      </c>
      <c r="F1871" s="452"/>
      <c r="G1871" s="169"/>
      <c r="H1871" s="170"/>
      <c r="I1871" s="426"/>
      <c r="J1871" s="170"/>
      <c r="K1871" s="169"/>
      <c r="L1871" s="392"/>
      <c r="M1871" s="79"/>
      <c r="N1871" s="80"/>
      <c r="O1871" s="211"/>
      <c r="P1871" s="80"/>
      <c r="Q1871" s="80"/>
      <c r="R1871" s="350"/>
    </row>
    <row r="1872" spans="1:18" ht="27" customHeight="1" hidden="1">
      <c r="A1872" s="111">
        <v>4040</v>
      </c>
      <c r="B1872" s="115" t="s">
        <v>475</v>
      </c>
      <c r="C1872" s="79"/>
      <c r="D1872" s="65">
        <f t="shared" si="233"/>
        <v>0</v>
      </c>
      <c r="E1872" s="80">
        <f t="shared" si="237"/>
        <v>0</v>
      </c>
      <c r="F1872" s="452"/>
      <c r="G1872" s="169"/>
      <c r="H1872" s="170"/>
      <c r="I1872" s="426"/>
      <c r="J1872" s="170"/>
      <c r="K1872" s="169"/>
      <c r="L1872" s="392"/>
      <c r="M1872" s="79"/>
      <c r="N1872" s="80"/>
      <c r="O1872" s="211"/>
      <c r="P1872" s="80"/>
      <c r="Q1872" s="80"/>
      <c r="R1872" s="350"/>
    </row>
    <row r="1873" spans="1:18" ht="27" customHeight="1" hidden="1">
      <c r="A1873" s="111">
        <v>4110</v>
      </c>
      <c r="B1873" s="115" t="s">
        <v>477</v>
      </c>
      <c r="C1873" s="79"/>
      <c r="D1873" s="65">
        <f t="shared" si="233"/>
        <v>0</v>
      </c>
      <c r="E1873" s="80">
        <f t="shared" si="237"/>
        <v>0</v>
      </c>
      <c r="F1873" s="452"/>
      <c r="G1873" s="169"/>
      <c r="H1873" s="170"/>
      <c r="I1873" s="426"/>
      <c r="J1873" s="170"/>
      <c r="K1873" s="169"/>
      <c r="L1873" s="392"/>
      <c r="M1873" s="79"/>
      <c r="N1873" s="80"/>
      <c r="O1873" s="211"/>
      <c r="P1873" s="80"/>
      <c r="Q1873" s="80"/>
      <c r="R1873" s="350"/>
    </row>
    <row r="1874" spans="1:18" ht="19.5" customHeight="1" hidden="1">
      <c r="A1874" s="111">
        <v>4120</v>
      </c>
      <c r="B1874" s="115" t="s">
        <v>547</v>
      </c>
      <c r="C1874" s="79"/>
      <c r="D1874" s="65">
        <f t="shared" si="233"/>
        <v>0</v>
      </c>
      <c r="E1874" s="80">
        <f t="shared" si="237"/>
        <v>0</v>
      </c>
      <c r="F1874" s="452"/>
      <c r="G1874" s="169"/>
      <c r="H1874" s="170"/>
      <c r="I1874" s="426"/>
      <c r="J1874" s="170"/>
      <c r="K1874" s="169"/>
      <c r="L1874" s="392"/>
      <c r="M1874" s="79"/>
      <c r="N1874" s="80"/>
      <c r="O1874" s="211"/>
      <c r="P1874" s="80"/>
      <c r="Q1874" s="80"/>
      <c r="R1874" s="350"/>
    </row>
    <row r="1875" spans="1:18" ht="25.5" customHeight="1" hidden="1">
      <c r="A1875" s="111">
        <v>4210</v>
      </c>
      <c r="B1875" s="115" t="s">
        <v>481</v>
      </c>
      <c r="C1875" s="79"/>
      <c r="D1875" s="65">
        <f t="shared" si="233"/>
        <v>0</v>
      </c>
      <c r="E1875" s="80">
        <f t="shared" si="237"/>
        <v>0</v>
      </c>
      <c r="F1875" s="452"/>
      <c r="G1875" s="169"/>
      <c r="H1875" s="170"/>
      <c r="I1875" s="426"/>
      <c r="J1875" s="170"/>
      <c r="K1875" s="169"/>
      <c r="L1875" s="392"/>
      <c r="M1875" s="79"/>
      <c r="N1875" s="80"/>
      <c r="O1875" s="211"/>
      <c r="P1875" s="80"/>
      <c r="Q1875" s="80"/>
      <c r="R1875" s="350"/>
    </row>
    <row r="1876" spans="1:18" ht="38.25" customHeight="1" hidden="1">
      <c r="A1876" s="111">
        <v>4240</v>
      </c>
      <c r="B1876" s="115" t="s">
        <v>539</v>
      </c>
      <c r="C1876" s="79"/>
      <c r="D1876" s="65">
        <f t="shared" si="233"/>
        <v>0</v>
      </c>
      <c r="E1876" s="80">
        <f t="shared" si="237"/>
        <v>0</v>
      </c>
      <c r="F1876" s="452"/>
      <c r="G1876" s="169"/>
      <c r="H1876" s="170"/>
      <c r="I1876" s="426"/>
      <c r="J1876" s="170"/>
      <c r="K1876" s="169"/>
      <c r="L1876" s="392"/>
      <c r="M1876" s="79"/>
      <c r="N1876" s="80"/>
      <c r="O1876" s="211"/>
      <c r="P1876" s="80"/>
      <c r="Q1876" s="80"/>
      <c r="R1876" s="350"/>
    </row>
    <row r="1877" spans="1:18" ht="15" customHeight="1" hidden="1">
      <c r="A1877" s="111">
        <v>4260</v>
      </c>
      <c r="B1877" s="115" t="s">
        <v>485</v>
      </c>
      <c r="C1877" s="79"/>
      <c r="D1877" s="65">
        <f t="shared" si="233"/>
        <v>0</v>
      </c>
      <c r="E1877" s="80">
        <f t="shared" si="237"/>
        <v>0</v>
      </c>
      <c r="F1877" s="452"/>
      <c r="G1877" s="169"/>
      <c r="H1877" s="170"/>
      <c r="I1877" s="426"/>
      <c r="J1877" s="170"/>
      <c r="K1877" s="169"/>
      <c r="L1877" s="392"/>
      <c r="M1877" s="79"/>
      <c r="N1877" s="80"/>
      <c r="O1877" s="211"/>
      <c r="P1877" s="80"/>
      <c r="Q1877" s="80"/>
      <c r="R1877" s="350"/>
    </row>
    <row r="1878" spans="1:18" ht="21" customHeight="1" hidden="1">
      <c r="A1878" s="111">
        <v>4300</v>
      </c>
      <c r="B1878" s="115" t="s">
        <v>489</v>
      </c>
      <c r="C1878" s="79"/>
      <c r="D1878" s="65">
        <f t="shared" si="233"/>
        <v>0</v>
      </c>
      <c r="E1878" s="80">
        <f>SUM(H1878+K1878+N1878+Q1878)</f>
        <v>0</v>
      </c>
      <c r="F1878" s="452"/>
      <c r="G1878" s="169"/>
      <c r="H1878" s="170"/>
      <c r="I1878" s="426"/>
      <c r="J1878" s="170"/>
      <c r="K1878" s="169"/>
      <c r="L1878" s="392"/>
      <c r="M1878" s="79"/>
      <c r="N1878" s="80"/>
      <c r="O1878" s="211"/>
      <c r="P1878" s="80"/>
      <c r="Q1878" s="80"/>
      <c r="R1878" s="350"/>
    </row>
    <row r="1879" spans="1:18" ht="15.75" customHeight="1" hidden="1">
      <c r="A1879" s="111">
        <v>4410</v>
      </c>
      <c r="B1879" s="115" t="s">
        <v>463</v>
      </c>
      <c r="C1879" s="79"/>
      <c r="D1879" s="65">
        <f t="shared" si="233"/>
        <v>0</v>
      </c>
      <c r="E1879" s="80">
        <f>SUM(H1879+K1879+N1879+Q1879)</f>
        <v>0</v>
      </c>
      <c r="F1879" s="452"/>
      <c r="G1879" s="169"/>
      <c r="H1879" s="170"/>
      <c r="I1879" s="426"/>
      <c r="J1879" s="170"/>
      <c r="K1879" s="169"/>
      <c r="L1879" s="392"/>
      <c r="M1879" s="79"/>
      <c r="N1879" s="80"/>
      <c r="O1879" s="211"/>
      <c r="P1879" s="80"/>
      <c r="Q1879" s="80"/>
      <c r="R1879" s="350"/>
    </row>
    <row r="1880" spans="1:18" ht="15.75" customHeight="1" hidden="1">
      <c r="A1880" s="111">
        <v>4430</v>
      </c>
      <c r="B1880" s="115" t="s">
        <v>491</v>
      </c>
      <c r="C1880" s="79"/>
      <c r="D1880" s="65">
        <f t="shared" si="233"/>
        <v>0</v>
      </c>
      <c r="E1880" s="80">
        <f>SUM(H1880+K1880+N1880+Q1880)</f>
        <v>0</v>
      </c>
      <c r="F1880" s="452"/>
      <c r="G1880" s="169"/>
      <c r="H1880" s="170"/>
      <c r="I1880" s="426"/>
      <c r="J1880" s="170"/>
      <c r="K1880" s="169"/>
      <c r="L1880" s="392"/>
      <c r="M1880" s="79"/>
      <c r="N1880" s="80"/>
      <c r="O1880" s="211"/>
      <c r="P1880" s="80"/>
      <c r="Q1880" s="80"/>
      <c r="R1880" s="350"/>
    </row>
    <row r="1881" spans="1:18" ht="18" customHeight="1" hidden="1">
      <c r="A1881" s="111">
        <v>4440</v>
      </c>
      <c r="B1881" s="115" t="s">
        <v>493</v>
      </c>
      <c r="C1881" s="79"/>
      <c r="D1881" s="65">
        <f t="shared" si="233"/>
        <v>0</v>
      </c>
      <c r="E1881" s="80">
        <f>SUM(H1881+K1881+N1881+Q1881)</f>
        <v>0</v>
      </c>
      <c r="F1881" s="452"/>
      <c r="G1881" s="169"/>
      <c r="H1881" s="170"/>
      <c r="I1881" s="426"/>
      <c r="J1881" s="170"/>
      <c r="K1881" s="169"/>
      <c r="L1881" s="392"/>
      <c r="M1881" s="79"/>
      <c r="N1881" s="80"/>
      <c r="O1881" s="211"/>
      <c r="P1881" s="80"/>
      <c r="Q1881" s="80"/>
      <c r="R1881" s="350"/>
    </row>
    <row r="1882" spans="1:18" ht="19.5" customHeight="1" hidden="1">
      <c r="A1882" s="111">
        <v>4480</v>
      </c>
      <c r="B1882" s="115" t="s">
        <v>495</v>
      </c>
      <c r="C1882" s="79"/>
      <c r="D1882" s="65"/>
      <c r="E1882" s="80"/>
      <c r="F1882" s="452"/>
      <c r="G1882" s="168"/>
      <c r="H1882" s="169"/>
      <c r="I1882" s="426"/>
      <c r="J1882" s="170"/>
      <c r="K1882" s="169"/>
      <c r="L1882" s="392"/>
      <c r="M1882" s="79"/>
      <c r="N1882" s="80"/>
      <c r="O1882" s="211"/>
      <c r="P1882" s="80"/>
      <c r="Q1882" s="80"/>
      <c r="R1882" s="350"/>
    </row>
    <row r="1883" spans="1:18" s="199" customFormat="1" ht="40.5" customHeight="1">
      <c r="A1883" s="99">
        <v>2480</v>
      </c>
      <c r="B1883" s="186" t="s">
        <v>164</v>
      </c>
      <c r="C1883" s="79">
        <f>SUM(C1884:C1902)</f>
        <v>2569000</v>
      </c>
      <c r="D1883" s="65">
        <f aca="true" t="shared" si="238" ref="D1883:E1903">G1883+J1883+P1883+M1883</f>
        <v>3439000</v>
      </c>
      <c r="E1883" s="80">
        <f t="shared" si="238"/>
        <v>2201212</v>
      </c>
      <c r="F1883" s="452">
        <f>E1883/D1883*100</f>
        <v>64.00732771154405</v>
      </c>
      <c r="G1883" s="79">
        <f>SUM(G1884:G1898)</f>
        <v>3439000</v>
      </c>
      <c r="H1883" s="80">
        <f>SUM(H1884:H1898)</f>
        <v>2201212</v>
      </c>
      <c r="I1883" s="426">
        <f>H1883/G1883*100</f>
        <v>64.00732771154405</v>
      </c>
      <c r="J1883" s="113"/>
      <c r="K1883" s="80"/>
      <c r="L1883" s="379"/>
      <c r="M1883" s="80"/>
      <c r="N1883" s="80"/>
      <c r="O1883" s="356"/>
      <c r="P1883" s="80"/>
      <c r="Q1883" s="80"/>
      <c r="R1883" s="350"/>
    </row>
    <row r="1884" spans="1:18" s="11" customFormat="1" ht="12.75">
      <c r="A1884" s="151"/>
      <c r="B1884" s="220" t="s">
        <v>165</v>
      </c>
      <c r="C1884" s="153">
        <v>1650000</v>
      </c>
      <c r="D1884" s="154">
        <f t="shared" si="238"/>
        <v>2050000</v>
      </c>
      <c r="E1884" s="154">
        <f t="shared" si="238"/>
        <v>958332</v>
      </c>
      <c r="F1884" s="452">
        <f aca="true" t="shared" si="239" ref="F1884:F1898">E1884/D1884*100</f>
        <v>46.747902439024394</v>
      </c>
      <c r="G1884" s="153">
        <f>1650000+400000</f>
        <v>2050000</v>
      </c>
      <c r="H1884" s="154">
        <v>958332</v>
      </c>
      <c r="I1884" s="426">
        <f aca="true" t="shared" si="240" ref="I1884:I1898">H1884/G1884*100</f>
        <v>46.747902439024394</v>
      </c>
      <c r="J1884" s="155"/>
      <c r="K1884" s="154"/>
      <c r="L1884" s="379"/>
      <c r="M1884" s="154"/>
      <c r="N1884" s="154"/>
      <c r="O1884" s="379"/>
      <c r="P1884" s="154"/>
      <c r="Q1884" s="154"/>
      <c r="R1884" s="357"/>
    </row>
    <row r="1885" spans="1:18" s="11" customFormat="1" ht="12.75">
      <c r="A1885" s="151"/>
      <c r="B1885" s="220" t="s">
        <v>211</v>
      </c>
      <c r="C1885" s="153"/>
      <c r="D1885" s="154">
        <f>G1885+J1885+P1885+M1885</f>
        <v>440000</v>
      </c>
      <c r="E1885" s="154">
        <f>H1885+K1885+Q1885+N1885</f>
        <v>440000</v>
      </c>
      <c r="F1885" s="452">
        <f>E1885/D1885*100</f>
        <v>100</v>
      </c>
      <c r="G1885" s="153">
        <v>440000</v>
      </c>
      <c r="H1885" s="154">
        <v>440000</v>
      </c>
      <c r="I1885" s="426">
        <f t="shared" si="240"/>
        <v>100</v>
      </c>
      <c r="J1885" s="155"/>
      <c r="K1885" s="154"/>
      <c r="L1885" s="379"/>
      <c r="M1885" s="154"/>
      <c r="N1885" s="154"/>
      <c r="O1885" s="379"/>
      <c r="P1885" s="154"/>
      <c r="Q1885" s="154"/>
      <c r="R1885" s="357"/>
    </row>
    <row r="1886" spans="1:18" s="11" customFormat="1" ht="12.75">
      <c r="A1886" s="151"/>
      <c r="B1886" s="220" t="s">
        <v>188</v>
      </c>
      <c r="C1886" s="153">
        <v>547000</v>
      </c>
      <c r="D1886" s="154">
        <f t="shared" si="238"/>
        <v>547000</v>
      </c>
      <c r="E1886" s="154">
        <f t="shared" si="238"/>
        <v>442580</v>
      </c>
      <c r="F1886" s="452">
        <f t="shared" si="239"/>
        <v>80.91042047531992</v>
      </c>
      <c r="G1886" s="153">
        <v>547000</v>
      </c>
      <c r="H1886" s="154">
        <f>412580+30000</f>
        <v>442580</v>
      </c>
      <c r="I1886" s="426">
        <f t="shared" si="240"/>
        <v>80.91042047531992</v>
      </c>
      <c r="J1886" s="155"/>
      <c r="K1886" s="154"/>
      <c r="L1886" s="379"/>
      <c r="M1886" s="154"/>
      <c r="N1886" s="154"/>
      <c r="O1886" s="379"/>
      <c r="P1886" s="154"/>
      <c r="Q1886" s="154"/>
      <c r="R1886" s="357"/>
    </row>
    <row r="1887" spans="1:18" s="11" customFormat="1" ht="36" hidden="1">
      <c r="A1887" s="151"/>
      <c r="B1887" s="220" t="s">
        <v>377</v>
      </c>
      <c r="C1887" s="153"/>
      <c r="D1887" s="154">
        <f t="shared" si="238"/>
        <v>0</v>
      </c>
      <c r="E1887" s="154">
        <f t="shared" si="238"/>
        <v>0</v>
      </c>
      <c r="F1887" s="452" t="e">
        <f t="shared" si="239"/>
        <v>#DIV/0!</v>
      </c>
      <c r="G1887" s="153"/>
      <c r="H1887" s="154"/>
      <c r="I1887" s="426" t="e">
        <f t="shared" si="240"/>
        <v>#DIV/0!</v>
      </c>
      <c r="J1887" s="155"/>
      <c r="K1887" s="154"/>
      <c r="L1887" s="379"/>
      <c r="M1887" s="154"/>
      <c r="N1887" s="154"/>
      <c r="O1887" s="379"/>
      <c r="P1887" s="154"/>
      <c r="Q1887" s="154"/>
      <c r="R1887" s="357"/>
    </row>
    <row r="1888" spans="1:18" s="11" customFormat="1" ht="24" hidden="1">
      <c r="A1888" s="151" t="s">
        <v>382</v>
      </c>
      <c r="B1888" s="220" t="s">
        <v>384</v>
      </c>
      <c r="C1888" s="153"/>
      <c r="D1888" s="154">
        <f>G1888+J1888+P1888+M1888</f>
        <v>0</v>
      </c>
      <c r="E1888" s="154">
        <f>H1888+K1888+Q1888+N1888</f>
        <v>0</v>
      </c>
      <c r="F1888" s="452" t="e">
        <f>E1888/D1888*100</f>
        <v>#DIV/0!</v>
      </c>
      <c r="G1888" s="153"/>
      <c r="H1888" s="154"/>
      <c r="I1888" s="426" t="e">
        <f t="shared" si="240"/>
        <v>#DIV/0!</v>
      </c>
      <c r="J1888" s="155"/>
      <c r="K1888" s="154"/>
      <c r="L1888" s="379"/>
      <c r="M1888" s="154"/>
      <c r="N1888" s="154"/>
      <c r="O1888" s="379"/>
      <c r="P1888" s="154"/>
      <c r="Q1888" s="154"/>
      <c r="R1888" s="357"/>
    </row>
    <row r="1889" spans="1:18" s="11" customFormat="1" ht="24">
      <c r="A1889" s="151"/>
      <c r="B1889" s="220" t="s">
        <v>120</v>
      </c>
      <c r="C1889" s="153">
        <v>250000</v>
      </c>
      <c r="D1889" s="154">
        <f t="shared" si="238"/>
        <v>250000</v>
      </c>
      <c r="E1889" s="154">
        <f t="shared" si="238"/>
        <v>250000</v>
      </c>
      <c r="F1889" s="452">
        <f t="shared" si="239"/>
        <v>100</v>
      </c>
      <c r="G1889" s="153">
        <v>250000</v>
      </c>
      <c r="H1889" s="154">
        <f>100000+150000</f>
        <v>250000</v>
      </c>
      <c r="I1889" s="426">
        <f t="shared" si="240"/>
        <v>100</v>
      </c>
      <c r="J1889" s="155"/>
      <c r="K1889" s="154"/>
      <c r="L1889" s="379"/>
      <c r="M1889" s="154"/>
      <c r="N1889" s="154"/>
      <c r="O1889" s="379"/>
      <c r="P1889" s="154"/>
      <c r="Q1889" s="154"/>
      <c r="R1889" s="357"/>
    </row>
    <row r="1890" spans="1:18" s="11" customFormat="1" ht="36">
      <c r="A1890" s="151"/>
      <c r="B1890" s="220" t="s">
        <v>83</v>
      </c>
      <c r="C1890" s="153"/>
      <c r="D1890" s="154">
        <f t="shared" si="238"/>
        <v>15000</v>
      </c>
      <c r="E1890" s="154">
        <f t="shared" si="238"/>
        <v>14900</v>
      </c>
      <c r="F1890" s="452">
        <f t="shared" si="239"/>
        <v>99.33333333333333</v>
      </c>
      <c r="G1890" s="153">
        <f>30000-15000</f>
        <v>15000</v>
      </c>
      <c r="H1890" s="154">
        <f>15000-100</f>
        <v>14900</v>
      </c>
      <c r="I1890" s="426">
        <f t="shared" si="240"/>
        <v>99.33333333333333</v>
      </c>
      <c r="J1890" s="155"/>
      <c r="K1890" s="154"/>
      <c r="L1890" s="379"/>
      <c r="M1890" s="154"/>
      <c r="N1890" s="154"/>
      <c r="O1890" s="379"/>
      <c r="P1890" s="154"/>
      <c r="Q1890" s="154"/>
      <c r="R1890" s="357"/>
    </row>
    <row r="1891" spans="1:18" s="11" customFormat="1" ht="12.75">
      <c r="A1891" s="151"/>
      <c r="B1891" s="220" t="s">
        <v>315</v>
      </c>
      <c r="C1891" s="153">
        <v>62000</v>
      </c>
      <c r="D1891" s="154">
        <f t="shared" si="238"/>
        <v>62000</v>
      </c>
      <c r="E1891" s="154">
        <f t="shared" si="238"/>
        <v>34600</v>
      </c>
      <c r="F1891" s="452">
        <f t="shared" si="239"/>
        <v>55.80645161290323</v>
      </c>
      <c r="G1891" s="153">
        <v>62000</v>
      </c>
      <c r="H1891" s="154">
        <v>34600</v>
      </c>
      <c r="I1891" s="426">
        <f t="shared" si="240"/>
        <v>55.80645161290323</v>
      </c>
      <c r="J1891" s="155"/>
      <c r="K1891" s="154"/>
      <c r="L1891" s="379"/>
      <c r="M1891" s="154"/>
      <c r="N1891" s="154"/>
      <c r="O1891" s="379"/>
      <c r="P1891" s="154"/>
      <c r="Q1891" s="154"/>
      <c r="R1891" s="357"/>
    </row>
    <row r="1892" spans="1:18" s="11" customFormat="1" ht="24">
      <c r="A1892" s="151"/>
      <c r="B1892" s="220" t="s">
        <v>379</v>
      </c>
      <c r="C1892" s="153">
        <v>15000</v>
      </c>
      <c r="D1892" s="154">
        <f t="shared" si="238"/>
        <v>15000</v>
      </c>
      <c r="E1892" s="154">
        <f t="shared" si="238"/>
        <v>10000</v>
      </c>
      <c r="F1892" s="452">
        <f t="shared" si="239"/>
        <v>66.66666666666666</v>
      </c>
      <c r="G1892" s="153">
        <v>15000</v>
      </c>
      <c r="H1892" s="154">
        <v>10000</v>
      </c>
      <c r="I1892" s="426">
        <f t="shared" si="240"/>
        <v>66.66666666666666</v>
      </c>
      <c r="J1892" s="155"/>
      <c r="K1892" s="154"/>
      <c r="L1892" s="379"/>
      <c r="M1892" s="154"/>
      <c r="N1892" s="154"/>
      <c r="O1892" s="379"/>
      <c r="P1892" s="154"/>
      <c r="Q1892" s="154"/>
      <c r="R1892" s="357"/>
    </row>
    <row r="1893" spans="1:18" s="11" customFormat="1" ht="12.75">
      <c r="A1893" s="151"/>
      <c r="B1893" s="220" t="s">
        <v>380</v>
      </c>
      <c r="C1893" s="153">
        <v>45000</v>
      </c>
      <c r="D1893" s="154">
        <f t="shared" si="238"/>
        <v>45000</v>
      </c>
      <c r="E1893" s="154">
        <f t="shared" si="238"/>
        <v>35800</v>
      </c>
      <c r="F1893" s="452">
        <f t="shared" si="239"/>
        <v>79.55555555555556</v>
      </c>
      <c r="G1893" s="153">
        <v>45000</v>
      </c>
      <c r="H1893" s="154">
        <v>35800</v>
      </c>
      <c r="I1893" s="426">
        <f t="shared" si="240"/>
        <v>79.55555555555556</v>
      </c>
      <c r="J1893" s="155"/>
      <c r="K1893" s="154"/>
      <c r="L1893" s="379"/>
      <c r="M1893" s="154"/>
      <c r="N1893" s="154"/>
      <c r="O1893" s="379"/>
      <c r="P1893" s="154"/>
      <c r="Q1893" s="154"/>
      <c r="R1893" s="357"/>
    </row>
    <row r="1894" spans="1:18" s="11" customFormat="1" ht="72" hidden="1">
      <c r="A1894" s="151"/>
      <c r="B1894" s="220" t="s">
        <v>405</v>
      </c>
      <c r="C1894" s="153"/>
      <c r="D1894" s="154">
        <f t="shared" si="238"/>
        <v>0</v>
      </c>
      <c r="E1894" s="154">
        <f>H1894+K1894+Q1894+N1894</f>
        <v>0</v>
      </c>
      <c r="F1894" s="452" t="e">
        <f>E1894/D1894*100</f>
        <v>#DIV/0!</v>
      </c>
      <c r="G1894" s="153"/>
      <c r="H1894" s="154"/>
      <c r="I1894" s="426" t="e">
        <f t="shared" si="240"/>
        <v>#DIV/0!</v>
      </c>
      <c r="J1894" s="155"/>
      <c r="K1894" s="154"/>
      <c r="L1894" s="379"/>
      <c r="M1894" s="154"/>
      <c r="N1894" s="154"/>
      <c r="O1894" s="379"/>
      <c r="P1894" s="154"/>
      <c r="Q1894" s="154"/>
      <c r="R1894" s="357"/>
    </row>
    <row r="1895" spans="1:18" s="11" customFormat="1" ht="24" hidden="1">
      <c r="A1895" s="151"/>
      <c r="B1895" s="220" t="s">
        <v>404</v>
      </c>
      <c r="C1895" s="153"/>
      <c r="D1895" s="154">
        <f>G1895+J1895+P1895+M1895</f>
        <v>0</v>
      </c>
      <c r="E1895" s="154">
        <f>H1895+K1895+Q1895+N1895</f>
        <v>0</v>
      </c>
      <c r="F1895" s="452" t="e">
        <f>E1895/D1895*100</f>
        <v>#DIV/0!</v>
      </c>
      <c r="G1895" s="153"/>
      <c r="H1895" s="154"/>
      <c r="I1895" s="426" t="e">
        <f t="shared" si="240"/>
        <v>#DIV/0!</v>
      </c>
      <c r="J1895" s="155"/>
      <c r="K1895" s="154"/>
      <c r="L1895" s="379"/>
      <c r="M1895" s="154"/>
      <c r="N1895" s="154"/>
      <c r="O1895" s="379"/>
      <c r="P1895" s="154"/>
      <c r="Q1895" s="154"/>
      <c r="R1895" s="357"/>
    </row>
    <row r="1896" spans="1:18" s="11" customFormat="1" ht="12.75" hidden="1">
      <c r="A1896" s="151"/>
      <c r="B1896" s="220" t="s">
        <v>403</v>
      </c>
      <c r="C1896" s="153"/>
      <c r="D1896" s="154">
        <f>G1896+J1896+P1896+M1896</f>
        <v>0</v>
      </c>
      <c r="E1896" s="154">
        <f>H1896+K1896+Q1896+N1896</f>
        <v>0</v>
      </c>
      <c r="F1896" s="452" t="e">
        <f>E1896/D1896*100</f>
        <v>#DIV/0!</v>
      </c>
      <c r="G1896" s="153"/>
      <c r="H1896" s="154"/>
      <c r="I1896" s="426" t="e">
        <f t="shared" si="240"/>
        <v>#DIV/0!</v>
      </c>
      <c r="J1896" s="155"/>
      <c r="K1896" s="154"/>
      <c r="L1896" s="379"/>
      <c r="M1896" s="154"/>
      <c r="N1896" s="154"/>
      <c r="O1896" s="379"/>
      <c r="P1896" s="154"/>
      <c r="Q1896" s="154"/>
      <c r="R1896" s="357"/>
    </row>
    <row r="1897" spans="1:18" s="11" customFormat="1" ht="12.75" hidden="1">
      <c r="A1897" s="151"/>
      <c r="B1897" s="220" t="s">
        <v>402</v>
      </c>
      <c r="C1897" s="153"/>
      <c r="D1897" s="154">
        <f>G1897+J1897+P1897+M1897</f>
        <v>0</v>
      </c>
      <c r="E1897" s="154">
        <f>H1897+K1897+Q1897+N1897</f>
        <v>0</v>
      </c>
      <c r="F1897" s="452" t="e">
        <f>E1897/D1897*100</f>
        <v>#DIV/0!</v>
      </c>
      <c r="G1897" s="153"/>
      <c r="H1897" s="154"/>
      <c r="I1897" s="426" t="e">
        <f t="shared" si="240"/>
        <v>#DIV/0!</v>
      </c>
      <c r="J1897" s="155"/>
      <c r="K1897" s="154"/>
      <c r="L1897" s="379"/>
      <c r="M1897" s="154"/>
      <c r="N1897" s="154"/>
      <c r="O1897" s="379"/>
      <c r="P1897" s="154"/>
      <c r="Q1897" s="154"/>
      <c r="R1897" s="357"/>
    </row>
    <row r="1898" spans="1:18" s="11" customFormat="1" ht="72">
      <c r="A1898" s="151"/>
      <c r="B1898" s="220" t="s">
        <v>666</v>
      </c>
      <c r="C1898" s="153"/>
      <c r="D1898" s="154">
        <f t="shared" si="238"/>
        <v>15000</v>
      </c>
      <c r="E1898" s="154">
        <f t="shared" si="238"/>
        <v>15000</v>
      </c>
      <c r="F1898" s="452">
        <f t="shared" si="239"/>
        <v>100</v>
      </c>
      <c r="G1898" s="153">
        <v>15000</v>
      </c>
      <c r="H1898" s="154">
        <v>15000</v>
      </c>
      <c r="I1898" s="426">
        <f t="shared" si="240"/>
        <v>100</v>
      </c>
      <c r="J1898" s="155"/>
      <c r="K1898" s="154"/>
      <c r="L1898" s="379"/>
      <c r="M1898" s="154"/>
      <c r="N1898" s="154"/>
      <c r="O1898" s="379"/>
      <c r="P1898" s="154"/>
      <c r="Q1898" s="154"/>
      <c r="R1898" s="357"/>
    </row>
    <row r="1899" spans="1:18" s="199" customFormat="1" ht="36" hidden="1">
      <c r="A1899" s="111">
        <v>6050</v>
      </c>
      <c r="B1899" s="115" t="s">
        <v>225</v>
      </c>
      <c r="C1899" s="79"/>
      <c r="D1899" s="65">
        <f t="shared" si="238"/>
        <v>0</v>
      </c>
      <c r="E1899" s="65">
        <f t="shared" si="238"/>
        <v>0</v>
      </c>
      <c r="F1899" s="452"/>
      <c r="G1899" s="79"/>
      <c r="H1899" s="80"/>
      <c r="I1899" s="426"/>
      <c r="J1899" s="113"/>
      <c r="K1899" s="80"/>
      <c r="L1899" s="379"/>
      <c r="M1899" s="80"/>
      <c r="N1899" s="80"/>
      <c r="O1899" s="356"/>
      <c r="P1899" s="80"/>
      <c r="Q1899" s="80"/>
      <c r="R1899" s="350"/>
    </row>
    <row r="1900" spans="1:18" ht="96" hidden="1">
      <c r="A1900" s="111">
        <v>6220</v>
      </c>
      <c r="B1900" s="115" t="s">
        <v>238</v>
      </c>
      <c r="C1900" s="79"/>
      <c r="D1900" s="65">
        <f t="shared" si="238"/>
        <v>0</v>
      </c>
      <c r="E1900" s="80">
        <f>SUM(H1900+K1900+N1900+Q1900)</f>
        <v>0</v>
      </c>
      <c r="F1900" s="452" t="e">
        <f>E1900/D1900*100</f>
        <v>#DIV/0!</v>
      </c>
      <c r="G1900" s="79"/>
      <c r="H1900" s="80"/>
      <c r="I1900" s="426" t="e">
        <f>H1900/G1900*100</f>
        <v>#DIV/0!</v>
      </c>
      <c r="J1900" s="113"/>
      <c r="K1900" s="80"/>
      <c r="L1900" s="379"/>
      <c r="M1900" s="80"/>
      <c r="N1900" s="80"/>
      <c r="O1900" s="356"/>
      <c r="P1900" s="80"/>
      <c r="Q1900" s="80"/>
      <c r="R1900" s="350"/>
    </row>
    <row r="1901" spans="1:18" s="11" customFormat="1" ht="25.5" customHeight="1" hidden="1">
      <c r="A1901" s="151"/>
      <c r="B1901" s="220" t="s">
        <v>189</v>
      </c>
      <c r="C1901" s="221"/>
      <c r="D1901" s="223">
        <f t="shared" si="238"/>
        <v>0</v>
      </c>
      <c r="E1901" s="223">
        <f>SUM(H1901+K1901+N1901+Q1901)</f>
        <v>0</v>
      </c>
      <c r="F1901" s="452" t="e">
        <f>E1901/D1901*100</f>
        <v>#DIV/0!</v>
      </c>
      <c r="G1901" s="221"/>
      <c r="H1901" s="223"/>
      <c r="I1901" s="426" t="e">
        <f>H1901/G1901*100</f>
        <v>#DIV/0!</v>
      </c>
      <c r="J1901" s="224"/>
      <c r="K1901" s="223"/>
      <c r="L1901" s="379"/>
      <c r="M1901" s="223"/>
      <c r="N1901" s="223"/>
      <c r="O1901" s="379"/>
      <c r="P1901" s="223"/>
      <c r="Q1901" s="223"/>
      <c r="R1901" s="357"/>
    </row>
    <row r="1902" spans="1:18" s="12" customFormat="1" ht="41.25" customHeight="1" hidden="1">
      <c r="A1902" s="184">
        <v>6050</v>
      </c>
      <c r="B1902" s="243" t="s">
        <v>190</v>
      </c>
      <c r="C1902" s="310"/>
      <c r="D1902" s="311">
        <f t="shared" si="238"/>
        <v>0</v>
      </c>
      <c r="E1902" s="311">
        <f>SUM(H1902+K1902+N1902+Q1902)</f>
        <v>0</v>
      </c>
      <c r="F1902" s="453"/>
      <c r="G1902" s="163"/>
      <c r="H1902" s="148"/>
      <c r="I1902" s="482"/>
      <c r="J1902" s="164"/>
      <c r="K1902" s="148"/>
      <c r="L1902" s="404"/>
      <c r="M1902" s="310"/>
      <c r="N1902" s="148"/>
      <c r="O1902" s="259"/>
      <c r="P1902" s="148"/>
      <c r="Q1902" s="148"/>
      <c r="R1902" s="354"/>
    </row>
    <row r="1903" spans="1:18" ht="18" customHeight="1">
      <c r="A1903" s="106">
        <v>92116</v>
      </c>
      <c r="B1903" s="172" t="s">
        <v>191</v>
      </c>
      <c r="C1903" s="108">
        <f>SUM(C1904)</f>
        <v>3904400</v>
      </c>
      <c r="D1903" s="86">
        <f t="shared" si="238"/>
        <v>4011100</v>
      </c>
      <c r="E1903" s="75">
        <f>H1903+K1903+Q1903+N1903</f>
        <v>2000635</v>
      </c>
      <c r="F1903" s="451">
        <f aca="true" t="shared" si="241" ref="F1903:F1966">E1903/D1903*100</f>
        <v>49.87746503452918</v>
      </c>
      <c r="G1903" s="108">
        <f>G1904</f>
        <v>1348000</v>
      </c>
      <c r="H1903" s="75">
        <f>H1904</f>
        <v>670266</v>
      </c>
      <c r="I1903" s="432">
        <f>H1903/G1903*100</f>
        <v>49.72299703264095</v>
      </c>
      <c r="J1903" s="110"/>
      <c r="K1903" s="75"/>
      <c r="L1903" s="406"/>
      <c r="M1903" s="75">
        <f>SUM(M1904)</f>
        <v>2663100</v>
      </c>
      <c r="N1903" s="75">
        <f>SUM(N1904)</f>
        <v>1330369</v>
      </c>
      <c r="O1903" s="432">
        <f aca="true" t="shared" si="242" ref="O1903:O1943">N1903/M1903*100</f>
        <v>49.95565318613646</v>
      </c>
      <c r="P1903" s="75"/>
      <c r="Q1903" s="75"/>
      <c r="R1903" s="360"/>
    </row>
    <row r="1904" spans="1:18" s="105" customFormat="1" ht="40.5" customHeight="1">
      <c r="A1904" s="99">
        <v>2480</v>
      </c>
      <c r="B1904" s="186" t="s">
        <v>164</v>
      </c>
      <c r="C1904" s="81">
        <f>SUM(C1905:C1915)</f>
        <v>3904400</v>
      </c>
      <c r="D1904" s="94">
        <f>G1904+J1904+P1904+M1904</f>
        <v>4011100</v>
      </c>
      <c r="E1904" s="95">
        <f>SUM(H1904+K1904+N1904+Q1904)</f>
        <v>2000635</v>
      </c>
      <c r="F1904" s="454">
        <f t="shared" si="241"/>
        <v>49.87746503452918</v>
      </c>
      <c r="G1904" s="81">
        <f>SUM(G1905:G1916)</f>
        <v>1348000</v>
      </c>
      <c r="H1904" s="95">
        <f>SUM(H1905:H1916)</f>
        <v>670266</v>
      </c>
      <c r="I1904" s="448">
        <f>H1904/G1904*100</f>
        <v>49.72299703264095</v>
      </c>
      <c r="J1904" s="187"/>
      <c r="K1904" s="95"/>
      <c r="L1904" s="403"/>
      <c r="M1904" s="95">
        <f>SUM(M1905:M1915)</f>
        <v>2663100</v>
      </c>
      <c r="N1904" s="95">
        <f>SUM(N1905:N1915)</f>
        <v>1330369</v>
      </c>
      <c r="O1904" s="448">
        <f t="shared" si="242"/>
        <v>49.95565318613646</v>
      </c>
      <c r="P1904" s="95"/>
      <c r="Q1904" s="95"/>
      <c r="R1904" s="353"/>
    </row>
    <row r="1905" spans="1:18" s="264" customFormat="1" ht="12.75">
      <c r="A1905" s="427"/>
      <c r="B1905" s="428" t="s">
        <v>165</v>
      </c>
      <c r="C1905" s="429">
        <f>2411000+1328000</f>
        <v>3739000</v>
      </c>
      <c r="D1905" s="430">
        <f aca="true" t="shared" si="243" ref="D1905:D1993">G1905+J1905+P1905+M1905</f>
        <v>3759000</v>
      </c>
      <c r="E1905" s="430">
        <f aca="true" t="shared" si="244" ref="E1905:E1915">SUM(H1905+K1905+N1905+Q1905)</f>
        <v>1875666</v>
      </c>
      <c r="F1905" s="453">
        <f t="shared" si="241"/>
        <v>49.898004788507585</v>
      </c>
      <c r="G1905" s="523">
        <f>1328000+20000</f>
        <v>1348000</v>
      </c>
      <c r="H1905" s="430">
        <v>670266</v>
      </c>
      <c r="I1905" s="446">
        <f>H1905/G1905*100</f>
        <v>49.72299703264095</v>
      </c>
      <c r="J1905" s="431"/>
      <c r="K1905" s="430"/>
      <c r="L1905" s="404"/>
      <c r="M1905" s="430">
        <v>2411000</v>
      </c>
      <c r="N1905" s="430">
        <f>200900+200900+200900+200900+200900+200900</f>
        <v>1205400</v>
      </c>
      <c r="O1905" s="446">
        <f t="shared" si="242"/>
        <v>49.99585234342596</v>
      </c>
      <c r="P1905" s="430"/>
      <c r="Q1905" s="430"/>
      <c r="R1905" s="416"/>
    </row>
    <row r="1906" spans="1:18" s="264" customFormat="1" ht="12.75">
      <c r="A1906" s="151"/>
      <c r="B1906" s="220" t="s">
        <v>166</v>
      </c>
      <c r="C1906" s="153"/>
      <c r="D1906" s="154">
        <f>G1906+J1906+P1906+M1906</f>
        <v>40000</v>
      </c>
      <c r="E1906" s="154">
        <f>SUM(H1906+K1906+N1906+Q1906)</f>
        <v>40000</v>
      </c>
      <c r="F1906" s="452">
        <f>E1906/D1906*100</f>
        <v>100</v>
      </c>
      <c r="G1906" s="313"/>
      <c r="H1906" s="154"/>
      <c r="I1906" s="426"/>
      <c r="J1906" s="155"/>
      <c r="K1906" s="154"/>
      <c r="L1906" s="379"/>
      <c r="M1906" s="154">
        <v>40000</v>
      </c>
      <c r="N1906" s="154">
        <v>40000</v>
      </c>
      <c r="O1906" s="426">
        <f t="shared" si="242"/>
        <v>100</v>
      </c>
      <c r="P1906" s="154"/>
      <c r="Q1906" s="154"/>
      <c r="R1906" s="357"/>
    </row>
    <row r="1907" spans="1:18" s="264" customFormat="1" ht="24" hidden="1">
      <c r="A1907" s="151"/>
      <c r="B1907" s="220" t="s">
        <v>635</v>
      </c>
      <c r="C1907" s="153"/>
      <c r="D1907" s="154">
        <f>G1907+J1907+P1907+M1907</f>
        <v>0</v>
      </c>
      <c r="E1907" s="154">
        <f>SUM(H1907+K1907+N1907+Q1907)</f>
        <v>0</v>
      </c>
      <c r="F1907" s="452" t="e">
        <f>E1907/D1907*100</f>
        <v>#DIV/0!</v>
      </c>
      <c r="G1907" s="313"/>
      <c r="H1907" s="154"/>
      <c r="I1907" s="426" t="e">
        <f>H1907/G1907*100</f>
        <v>#DIV/0!</v>
      </c>
      <c r="J1907" s="155"/>
      <c r="K1907" s="154"/>
      <c r="L1907" s="379"/>
      <c r="M1907" s="154"/>
      <c r="N1907" s="154"/>
      <c r="O1907" s="426"/>
      <c r="P1907" s="154"/>
      <c r="Q1907" s="154"/>
      <c r="R1907" s="357"/>
    </row>
    <row r="1908" spans="1:18" s="264" customFormat="1" ht="36" hidden="1">
      <c r="A1908" s="151"/>
      <c r="B1908" s="220" t="s">
        <v>377</v>
      </c>
      <c r="C1908" s="153"/>
      <c r="D1908" s="154">
        <f t="shared" si="243"/>
        <v>0</v>
      </c>
      <c r="E1908" s="154">
        <f t="shared" si="244"/>
        <v>0</v>
      </c>
      <c r="F1908" s="452"/>
      <c r="G1908" s="313"/>
      <c r="H1908" s="154"/>
      <c r="I1908" s="426"/>
      <c r="J1908" s="155"/>
      <c r="K1908" s="154"/>
      <c r="L1908" s="379"/>
      <c r="M1908" s="154"/>
      <c r="N1908" s="154"/>
      <c r="O1908" s="426"/>
      <c r="P1908" s="154"/>
      <c r="Q1908" s="154"/>
      <c r="R1908" s="357"/>
    </row>
    <row r="1909" spans="1:18" s="264" customFormat="1" ht="12.75" hidden="1">
      <c r="A1909" s="151"/>
      <c r="B1909" s="220" t="s">
        <v>237</v>
      </c>
      <c r="C1909" s="153"/>
      <c r="D1909" s="154">
        <f t="shared" si="243"/>
        <v>0</v>
      </c>
      <c r="E1909" s="154">
        <f t="shared" si="244"/>
        <v>0</v>
      </c>
      <c r="F1909" s="452" t="e">
        <f t="shared" si="241"/>
        <v>#DIV/0!</v>
      </c>
      <c r="G1909" s="313"/>
      <c r="H1909" s="154"/>
      <c r="I1909" s="426"/>
      <c r="J1909" s="155"/>
      <c r="K1909" s="154"/>
      <c r="L1909" s="379"/>
      <c r="M1909" s="154"/>
      <c r="N1909" s="154"/>
      <c r="O1909" s="426" t="e">
        <f t="shared" si="242"/>
        <v>#DIV/0!</v>
      </c>
      <c r="P1909" s="154"/>
      <c r="Q1909" s="154"/>
      <c r="R1909" s="357"/>
    </row>
    <row r="1910" spans="1:18" s="264" customFormat="1" ht="12.75">
      <c r="A1910" s="151"/>
      <c r="B1910" s="220" t="s">
        <v>240</v>
      </c>
      <c r="C1910" s="153">
        <v>41000</v>
      </c>
      <c r="D1910" s="154">
        <f t="shared" si="243"/>
        <v>41000</v>
      </c>
      <c r="E1910" s="154">
        <f t="shared" si="244"/>
        <v>32500</v>
      </c>
      <c r="F1910" s="452">
        <f t="shared" si="241"/>
        <v>79.26829268292683</v>
      </c>
      <c r="G1910" s="313"/>
      <c r="H1910" s="154"/>
      <c r="I1910" s="426"/>
      <c r="J1910" s="155"/>
      <c r="K1910" s="154"/>
      <c r="L1910" s="379"/>
      <c r="M1910" s="154">
        <v>41000</v>
      </c>
      <c r="N1910" s="154">
        <f>10250+22250</f>
        <v>32500</v>
      </c>
      <c r="O1910" s="426">
        <f t="shared" si="242"/>
        <v>79.26829268292683</v>
      </c>
      <c r="P1910" s="154"/>
      <c r="Q1910" s="154"/>
      <c r="R1910" s="357"/>
    </row>
    <row r="1911" spans="1:18" s="264" customFormat="1" ht="24">
      <c r="A1911" s="151"/>
      <c r="B1911" s="220" t="s">
        <v>239</v>
      </c>
      <c r="C1911" s="153">
        <v>63000</v>
      </c>
      <c r="D1911" s="154">
        <f t="shared" si="243"/>
        <v>63000</v>
      </c>
      <c r="E1911" s="154">
        <f>SUM(H1911+K1911+N1911+Q1911)</f>
        <v>34470</v>
      </c>
      <c r="F1911" s="452">
        <f>E1911/D1911*100</f>
        <v>54.714285714285715</v>
      </c>
      <c r="G1911" s="313"/>
      <c r="H1911" s="154"/>
      <c r="I1911" s="426"/>
      <c r="J1911" s="155"/>
      <c r="K1911" s="154"/>
      <c r="L1911" s="379"/>
      <c r="M1911" s="154">
        <v>63000</v>
      </c>
      <c r="N1911" s="154">
        <f>15750+18720</f>
        <v>34470</v>
      </c>
      <c r="O1911" s="426">
        <f t="shared" si="242"/>
        <v>54.714285714285715</v>
      </c>
      <c r="P1911" s="154"/>
      <c r="Q1911" s="154"/>
      <c r="R1911" s="357"/>
    </row>
    <row r="1912" spans="1:18" s="264" customFormat="1" ht="36">
      <c r="A1912" s="151"/>
      <c r="B1912" s="220" t="s">
        <v>628</v>
      </c>
      <c r="C1912" s="153"/>
      <c r="D1912" s="154">
        <f t="shared" si="243"/>
        <v>30000</v>
      </c>
      <c r="E1912" s="154">
        <f>SUM(H1912+K1912+N1912+Q1912)</f>
        <v>0</v>
      </c>
      <c r="F1912" s="452">
        <f>E1912/D1912*100</f>
        <v>0</v>
      </c>
      <c r="G1912" s="313"/>
      <c r="H1912" s="154"/>
      <c r="I1912" s="426"/>
      <c r="J1912" s="155"/>
      <c r="K1912" s="154"/>
      <c r="L1912" s="379"/>
      <c r="M1912" s="154">
        <v>30000</v>
      </c>
      <c r="N1912" s="154"/>
      <c r="O1912" s="426">
        <f t="shared" si="242"/>
        <v>0</v>
      </c>
      <c r="P1912" s="154"/>
      <c r="Q1912" s="154"/>
      <c r="R1912" s="357"/>
    </row>
    <row r="1913" spans="1:18" s="264" customFormat="1" ht="12.75">
      <c r="A1913" s="151"/>
      <c r="B1913" s="220" t="s">
        <v>192</v>
      </c>
      <c r="C1913" s="153">
        <v>15400</v>
      </c>
      <c r="D1913" s="154">
        <f t="shared" si="243"/>
        <v>15400</v>
      </c>
      <c r="E1913" s="154">
        <f t="shared" si="244"/>
        <v>3850</v>
      </c>
      <c r="F1913" s="452">
        <f t="shared" si="241"/>
        <v>25</v>
      </c>
      <c r="G1913" s="313"/>
      <c r="H1913" s="154"/>
      <c r="I1913" s="426"/>
      <c r="J1913" s="155"/>
      <c r="K1913" s="154"/>
      <c r="L1913" s="379"/>
      <c r="M1913" s="154">
        <v>15400</v>
      </c>
      <c r="N1913" s="154">
        <v>3850</v>
      </c>
      <c r="O1913" s="426">
        <f t="shared" si="242"/>
        <v>25</v>
      </c>
      <c r="P1913" s="154"/>
      <c r="Q1913" s="154"/>
      <c r="R1913" s="357"/>
    </row>
    <row r="1914" spans="1:18" s="264" customFormat="1" ht="36">
      <c r="A1914" s="151"/>
      <c r="B1914" s="220" t="s">
        <v>629</v>
      </c>
      <c r="C1914" s="153"/>
      <c r="D1914" s="154">
        <f t="shared" si="243"/>
        <v>16700</v>
      </c>
      <c r="E1914" s="154">
        <f t="shared" si="244"/>
        <v>0</v>
      </c>
      <c r="F1914" s="452">
        <f t="shared" si="241"/>
        <v>0</v>
      </c>
      <c r="G1914" s="313"/>
      <c r="H1914" s="154"/>
      <c r="I1914" s="426"/>
      <c r="J1914" s="155"/>
      <c r="K1914" s="154"/>
      <c r="L1914" s="379"/>
      <c r="M1914" s="154">
        <v>16700</v>
      </c>
      <c r="N1914" s="154"/>
      <c r="O1914" s="426">
        <f t="shared" si="242"/>
        <v>0</v>
      </c>
      <c r="P1914" s="154"/>
      <c r="Q1914" s="154"/>
      <c r="R1914" s="357"/>
    </row>
    <row r="1915" spans="1:18" s="264" customFormat="1" ht="24">
      <c r="A1915" s="151"/>
      <c r="B1915" s="220" t="s">
        <v>53</v>
      </c>
      <c r="C1915" s="153">
        <v>46000</v>
      </c>
      <c r="D1915" s="154">
        <f t="shared" si="243"/>
        <v>46000</v>
      </c>
      <c r="E1915" s="154">
        <f t="shared" si="244"/>
        <v>14149</v>
      </c>
      <c r="F1915" s="452">
        <f t="shared" si="241"/>
        <v>30.758695652173913</v>
      </c>
      <c r="G1915" s="313"/>
      <c r="H1915" s="154"/>
      <c r="I1915" s="426"/>
      <c r="J1915" s="155"/>
      <c r="K1915" s="154"/>
      <c r="L1915" s="379"/>
      <c r="M1915" s="154">
        <v>46000</v>
      </c>
      <c r="N1915" s="154">
        <f>11500+2649</f>
        <v>14149</v>
      </c>
      <c r="O1915" s="426">
        <f t="shared" si="242"/>
        <v>30.758695652173913</v>
      </c>
      <c r="P1915" s="154"/>
      <c r="Q1915" s="154"/>
      <c r="R1915" s="357"/>
    </row>
    <row r="1916" spans="1:18" s="275" customFormat="1" ht="36" hidden="1">
      <c r="A1916" s="563"/>
      <c r="B1916" s="588" t="s">
        <v>636</v>
      </c>
      <c r="C1916" s="564"/>
      <c r="D1916" s="300">
        <f t="shared" si="243"/>
        <v>0</v>
      </c>
      <c r="E1916" s="430">
        <f>SUM(H1916+K1916+N1916+Q1916)</f>
        <v>0</v>
      </c>
      <c r="F1916" s="453" t="e">
        <f>E1916/D1916*100</f>
        <v>#DIV/0!</v>
      </c>
      <c r="G1916" s="565"/>
      <c r="H1916" s="300"/>
      <c r="I1916" s="589" t="e">
        <f>H1916/G1916*100</f>
        <v>#DIV/0!</v>
      </c>
      <c r="J1916" s="566"/>
      <c r="K1916" s="300"/>
      <c r="L1916" s="567"/>
      <c r="M1916" s="300"/>
      <c r="N1916" s="300"/>
      <c r="O1916" s="589"/>
      <c r="P1916" s="300"/>
      <c r="Q1916" s="300"/>
      <c r="R1916" s="568"/>
    </row>
    <row r="1917" spans="1:18" s="105" customFormat="1" ht="18.75" customHeight="1">
      <c r="A1917" s="106">
        <v>92118</v>
      </c>
      <c r="B1917" s="172" t="s">
        <v>193</v>
      </c>
      <c r="C1917" s="108">
        <f>SUM(C1918)+C1934+C1941+C1943+C1942</f>
        <v>2269300</v>
      </c>
      <c r="D1917" s="86">
        <f t="shared" si="243"/>
        <v>2283300</v>
      </c>
      <c r="E1917" s="75">
        <f>H1917+K1917+Q1917+N1917</f>
        <v>1129262</v>
      </c>
      <c r="F1917" s="451">
        <f t="shared" si="241"/>
        <v>49.457451933604865</v>
      </c>
      <c r="G1917" s="266"/>
      <c r="H1917" s="75"/>
      <c r="I1917" s="432"/>
      <c r="J1917" s="110"/>
      <c r="K1917" s="75"/>
      <c r="L1917" s="406"/>
      <c r="M1917" s="75">
        <f>SUM(M1918)+M1934+M1941+M1943+M1942</f>
        <v>2283300</v>
      </c>
      <c r="N1917" s="75">
        <f>SUM(N1918)+N1934+N1941+N1943+N1942</f>
        <v>1129262</v>
      </c>
      <c r="O1917" s="432">
        <f t="shared" si="242"/>
        <v>49.457451933604865</v>
      </c>
      <c r="P1917" s="75"/>
      <c r="Q1917" s="75"/>
      <c r="R1917" s="455"/>
    </row>
    <row r="1918" spans="1:18" s="105" customFormat="1" ht="39.75" customHeight="1">
      <c r="A1918" s="99">
        <v>2480</v>
      </c>
      <c r="B1918" s="186" t="s">
        <v>164</v>
      </c>
      <c r="C1918" s="81">
        <f>SUM(C1919:C1932)</f>
        <v>1912300</v>
      </c>
      <c r="D1918" s="94">
        <f t="shared" si="243"/>
        <v>1926300</v>
      </c>
      <c r="E1918" s="95">
        <f>SUM(H1918+K1918+N1918+Q1918)</f>
        <v>962277</v>
      </c>
      <c r="F1918" s="454">
        <f t="shared" si="241"/>
        <v>49.954679956393086</v>
      </c>
      <c r="G1918" s="79"/>
      <c r="H1918" s="65"/>
      <c r="I1918" s="448"/>
      <c r="J1918" s="113"/>
      <c r="K1918" s="80"/>
      <c r="L1918" s="379"/>
      <c r="M1918" s="81">
        <f>SUM(M1919:M1933)</f>
        <v>1926300</v>
      </c>
      <c r="N1918" s="95">
        <f>SUM(N1919:N1933)</f>
        <v>962277</v>
      </c>
      <c r="O1918" s="426">
        <f t="shared" si="242"/>
        <v>49.954679956393086</v>
      </c>
      <c r="P1918" s="80"/>
      <c r="Q1918" s="80"/>
      <c r="R1918" s="457"/>
    </row>
    <row r="1919" spans="1:18" s="264" customFormat="1" ht="12.75">
      <c r="A1919" s="151"/>
      <c r="B1919" s="220" t="s">
        <v>165</v>
      </c>
      <c r="C1919" s="153">
        <v>1810000</v>
      </c>
      <c r="D1919" s="154">
        <f t="shared" si="243"/>
        <v>1810000</v>
      </c>
      <c r="E1919" s="154">
        <f aca="true" t="shared" si="245" ref="E1919:E1936">SUM(H1919+K1919+N1919+Q1919)</f>
        <v>904997</v>
      </c>
      <c r="F1919" s="452">
        <f t="shared" si="241"/>
        <v>49.99983425414365</v>
      </c>
      <c r="G1919" s="153"/>
      <c r="H1919" s="154"/>
      <c r="I1919" s="426"/>
      <c r="J1919" s="155"/>
      <c r="K1919" s="154"/>
      <c r="L1919" s="379"/>
      <c r="M1919" s="153">
        <v>1810000</v>
      </c>
      <c r="N1919" s="154">
        <f>150833+150833+150833+150833+150833+150833-1</f>
        <v>904997</v>
      </c>
      <c r="O1919" s="426">
        <f t="shared" si="242"/>
        <v>49.99983425414365</v>
      </c>
      <c r="P1919" s="154"/>
      <c r="Q1919" s="154"/>
      <c r="R1919" s="357"/>
    </row>
    <row r="1920" spans="1:18" s="264" customFormat="1" ht="24">
      <c r="A1920" s="151"/>
      <c r="B1920" s="220" t="s">
        <v>381</v>
      </c>
      <c r="C1920" s="153">
        <v>15300</v>
      </c>
      <c r="D1920" s="154">
        <f t="shared" si="243"/>
        <v>15300</v>
      </c>
      <c r="E1920" s="154">
        <f t="shared" si="245"/>
        <v>1131</v>
      </c>
      <c r="F1920" s="452">
        <f t="shared" si="241"/>
        <v>7.392156862745098</v>
      </c>
      <c r="G1920" s="153"/>
      <c r="H1920" s="154"/>
      <c r="I1920" s="426"/>
      <c r="J1920" s="155"/>
      <c r="K1920" s="154"/>
      <c r="L1920" s="379"/>
      <c r="M1920" s="153">
        <v>15300</v>
      </c>
      <c r="N1920" s="154">
        <v>1131</v>
      </c>
      <c r="O1920" s="426">
        <f t="shared" si="242"/>
        <v>7.392156862745098</v>
      </c>
      <c r="P1920" s="154"/>
      <c r="Q1920" s="154"/>
      <c r="R1920" s="357"/>
    </row>
    <row r="1921" spans="1:18" s="264" customFormat="1" ht="12.75" hidden="1">
      <c r="A1921" s="151"/>
      <c r="B1921" s="220" t="s">
        <v>417</v>
      </c>
      <c r="C1921" s="153"/>
      <c r="D1921" s="154">
        <f>G1921+J1921+P1921+M1921</f>
        <v>0</v>
      </c>
      <c r="E1921" s="154">
        <f>SUM(H1921+K1921+N1921+Q1921)</f>
        <v>0</v>
      </c>
      <c r="F1921" s="452" t="e">
        <f>E1921/D1921*100</f>
        <v>#DIV/0!</v>
      </c>
      <c r="G1921" s="153"/>
      <c r="H1921" s="154"/>
      <c r="I1921" s="426"/>
      <c r="J1921" s="155"/>
      <c r="K1921" s="154"/>
      <c r="L1921" s="379"/>
      <c r="M1921" s="153"/>
      <c r="N1921" s="154"/>
      <c r="O1921" s="426" t="e">
        <f t="shared" si="242"/>
        <v>#DIV/0!</v>
      </c>
      <c r="P1921" s="154"/>
      <c r="Q1921" s="154"/>
      <c r="R1921" s="357"/>
    </row>
    <row r="1922" spans="1:18" s="264" customFormat="1" ht="24">
      <c r="A1922" s="151"/>
      <c r="B1922" s="220" t="s">
        <v>122</v>
      </c>
      <c r="C1922" s="153">
        <v>25000</v>
      </c>
      <c r="D1922" s="154">
        <f>G1922+J1922+P1922+M1922</f>
        <v>25000</v>
      </c>
      <c r="E1922" s="154">
        <f>SUM(H1922+K1922+N1922+Q1922)</f>
        <v>0</v>
      </c>
      <c r="F1922" s="452">
        <f>E1922/D1922*100</f>
        <v>0</v>
      </c>
      <c r="G1922" s="153"/>
      <c r="H1922" s="154"/>
      <c r="I1922" s="426"/>
      <c r="J1922" s="155"/>
      <c r="K1922" s="154"/>
      <c r="L1922" s="379"/>
      <c r="M1922" s="153">
        <v>25000</v>
      </c>
      <c r="N1922" s="154"/>
      <c r="O1922" s="426">
        <f t="shared" si="242"/>
        <v>0</v>
      </c>
      <c r="P1922" s="154"/>
      <c r="Q1922" s="154"/>
      <c r="R1922" s="357"/>
    </row>
    <row r="1923" spans="1:18" s="264" customFormat="1" ht="15.75" customHeight="1">
      <c r="A1923" s="151"/>
      <c r="B1923" s="220" t="s">
        <v>398</v>
      </c>
      <c r="C1923" s="153">
        <v>12000</v>
      </c>
      <c r="D1923" s="154">
        <f t="shared" si="243"/>
        <v>12000</v>
      </c>
      <c r="E1923" s="154">
        <f t="shared" si="245"/>
        <v>7149</v>
      </c>
      <c r="F1923" s="452">
        <f t="shared" si="241"/>
        <v>59.575</v>
      </c>
      <c r="G1923" s="153"/>
      <c r="H1923" s="154"/>
      <c r="I1923" s="426"/>
      <c r="J1923" s="155"/>
      <c r="K1923" s="154"/>
      <c r="L1923" s="379"/>
      <c r="M1923" s="153">
        <v>12000</v>
      </c>
      <c r="N1923" s="154">
        <v>7149</v>
      </c>
      <c r="O1923" s="426">
        <f t="shared" si="242"/>
        <v>59.575</v>
      </c>
      <c r="P1923" s="154"/>
      <c r="Q1923" s="154"/>
      <c r="R1923" s="357"/>
    </row>
    <row r="1924" spans="1:18" s="264" customFormat="1" ht="17.25" customHeight="1">
      <c r="A1924" s="151"/>
      <c r="B1924" s="220" t="s">
        <v>121</v>
      </c>
      <c r="C1924" s="153">
        <v>25000</v>
      </c>
      <c r="D1924" s="154">
        <f t="shared" si="243"/>
        <v>25000</v>
      </c>
      <c r="E1924" s="154">
        <f t="shared" si="245"/>
        <v>25000</v>
      </c>
      <c r="F1924" s="452">
        <f t="shared" si="241"/>
        <v>100</v>
      </c>
      <c r="G1924" s="153"/>
      <c r="H1924" s="154"/>
      <c r="I1924" s="426"/>
      <c r="J1924" s="155"/>
      <c r="K1924" s="154"/>
      <c r="L1924" s="379"/>
      <c r="M1924" s="153">
        <v>25000</v>
      </c>
      <c r="N1924" s="154">
        <v>25000</v>
      </c>
      <c r="O1924" s="426">
        <f t="shared" si="242"/>
        <v>100</v>
      </c>
      <c r="P1924" s="154"/>
      <c r="Q1924" s="154"/>
      <c r="R1924" s="357"/>
    </row>
    <row r="1925" spans="1:18" s="264" customFormat="1" ht="36" hidden="1">
      <c r="A1925" s="151"/>
      <c r="B1925" s="220" t="s">
        <v>377</v>
      </c>
      <c r="C1925" s="153"/>
      <c r="D1925" s="154">
        <f t="shared" si="243"/>
        <v>0</v>
      </c>
      <c r="E1925" s="154">
        <f t="shared" si="245"/>
        <v>0</v>
      </c>
      <c r="F1925" s="452"/>
      <c r="G1925" s="153"/>
      <c r="H1925" s="154"/>
      <c r="I1925" s="211"/>
      <c r="J1925" s="155"/>
      <c r="K1925" s="154"/>
      <c r="L1925" s="379"/>
      <c r="M1925" s="153"/>
      <c r="N1925" s="154"/>
      <c r="O1925" s="426"/>
      <c r="P1925" s="154"/>
      <c r="Q1925" s="154"/>
      <c r="R1925" s="357"/>
    </row>
    <row r="1926" spans="1:18" s="264" customFormat="1" ht="96" hidden="1">
      <c r="A1926" s="151" t="s">
        <v>382</v>
      </c>
      <c r="B1926" s="581" t="s">
        <v>385</v>
      </c>
      <c r="C1926" s="153"/>
      <c r="D1926" s="154">
        <f>G1926+J1926+P1926+M1926</f>
        <v>0</v>
      </c>
      <c r="E1926" s="154">
        <f>SUM(H1926+K1926+N1926+Q1926)</f>
        <v>0</v>
      </c>
      <c r="F1926" s="452" t="e">
        <f>E1926/D1926*100</f>
        <v>#DIV/0!</v>
      </c>
      <c r="G1926" s="153"/>
      <c r="H1926" s="154"/>
      <c r="I1926" s="211"/>
      <c r="J1926" s="155"/>
      <c r="K1926" s="154"/>
      <c r="L1926" s="379"/>
      <c r="M1926" s="153"/>
      <c r="N1926" s="154"/>
      <c r="O1926" s="426" t="e">
        <f t="shared" si="242"/>
        <v>#DIV/0!</v>
      </c>
      <c r="P1926" s="154"/>
      <c r="Q1926" s="154"/>
      <c r="R1926" s="357"/>
    </row>
    <row r="1927" spans="1:18" s="264" customFormat="1" ht="24">
      <c r="A1927" s="151" t="s">
        <v>382</v>
      </c>
      <c r="B1927" s="581" t="s">
        <v>386</v>
      </c>
      <c r="C1927" s="153"/>
      <c r="D1927" s="154">
        <f>G1927+J1927+P1927+M1927</f>
        <v>14000</v>
      </c>
      <c r="E1927" s="154">
        <f>SUM(H1927+K1927+N1927+Q1927)</f>
        <v>14000</v>
      </c>
      <c r="F1927" s="452">
        <f>E1927/D1927*100</f>
        <v>100</v>
      </c>
      <c r="G1927" s="153"/>
      <c r="H1927" s="154"/>
      <c r="I1927" s="211"/>
      <c r="J1927" s="155"/>
      <c r="K1927" s="154"/>
      <c r="L1927" s="379"/>
      <c r="M1927" s="153">
        <v>14000</v>
      </c>
      <c r="N1927" s="154">
        <v>14000</v>
      </c>
      <c r="O1927" s="426">
        <f t="shared" si="242"/>
        <v>100</v>
      </c>
      <c r="P1927" s="154"/>
      <c r="Q1927" s="154"/>
      <c r="R1927" s="357"/>
    </row>
    <row r="1928" spans="1:18" s="264" customFormat="1" ht="72" hidden="1">
      <c r="A1928" s="151" t="s">
        <v>382</v>
      </c>
      <c r="B1928" s="581" t="s">
        <v>388</v>
      </c>
      <c r="C1928" s="153"/>
      <c r="D1928" s="154">
        <f>G1928+J1928+P1928+M1928</f>
        <v>0</v>
      </c>
      <c r="E1928" s="154">
        <f>SUM(H1928+K1928+N1928+Q1928)</f>
        <v>0</v>
      </c>
      <c r="F1928" s="452" t="e">
        <f>E1928/D1928*100</f>
        <v>#DIV/0!</v>
      </c>
      <c r="G1928" s="153"/>
      <c r="H1928" s="154"/>
      <c r="I1928" s="211"/>
      <c r="J1928" s="155"/>
      <c r="K1928" s="154"/>
      <c r="L1928" s="379"/>
      <c r="M1928" s="153"/>
      <c r="N1928" s="154"/>
      <c r="O1928" s="426" t="e">
        <f t="shared" si="242"/>
        <v>#DIV/0!</v>
      </c>
      <c r="P1928" s="154"/>
      <c r="Q1928" s="154"/>
      <c r="R1928" s="357"/>
    </row>
    <row r="1929" spans="1:18" s="264" customFormat="1" ht="72" hidden="1">
      <c r="A1929" s="151" t="s">
        <v>382</v>
      </c>
      <c r="B1929" s="581" t="s">
        <v>387</v>
      </c>
      <c r="C1929" s="153"/>
      <c r="D1929" s="154">
        <f>G1929+J1929+P1929+M1929</f>
        <v>0</v>
      </c>
      <c r="E1929" s="154">
        <f>SUM(H1929+K1929+N1929+Q1929)</f>
        <v>0</v>
      </c>
      <c r="F1929" s="452" t="e">
        <f>E1929/D1929*100</f>
        <v>#DIV/0!</v>
      </c>
      <c r="G1929" s="153"/>
      <c r="H1929" s="154"/>
      <c r="I1929" s="211"/>
      <c r="J1929" s="155"/>
      <c r="K1929" s="154"/>
      <c r="L1929" s="379"/>
      <c r="M1929" s="153"/>
      <c r="N1929" s="154"/>
      <c r="O1929" s="426" t="e">
        <f t="shared" si="242"/>
        <v>#DIV/0!</v>
      </c>
      <c r="P1929" s="154"/>
      <c r="Q1929" s="154"/>
      <c r="R1929" s="357"/>
    </row>
    <row r="1930" spans="1:18" s="264" customFormat="1" ht="36" hidden="1">
      <c r="A1930" s="151"/>
      <c r="B1930" s="220" t="s">
        <v>149</v>
      </c>
      <c r="C1930" s="153"/>
      <c r="D1930" s="154">
        <f>G1930+J1930+P1930+M1930</f>
        <v>0</v>
      </c>
      <c r="E1930" s="154">
        <f>SUM(H1930+K1930+N1930+Q1930)</f>
        <v>0</v>
      </c>
      <c r="F1930" s="452" t="e">
        <f>E1930/D1930*100</f>
        <v>#DIV/0!</v>
      </c>
      <c r="G1930" s="153"/>
      <c r="H1930" s="154"/>
      <c r="I1930" s="211"/>
      <c r="J1930" s="155"/>
      <c r="K1930" s="154"/>
      <c r="L1930" s="379"/>
      <c r="M1930" s="153"/>
      <c r="N1930" s="154"/>
      <c r="O1930" s="426" t="e">
        <f t="shared" si="242"/>
        <v>#DIV/0!</v>
      </c>
      <c r="P1930" s="154"/>
      <c r="Q1930" s="154"/>
      <c r="R1930" s="357"/>
    </row>
    <row r="1931" spans="1:18" s="264" customFormat="1" ht="12.75">
      <c r="A1931" s="151"/>
      <c r="B1931" s="220" t="s">
        <v>127</v>
      </c>
      <c r="C1931" s="153">
        <v>10000</v>
      </c>
      <c r="D1931" s="154">
        <f t="shared" si="243"/>
        <v>10000</v>
      </c>
      <c r="E1931" s="154">
        <f t="shared" si="245"/>
        <v>10000</v>
      </c>
      <c r="F1931" s="452">
        <f t="shared" si="241"/>
        <v>100</v>
      </c>
      <c r="G1931" s="153"/>
      <c r="H1931" s="154"/>
      <c r="I1931" s="211"/>
      <c r="J1931" s="155"/>
      <c r="K1931" s="154"/>
      <c r="L1931" s="379"/>
      <c r="M1931" s="153">
        <v>10000</v>
      </c>
      <c r="N1931" s="154">
        <v>10000</v>
      </c>
      <c r="O1931" s="426">
        <f t="shared" si="242"/>
        <v>100</v>
      </c>
      <c r="P1931" s="154"/>
      <c r="Q1931" s="154"/>
      <c r="R1931" s="357"/>
    </row>
    <row r="1932" spans="1:18" s="264" customFormat="1" ht="36">
      <c r="A1932" s="151"/>
      <c r="B1932" s="220" t="s">
        <v>226</v>
      </c>
      <c r="C1932" s="153">
        <v>15000</v>
      </c>
      <c r="D1932" s="154">
        <f t="shared" si="243"/>
        <v>15000</v>
      </c>
      <c r="E1932" s="154">
        <f t="shared" si="245"/>
        <v>0</v>
      </c>
      <c r="F1932" s="452">
        <f t="shared" si="241"/>
        <v>0</v>
      </c>
      <c r="G1932" s="153"/>
      <c r="H1932" s="154"/>
      <c r="I1932" s="211"/>
      <c r="J1932" s="155"/>
      <c r="K1932" s="154"/>
      <c r="L1932" s="379"/>
      <c r="M1932" s="153">
        <v>15000</v>
      </c>
      <c r="N1932" s="154"/>
      <c r="O1932" s="426">
        <f t="shared" si="242"/>
        <v>0</v>
      </c>
      <c r="P1932" s="154"/>
      <c r="Q1932" s="154"/>
      <c r="R1932" s="357"/>
    </row>
    <row r="1933" spans="1:18" s="264" customFormat="1" ht="12.75" hidden="1">
      <c r="A1933" s="151"/>
      <c r="B1933" s="220" t="s">
        <v>638</v>
      </c>
      <c r="C1933" s="153"/>
      <c r="D1933" s="154">
        <f t="shared" si="243"/>
        <v>0</v>
      </c>
      <c r="E1933" s="154">
        <f t="shared" si="245"/>
        <v>0</v>
      </c>
      <c r="F1933" s="452" t="e">
        <f t="shared" si="241"/>
        <v>#DIV/0!</v>
      </c>
      <c r="G1933" s="153"/>
      <c r="H1933" s="154"/>
      <c r="I1933" s="211"/>
      <c r="J1933" s="155"/>
      <c r="K1933" s="154"/>
      <c r="L1933" s="379"/>
      <c r="M1933" s="155"/>
      <c r="N1933" s="154"/>
      <c r="O1933" s="426"/>
      <c r="P1933" s="154"/>
      <c r="Q1933" s="154"/>
      <c r="R1933" s="477" t="e">
        <f>Q1933/P1933*100</f>
        <v>#DIV/0!</v>
      </c>
    </row>
    <row r="1934" spans="1:18" s="105" customFormat="1" ht="87.75" customHeight="1">
      <c r="A1934" s="111">
        <v>6220</v>
      </c>
      <c r="B1934" s="115" t="s">
        <v>186</v>
      </c>
      <c r="C1934" s="79">
        <f>SUM(C1935:C1940)</f>
        <v>357000</v>
      </c>
      <c r="D1934" s="65">
        <f t="shared" si="243"/>
        <v>357000</v>
      </c>
      <c r="E1934" s="80">
        <f t="shared" si="245"/>
        <v>166985</v>
      </c>
      <c r="F1934" s="452">
        <f t="shared" si="241"/>
        <v>46.774509803921575</v>
      </c>
      <c r="G1934" s="79"/>
      <c r="H1934" s="65"/>
      <c r="I1934" s="211"/>
      <c r="J1934" s="113"/>
      <c r="K1934" s="80"/>
      <c r="L1934" s="379"/>
      <c r="M1934" s="113">
        <f>SUM(M1935:M1940)</f>
        <v>357000</v>
      </c>
      <c r="N1934" s="80">
        <f>SUM(N1935:N1940)</f>
        <v>166985</v>
      </c>
      <c r="O1934" s="426">
        <f aca="true" t="shared" si="246" ref="O1934:O1940">N1934/M1934*100</f>
        <v>46.774509803921575</v>
      </c>
      <c r="P1934" s="80"/>
      <c r="Q1934" s="80"/>
      <c r="R1934" s="350"/>
    </row>
    <row r="1935" spans="1:18" s="275" customFormat="1" ht="12.75">
      <c r="A1935" s="563"/>
      <c r="B1935" s="588" t="s">
        <v>123</v>
      </c>
      <c r="C1935" s="564">
        <v>200000</v>
      </c>
      <c r="D1935" s="300">
        <f t="shared" si="243"/>
        <v>200000</v>
      </c>
      <c r="E1935" s="430">
        <f t="shared" si="245"/>
        <v>83678</v>
      </c>
      <c r="F1935" s="453">
        <f t="shared" si="241"/>
        <v>41.839</v>
      </c>
      <c r="G1935" s="564"/>
      <c r="H1935" s="300"/>
      <c r="I1935" s="616"/>
      <c r="J1935" s="566"/>
      <c r="K1935" s="300"/>
      <c r="L1935" s="567"/>
      <c r="M1935" s="566">
        <v>200000</v>
      </c>
      <c r="N1935" s="300">
        <f>79000+4678</f>
        <v>83678</v>
      </c>
      <c r="O1935" s="446">
        <f t="shared" si="246"/>
        <v>41.839</v>
      </c>
      <c r="P1935" s="300"/>
      <c r="Q1935" s="300"/>
      <c r="R1935" s="568"/>
    </row>
    <row r="1936" spans="1:18" s="264" customFormat="1" ht="36">
      <c r="A1936" s="151"/>
      <c r="B1936" s="220" t="s">
        <v>124</v>
      </c>
      <c r="C1936" s="153">
        <v>60000</v>
      </c>
      <c r="D1936" s="154">
        <f t="shared" si="243"/>
        <v>60000</v>
      </c>
      <c r="E1936" s="154">
        <f t="shared" si="245"/>
        <v>60000</v>
      </c>
      <c r="F1936" s="452">
        <f t="shared" si="241"/>
        <v>100</v>
      </c>
      <c r="G1936" s="153"/>
      <c r="H1936" s="154"/>
      <c r="I1936" s="211"/>
      <c r="J1936" s="155"/>
      <c r="K1936" s="154"/>
      <c r="L1936" s="379"/>
      <c r="M1936" s="155">
        <v>60000</v>
      </c>
      <c r="N1936" s="154">
        <f>30000+30000</f>
        <v>60000</v>
      </c>
      <c r="O1936" s="426">
        <f t="shared" si="246"/>
        <v>100</v>
      </c>
      <c r="P1936" s="154"/>
      <c r="Q1936" s="154"/>
      <c r="R1936" s="357"/>
    </row>
    <row r="1937" spans="1:18" s="264" customFormat="1" ht="36">
      <c r="A1937" s="151"/>
      <c r="B1937" s="220" t="s">
        <v>126</v>
      </c>
      <c r="C1937" s="153">
        <v>55000</v>
      </c>
      <c r="D1937" s="154">
        <f>G1937+J1937+P1937+M1937</f>
        <v>55000</v>
      </c>
      <c r="E1937" s="154">
        <f>SUM(H1937+K1937+N1937+Q1937)</f>
        <v>23307</v>
      </c>
      <c r="F1937" s="452">
        <f>E1937/D1937*100</f>
        <v>42.376363636363635</v>
      </c>
      <c r="G1937" s="153"/>
      <c r="H1937" s="154"/>
      <c r="I1937" s="211"/>
      <c r="J1937" s="155"/>
      <c r="K1937" s="154"/>
      <c r="L1937" s="379"/>
      <c r="M1937" s="155">
        <v>55000</v>
      </c>
      <c r="N1937" s="154">
        <v>23307</v>
      </c>
      <c r="O1937" s="426">
        <f t="shared" si="246"/>
        <v>42.376363636363635</v>
      </c>
      <c r="P1937" s="154"/>
      <c r="Q1937" s="154"/>
      <c r="R1937" s="357"/>
    </row>
    <row r="1938" spans="1:18" s="264" customFormat="1" ht="60" hidden="1">
      <c r="A1938" s="151" t="s">
        <v>382</v>
      </c>
      <c r="B1938" s="220" t="s">
        <v>147</v>
      </c>
      <c r="C1938" s="153"/>
      <c r="D1938" s="154">
        <f>G1938+J1938+P1938+M1938</f>
        <v>0</v>
      </c>
      <c r="E1938" s="154">
        <f>SUM(H1938+K1938+N1938+Q1938)</f>
        <v>0</v>
      </c>
      <c r="F1938" s="452" t="e">
        <f>E1938/D1938*100</f>
        <v>#DIV/0!</v>
      </c>
      <c r="G1938" s="153"/>
      <c r="H1938" s="154"/>
      <c r="I1938" s="211"/>
      <c r="J1938" s="155"/>
      <c r="K1938" s="154"/>
      <c r="L1938" s="379"/>
      <c r="M1938" s="155"/>
      <c r="N1938" s="154"/>
      <c r="O1938" s="426" t="e">
        <f t="shared" si="246"/>
        <v>#DIV/0!</v>
      </c>
      <c r="P1938" s="154"/>
      <c r="Q1938" s="154"/>
      <c r="R1938" s="357"/>
    </row>
    <row r="1939" spans="1:18" s="264" customFormat="1" ht="12.75">
      <c r="A1939" s="151"/>
      <c r="B1939" s="220" t="s">
        <v>125</v>
      </c>
      <c r="C1939" s="153">
        <v>42000</v>
      </c>
      <c r="D1939" s="154">
        <f>G1939+J1939+P1939+M1939</f>
        <v>42000</v>
      </c>
      <c r="E1939" s="154">
        <f>SUM(H1939+K1939+N1939+Q1939)</f>
        <v>0</v>
      </c>
      <c r="F1939" s="452">
        <f>E1939/D1939*100</f>
        <v>0</v>
      </c>
      <c r="G1939" s="153"/>
      <c r="H1939" s="154"/>
      <c r="I1939" s="211"/>
      <c r="J1939" s="155"/>
      <c r="K1939" s="154"/>
      <c r="L1939" s="379"/>
      <c r="M1939" s="155">
        <v>42000</v>
      </c>
      <c r="N1939" s="154"/>
      <c r="O1939" s="426">
        <f t="shared" si="246"/>
        <v>0</v>
      </c>
      <c r="P1939" s="154"/>
      <c r="Q1939" s="154"/>
      <c r="R1939" s="357"/>
    </row>
    <row r="1940" spans="1:18" s="264" customFormat="1" ht="72" hidden="1">
      <c r="A1940" s="151" t="s">
        <v>382</v>
      </c>
      <c r="B1940" s="581" t="s">
        <v>387</v>
      </c>
      <c r="C1940" s="153"/>
      <c r="D1940" s="154">
        <f>G1940+J1940+P1940+M1940</f>
        <v>0</v>
      </c>
      <c r="E1940" s="154">
        <f>SUM(H1940+K1940+N1940+Q1940)</f>
        <v>0</v>
      </c>
      <c r="F1940" s="452" t="e">
        <f>E1940/D1940*100</f>
        <v>#DIV/0!</v>
      </c>
      <c r="G1940" s="153"/>
      <c r="H1940" s="154"/>
      <c r="I1940" s="211"/>
      <c r="J1940" s="155"/>
      <c r="K1940" s="154"/>
      <c r="L1940" s="379"/>
      <c r="M1940" s="155"/>
      <c r="N1940" s="154"/>
      <c r="O1940" s="426" t="e">
        <f t="shared" si="246"/>
        <v>#DIV/0!</v>
      </c>
      <c r="P1940" s="154"/>
      <c r="Q1940" s="154"/>
      <c r="R1940" s="357"/>
    </row>
    <row r="1941" spans="1:18" s="105" customFormat="1" ht="36" hidden="1">
      <c r="A1941" s="111">
        <v>6050</v>
      </c>
      <c r="B1941" s="115" t="s">
        <v>332</v>
      </c>
      <c r="C1941" s="79"/>
      <c r="D1941" s="65">
        <f t="shared" si="243"/>
        <v>0</v>
      </c>
      <c r="E1941" s="65">
        <f>H1941+K1941+Q1941+N1941</f>
        <v>0</v>
      </c>
      <c r="F1941" s="452" t="e">
        <f t="shared" si="241"/>
        <v>#DIV/0!</v>
      </c>
      <c r="G1941" s="79"/>
      <c r="H1941" s="65"/>
      <c r="I1941" s="211"/>
      <c r="J1941" s="113"/>
      <c r="K1941" s="80"/>
      <c r="L1941" s="379"/>
      <c r="M1941" s="79"/>
      <c r="N1941" s="80"/>
      <c r="O1941" s="426" t="e">
        <f t="shared" si="242"/>
        <v>#DIV/0!</v>
      </c>
      <c r="P1941" s="80"/>
      <c r="Q1941" s="80"/>
      <c r="R1941" s="350"/>
    </row>
    <row r="1942" spans="1:18" s="105" customFormat="1" ht="24" hidden="1">
      <c r="A1942" s="111">
        <v>6058</v>
      </c>
      <c r="B1942" s="115" t="s">
        <v>549</v>
      </c>
      <c r="C1942" s="79"/>
      <c r="D1942" s="65">
        <f t="shared" si="243"/>
        <v>0</v>
      </c>
      <c r="E1942" s="65">
        <f>H1942+K1942+Q1942+N1942</f>
        <v>0</v>
      </c>
      <c r="F1942" s="452" t="e">
        <f t="shared" si="241"/>
        <v>#DIV/0!</v>
      </c>
      <c r="G1942" s="79"/>
      <c r="H1942" s="65"/>
      <c r="I1942" s="211"/>
      <c r="J1942" s="113"/>
      <c r="K1942" s="80"/>
      <c r="L1942" s="379"/>
      <c r="M1942" s="79"/>
      <c r="N1942" s="80"/>
      <c r="O1942" s="211" t="e">
        <f t="shared" si="242"/>
        <v>#DIV/0!</v>
      </c>
      <c r="P1942" s="80"/>
      <c r="Q1942" s="80"/>
      <c r="R1942" s="350"/>
    </row>
    <row r="1943" spans="1:18" s="105" customFormat="1" ht="24" hidden="1">
      <c r="A1943" s="111">
        <v>6059</v>
      </c>
      <c r="B1943" s="115" t="s">
        <v>549</v>
      </c>
      <c r="C1943" s="79"/>
      <c r="D1943" s="65">
        <f t="shared" si="243"/>
        <v>0</v>
      </c>
      <c r="E1943" s="80">
        <f>SUM(H1943+K1943+N1943+Q1943)</f>
        <v>0</v>
      </c>
      <c r="F1943" s="452" t="e">
        <f>E1943/D1943*100</f>
        <v>#DIV/0!</v>
      </c>
      <c r="G1943" s="79"/>
      <c r="H1943" s="65"/>
      <c r="I1943" s="259"/>
      <c r="J1943" s="113"/>
      <c r="K1943" s="80"/>
      <c r="L1943" s="379"/>
      <c r="M1943" s="79"/>
      <c r="N1943" s="80"/>
      <c r="O1943" s="211" t="e">
        <f t="shared" si="242"/>
        <v>#DIV/0!</v>
      </c>
      <c r="P1943" s="80"/>
      <c r="Q1943" s="80"/>
      <c r="R1943" s="350"/>
    </row>
    <row r="1944" spans="1:18" ht="24.75" customHeight="1">
      <c r="A1944" s="106">
        <v>92120</v>
      </c>
      <c r="B1944" s="172" t="s">
        <v>194</v>
      </c>
      <c r="C1944" s="108">
        <f>SUM(C1946:C1950)</f>
        <v>310000</v>
      </c>
      <c r="D1944" s="86">
        <f t="shared" si="243"/>
        <v>1222488</v>
      </c>
      <c r="E1944" s="75">
        <f>H1944+K1944+Q1944+N1944</f>
        <v>454887</v>
      </c>
      <c r="F1944" s="451">
        <f t="shared" si="241"/>
        <v>37.209935803050826</v>
      </c>
      <c r="G1944" s="108">
        <f>SUM(G1945:G1950)</f>
        <v>1222488</v>
      </c>
      <c r="H1944" s="75">
        <f>SUM(H1945:H1950)</f>
        <v>454887</v>
      </c>
      <c r="I1944" s="301">
        <f aca="true" t="shared" si="247" ref="I1944:I1997">H1944/G1944*100</f>
        <v>37.209935803050826</v>
      </c>
      <c r="J1944" s="110"/>
      <c r="K1944" s="75"/>
      <c r="L1944" s="406"/>
      <c r="M1944" s="75"/>
      <c r="N1944" s="75"/>
      <c r="O1944" s="369"/>
      <c r="P1944" s="75"/>
      <c r="Q1944" s="75"/>
      <c r="R1944" s="360"/>
    </row>
    <row r="1945" spans="1:18" s="12" customFormat="1" ht="108">
      <c r="A1945" s="181">
        <v>2720</v>
      </c>
      <c r="B1945" s="182" t="s">
        <v>521</v>
      </c>
      <c r="C1945" s="93"/>
      <c r="D1945" s="65">
        <f t="shared" si="243"/>
        <v>898488</v>
      </c>
      <c r="E1945" s="80">
        <f aca="true" t="shared" si="248" ref="E1945:E1951">SUM(H1945+K1945+N1945+Q1945)</f>
        <v>450000</v>
      </c>
      <c r="F1945" s="452">
        <f t="shared" si="241"/>
        <v>50.08414135748057</v>
      </c>
      <c r="G1945" s="93">
        <f>879900+18588</f>
        <v>898488</v>
      </c>
      <c r="H1945" s="94">
        <v>450000</v>
      </c>
      <c r="I1945" s="211">
        <f t="shared" si="247"/>
        <v>50.08414135748057</v>
      </c>
      <c r="J1945" s="183"/>
      <c r="K1945" s="94"/>
      <c r="L1945" s="403"/>
      <c r="M1945" s="94"/>
      <c r="N1945" s="94"/>
      <c r="O1945" s="376"/>
      <c r="P1945" s="94"/>
      <c r="Q1945" s="94"/>
      <c r="R1945" s="353"/>
    </row>
    <row r="1946" spans="1:18" s="12" customFormat="1" ht="24">
      <c r="A1946" s="159">
        <v>4170</v>
      </c>
      <c r="B1946" s="193" t="s">
        <v>511</v>
      </c>
      <c r="C1946" s="161">
        <v>5000</v>
      </c>
      <c r="D1946" s="65">
        <f t="shared" si="243"/>
        <v>5000</v>
      </c>
      <c r="E1946" s="80">
        <f t="shared" si="248"/>
        <v>0</v>
      </c>
      <c r="F1946" s="452">
        <f t="shared" si="241"/>
        <v>0</v>
      </c>
      <c r="G1946" s="161">
        <v>5000</v>
      </c>
      <c r="H1946" s="65"/>
      <c r="I1946" s="211">
        <f t="shared" si="247"/>
        <v>0</v>
      </c>
      <c r="J1946" s="162"/>
      <c r="K1946" s="65"/>
      <c r="L1946" s="379"/>
      <c r="M1946" s="65"/>
      <c r="N1946" s="65"/>
      <c r="O1946" s="356"/>
      <c r="P1946" s="65"/>
      <c r="Q1946" s="65"/>
      <c r="R1946" s="350"/>
    </row>
    <row r="1947" spans="1:18" s="105" customFormat="1" ht="25.5" customHeight="1" hidden="1">
      <c r="A1947" s="111">
        <v>4270</v>
      </c>
      <c r="B1947" s="115" t="s">
        <v>195</v>
      </c>
      <c r="C1947" s="79"/>
      <c r="D1947" s="65">
        <f>G1947+J1947+P1947+M1947</f>
        <v>0</v>
      </c>
      <c r="E1947" s="80">
        <f>SUM(H1947+K1947+N1947+Q1947)</f>
        <v>0</v>
      </c>
      <c r="F1947" s="452"/>
      <c r="G1947" s="79"/>
      <c r="H1947" s="80"/>
      <c r="I1947" s="211"/>
      <c r="J1947" s="113"/>
      <c r="K1947" s="80"/>
      <c r="L1947" s="379"/>
      <c r="M1947" s="80"/>
      <c r="N1947" s="80"/>
      <c r="O1947" s="356"/>
      <c r="P1947" s="80"/>
      <c r="Q1947" s="80"/>
      <c r="R1947" s="350"/>
    </row>
    <row r="1948" spans="1:18" s="105" customFormat="1" ht="17.25" customHeight="1">
      <c r="A1948" s="111">
        <v>4300</v>
      </c>
      <c r="B1948" s="115" t="s">
        <v>489</v>
      </c>
      <c r="C1948" s="79">
        <v>5000</v>
      </c>
      <c r="D1948" s="65">
        <f>G1948+J1948+P1948+M1948</f>
        <v>19000</v>
      </c>
      <c r="E1948" s="80">
        <f>SUM(H1948+K1948+N1948+Q1948)</f>
        <v>7</v>
      </c>
      <c r="F1948" s="452">
        <f>E1948/D1948*100</f>
        <v>0.0368421052631579</v>
      </c>
      <c r="G1948" s="79">
        <f>5000+14000</f>
        <v>19000</v>
      </c>
      <c r="H1948" s="80">
        <v>7</v>
      </c>
      <c r="I1948" s="211">
        <f>H1948/G1948*100</f>
        <v>0.0368421052631579</v>
      </c>
      <c r="J1948" s="207"/>
      <c r="K1948" s="80"/>
      <c r="L1948" s="379"/>
      <c r="M1948" s="80"/>
      <c r="N1948" s="80"/>
      <c r="O1948" s="356"/>
      <c r="P1948" s="80"/>
      <c r="Q1948" s="80"/>
      <c r="R1948" s="350"/>
    </row>
    <row r="1949" spans="1:18" s="105" customFormat="1" ht="72">
      <c r="A1949" s="111">
        <v>4340</v>
      </c>
      <c r="B1949" s="115" t="s">
        <v>316</v>
      </c>
      <c r="C1949" s="79">
        <v>300000</v>
      </c>
      <c r="D1949" s="65">
        <f t="shared" si="243"/>
        <v>300000</v>
      </c>
      <c r="E1949" s="80">
        <f t="shared" si="248"/>
        <v>4880</v>
      </c>
      <c r="F1949" s="452">
        <f t="shared" si="241"/>
        <v>1.6266666666666665</v>
      </c>
      <c r="G1949" s="79">
        <v>300000</v>
      </c>
      <c r="H1949" s="80">
        <v>4880</v>
      </c>
      <c r="I1949" s="211">
        <f t="shared" si="247"/>
        <v>1.6266666666666665</v>
      </c>
      <c r="J1949" s="207"/>
      <c r="K1949" s="80"/>
      <c r="L1949" s="379"/>
      <c r="M1949" s="80"/>
      <c r="N1949" s="80"/>
      <c r="O1949" s="356"/>
      <c r="P1949" s="80"/>
      <c r="Q1949" s="80"/>
      <c r="R1949" s="350"/>
    </row>
    <row r="1950" spans="1:18" s="105" customFormat="1" ht="36" hidden="1">
      <c r="A1950" s="145">
        <v>6060</v>
      </c>
      <c r="B1950" s="146" t="s">
        <v>8</v>
      </c>
      <c r="C1950" s="147"/>
      <c r="D1950" s="148">
        <f t="shared" si="243"/>
        <v>0</v>
      </c>
      <c r="E1950" s="142">
        <f t="shared" si="248"/>
        <v>0</v>
      </c>
      <c r="F1950" s="453" t="e">
        <f t="shared" si="241"/>
        <v>#DIV/0!</v>
      </c>
      <c r="G1950" s="147"/>
      <c r="H1950" s="142"/>
      <c r="I1950" s="259" t="e">
        <f t="shared" si="247"/>
        <v>#DIV/0!</v>
      </c>
      <c r="J1950" s="231"/>
      <c r="K1950" s="142"/>
      <c r="L1950" s="404"/>
      <c r="M1950" s="142"/>
      <c r="N1950" s="142"/>
      <c r="O1950" s="375"/>
      <c r="P1950" s="142"/>
      <c r="Q1950" s="142"/>
      <c r="R1950" s="354"/>
    </row>
    <row r="1951" spans="1:18" s="130" customFormat="1" ht="17.25" customHeight="1">
      <c r="A1951" s="137">
        <v>92195</v>
      </c>
      <c r="B1951" s="174" t="s">
        <v>504</v>
      </c>
      <c r="C1951" s="85">
        <f>SUM(C1952:C1958)</f>
        <v>543100</v>
      </c>
      <c r="D1951" s="86">
        <f t="shared" si="243"/>
        <v>1259538</v>
      </c>
      <c r="E1951" s="86">
        <f t="shared" si="248"/>
        <v>13493</v>
      </c>
      <c r="F1951" s="451">
        <f t="shared" si="241"/>
        <v>1.0712658133379065</v>
      </c>
      <c r="G1951" s="85">
        <f>SUM(G1952:G1960)</f>
        <v>1259538</v>
      </c>
      <c r="H1951" s="86">
        <f>SUM(H1952:H1960)</f>
        <v>13493</v>
      </c>
      <c r="I1951" s="301">
        <f t="shared" si="247"/>
        <v>1.0712658133379065</v>
      </c>
      <c r="J1951" s="206"/>
      <c r="K1951" s="86"/>
      <c r="L1951" s="406"/>
      <c r="M1951" s="86"/>
      <c r="N1951" s="86"/>
      <c r="O1951" s="391"/>
      <c r="P1951" s="86"/>
      <c r="Q1951" s="86"/>
      <c r="R1951" s="358"/>
    </row>
    <row r="1952" spans="1:18" s="12" customFormat="1" ht="61.5" customHeight="1" hidden="1">
      <c r="A1952" s="159">
        <v>2820</v>
      </c>
      <c r="B1952" s="193" t="s">
        <v>54</v>
      </c>
      <c r="C1952" s="161"/>
      <c r="D1952" s="65">
        <f t="shared" si="243"/>
        <v>0</v>
      </c>
      <c r="E1952" s="65">
        <f>H1952+K1952+Q1952+N1952</f>
        <v>0</v>
      </c>
      <c r="F1952" s="452" t="e">
        <f t="shared" si="241"/>
        <v>#DIV/0!</v>
      </c>
      <c r="G1952" s="161"/>
      <c r="H1952" s="65"/>
      <c r="I1952" s="211" t="e">
        <f t="shared" si="247"/>
        <v>#DIV/0!</v>
      </c>
      <c r="J1952" s="210"/>
      <c r="K1952" s="65"/>
      <c r="L1952" s="379"/>
      <c r="M1952" s="65"/>
      <c r="N1952" s="65"/>
      <c r="O1952" s="356"/>
      <c r="P1952" s="65"/>
      <c r="Q1952" s="65"/>
      <c r="R1952" s="350"/>
    </row>
    <row r="1953" spans="1:18" s="12" customFormat="1" ht="64.5" customHeight="1">
      <c r="A1953" s="99">
        <v>2480</v>
      </c>
      <c r="B1953" s="186" t="s">
        <v>129</v>
      </c>
      <c r="C1953" s="161">
        <v>500000</v>
      </c>
      <c r="D1953" s="65">
        <f t="shared" si="243"/>
        <v>446000</v>
      </c>
      <c r="E1953" s="80">
        <f aca="true" t="shared" si="249" ref="E1953:E1980">SUM(H1953+K1953+N1953+Q1953)</f>
        <v>0</v>
      </c>
      <c r="F1953" s="452">
        <f t="shared" si="241"/>
        <v>0</v>
      </c>
      <c r="G1953" s="161">
        <f>500000-40000-14000</f>
        <v>446000</v>
      </c>
      <c r="H1953" s="65"/>
      <c r="I1953" s="211">
        <f t="shared" si="247"/>
        <v>0</v>
      </c>
      <c r="J1953" s="210"/>
      <c r="K1953" s="65"/>
      <c r="L1953" s="379"/>
      <c r="M1953" s="65"/>
      <c r="N1953" s="65"/>
      <c r="O1953" s="356"/>
      <c r="P1953" s="65"/>
      <c r="Q1953" s="65"/>
      <c r="R1953" s="350"/>
    </row>
    <row r="1954" spans="1:18" s="105" customFormat="1" ht="48" hidden="1">
      <c r="A1954" s="111">
        <v>3040</v>
      </c>
      <c r="B1954" s="115" t="s">
        <v>196</v>
      </c>
      <c r="C1954" s="79"/>
      <c r="D1954" s="65">
        <f t="shared" si="243"/>
        <v>0</v>
      </c>
      <c r="E1954" s="80">
        <f t="shared" si="249"/>
        <v>0</v>
      </c>
      <c r="F1954" s="452" t="e">
        <f t="shared" si="241"/>
        <v>#DIV/0!</v>
      </c>
      <c r="G1954" s="79"/>
      <c r="H1954" s="80"/>
      <c r="I1954" s="211" t="e">
        <f t="shared" si="247"/>
        <v>#DIV/0!</v>
      </c>
      <c r="J1954" s="207"/>
      <c r="K1954" s="80"/>
      <c r="L1954" s="379"/>
      <c r="M1954" s="80"/>
      <c r="N1954" s="80"/>
      <c r="O1954" s="356"/>
      <c r="P1954" s="80"/>
      <c r="Q1954" s="80"/>
      <c r="R1954" s="350"/>
    </row>
    <row r="1955" spans="1:18" s="105" customFormat="1" ht="28.5" customHeight="1">
      <c r="A1955" s="111">
        <v>4210</v>
      </c>
      <c r="B1955" s="115" t="s">
        <v>197</v>
      </c>
      <c r="C1955" s="79">
        <v>20800</v>
      </c>
      <c r="D1955" s="65">
        <f t="shared" si="243"/>
        <v>24400</v>
      </c>
      <c r="E1955" s="80">
        <f t="shared" si="249"/>
        <v>7998</v>
      </c>
      <c r="F1955" s="452">
        <f t="shared" si="241"/>
        <v>32.778688524590166</v>
      </c>
      <c r="G1955" s="79">
        <f>20800+1000+200+2400</f>
        <v>24400</v>
      </c>
      <c r="H1955" s="80">
        <v>7998</v>
      </c>
      <c r="I1955" s="426">
        <f t="shared" si="247"/>
        <v>32.778688524590166</v>
      </c>
      <c r="J1955" s="207"/>
      <c r="K1955" s="80"/>
      <c r="L1955" s="379"/>
      <c r="M1955" s="80"/>
      <c r="N1955" s="80"/>
      <c r="O1955" s="356"/>
      <c r="P1955" s="80"/>
      <c r="Q1955" s="80"/>
      <c r="R1955" s="350"/>
    </row>
    <row r="1956" spans="1:18" s="105" customFormat="1" ht="24" hidden="1">
      <c r="A1956" s="111">
        <v>4300</v>
      </c>
      <c r="B1956" s="115" t="s">
        <v>198</v>
      </c>
      <c r="C1956" s="79"/>
      <c r="D1956" s="65">
        <f t="shared" si="243"/>
        <v>0</v>
      </c>
      <c r="E1956" s="80">
        <f t="shared" si="249"/>
        <v>0</v>
      </c>
      <c r="F1956" s="452" t="e">
        <f t="shared" si="241"/>
        <v>#DIV/0!</v>
      </c>
      <c r="G1956" s="79"/>
      <c r="H1956" s="80"/>
      <c r="I1956" s="426" t="e">
        <f t="shared" si="247"/>
        <v>#DIV/0!</v>
      </c>
      <c r="J1956" s="207"/>
      <c r="K1956" s="80"/>
      <c r="L1956" s="379"/>
      <c r="M1956" s="80"/>
      <c r="N1956" s="80"/>
      <c r="O1956" s="356"/>
      <c r="P1956" s="80"/>
      <c r="Q1956" s="80"/>
      <c r="R1956" s="350"/>
    </row>
    <row r="1957" spans="1:18" s="105" customFormat="1" ht="24">
      <c r="A1957" s="111">
        <v>4300</v>
      </c>
      <c r="B1957" s="115" t="s">
        <v>91</v>
      </c>
      <c r="C1957" s="79">
        <v>22100</v>
      </c>
      <c r="D1957" s="65">
        <f t="shared" si="243"/>
        <v>20900</v>
      </c>
      <c r="E1957" s="80">
        <f t="shared" si="249"/>
        <v>1848</v>
      </c>
      <c r="F1957" s="452">
        <f t="shared" si="241"/>
        <v>8.842105263157894</v>
      </c>
      <c r="G1957" s="79">
        <f>22100-1200</f>
        <v>20900</v>
      </c>
      <c r="H1957" s="80">
        <v>1848</v>
      </c>
      <c r="I1957" s="426">
        <f t="shared" si="247"/>
        <v>8.842105263157894</v>
      </c>
      <c r="J1957" s="207"/>
      <c r="K1957" s="80"/>
      <c r="L1957" s="379"/>
      <c r="M1957" s="80"/>
      <c r="N1957" s="80"/>
      <c r="O1957" s="356"/>
      <c r="P1957" s="80"/>
      <c r="Q1957" s="80"/>
      <c r="R1957" s="350"/>
    </row>
    <row r="1958" spans="1:18" s="105" customFormat="1" ht="27" customHeight="1">
      <c r="A1958" s="145">
        <v>4430</v>
      </c>
      <c r="B1958" s="146" t="s">
        <v>199</v>
      </c>
      <c r="C1958" s="147">
        <v>200</v>
      </c>
      <c r="D1958" s="148">
        <f t="shared" si="243"/>
        <v>200</v>
      </c>
      <c r="E1958" s="142">
        <f t="shared" si="249"/>
        <v>0</v>
      </c>
      <c r="F1958" s="453">
        <f t="shared" si="241"/>
        <v>0</v>
      </c>
      <c r="G1958" s="147">
        <v>200</v>
      </c>
      <c r="H1958" s="142"/>
      <c r="I1958" s="446">
        <f t="shared" si="247"/>
        <v>0</v>
      </c>
      <c r="J1958" s="231"/>
      <c r="K1958" s="142"/>
      <c r="L1958" s="404"/>
      <c r="M1958" s="142"/>
      <c r="N1958" s="142"/>
      <c r="O1958" s="375"/>
      <c r="P1958" s="142"/>
      <c r="Q1958" s="142"/>
      <c r="R1958" s="354"/>
    </row>
    <row r="1959" spans="1:18" s="105" customFormat="1" ht="60" hidden="1">
      <c r="A1959" s="111">
        <v>4740</v>
      </c>
      <c r="B1959" s="115" t="s">
        <v>334</v>
      </c>
      <c r="C1959" s="79"/>
      <c r="D1959" s="65">
        <f>G1959+J1959+P1959+M1959</f>
        <v>0</v>
      </c>
      <c r="E1959" s="80">
        <f>SUM(H1959+K1959+N1959+Q1959)</f>
        <v>0</v>
      </c>
      <c r="F1959" s="452" t="e">
        <f>E1959/D1959*100</f>
        <v>#DIV/0!</v>
      </c>
      <c r="G1959" s="79"/>
      <c r="H1959" s="80"/>
      <c r="I1959" s="426" t="e">
        <f t="shared" si="247"/>
        <v>#DIV/0!</v>
      </c>
      <c r="J1959" s="207"/>
      <c r="K1959" s="80"/>
      <c r="L1959" s="379"/>
      <c r="M1959" s="80"/>
      <c r="N1959" s="80"/>
      <c r="O1959" s="356"/>
      <c r="P1959" s="80"/>
      <c r="Q1959" s="80"/>
      <c r="R1959" s="350"/>
    </row>
    <row r="1960" spans="1:18" s="130" customFormat="1" ht="51.75" customHeight="1">
      <c r="A1960" s="122"/>
      <c r="B1960" s="123" t="s">
        <v>81</v>
      </c>
      <c r="C1960" s="124"/>
      <c r="D1960" s="126">
        <f t="shared" si="243"/>
        <v>768038</v>
      </c>
      <c r="E1960" s="126">
        <f t="shared" si="249"/>
        <v>3647</v>
      </c>
      <c r="F1960" s="461">
        <f t="shared" si="241"/>
        <v>0.4748462966676128</v>
      </c>
      <c r="G1960" s="124">
        <f>SUM(G1961:G1980)</f>
        <v>768038</v>
      </c>
      <c r="H1960" s="126">
        <f>SUM(H1961:H1980)</f>
        <v>3647</v>
      </c>
      <c r="I1960" s="426">
        <f t="shared" si="247"/>
        <v>0.4748462966676128</v>
      </c>
      <c r="J1960" s="327"/>
      <c r="K1960" s="126"/>
      <c r="L1960" s="392"/>
      <c r="M1960" s="126"/>
      <c r="N1960" s="126"/>
      <c r="O1960" s="388"/>
      <c r="P1960" s="126"/>
      <c r="Q1960" s="126"/>
      <c r="R1960" s="352"/>
    </row>
    <row r="1961" spans="1:18" s="12" customFormat="1" ht="24">
      <c r="A1961" s="159">
        <v>4110</v>
      </c>
      <c r="B1961" s="262" t="s">
        <v>477</v>
      </c>
      <c r="C1961" s="161"/>
      <c r="D1961" s="65">
        <f t="shared" si="243"/>
        <v>600</v>
      </c>
      <c r="E1961" s="80">
        <f t="shared" si="249"/>
        <v>0</v>
      </c>
      <c r="F1961" s="452">
        <f t="shared" si="241"/>
        <v>0</v>
      </c>
      <c r="G1961" s="161">
        <v>600</v>
      </c>
      <c r="H1961" s="65"/>
      <c r="I1961" s="426">
        <f t="shared" si="247"/>
        <v>0</v>
      </c>
      <c r="J1961" s="210"/>
      <c r="K1961" s="65"/>
      <c r="L1961" s="379"/>
      <c r="M1961" s="65"/>
      <c r="N1961" s="65"/>
      <c r="O1961" s="356"/>
      <c r="P1961" s="65"/>
      <c r="Q1961" s="65"/>
      <c r="R1961" s="350"/>
    </row>
    <row r="1962" spans="1:18" s="12" customFormat="1" ht="24" hidden="1">
      <c r="A1962" s="159">
        <v>4118</v>
      </c>
      <c r="B1962" s="262" t="s">
        <v>477</v>
      </c>
      <c r="C1962" s="161"/>
      <c r="D1962" s="65">
        <f>G1962+J1962+P1962+M1962</f>
        <v>0</v>
      </c>
      <c r="E1962" s="80">
        <f>SUM(H1962+K1962+N1962+Q1962)</f>
        <v>0</v>
      </c>
      <c r="F1962" s="452" t="e">
        <f>E1962/D1962*100</f>
        <v>#DIV/0!</v>
      </c>
      <c r="G1962" s="161"/>
      <c r="H1962" s="65"/>
      <c r="I1962" s="426" t="e">
        <f t="shared" si="247"/>
        <v>#DIV/0!</v>
      </c>
      <c r="J1962" s="210"/>
      <c r="K1962" s="65"/>
      <c r="L1962" s="379"/>
      <c r="M1962" s="65"/>
      <c r="N1962" s="65"/>
      <c r="O1962" s="356"/>
      <c r="P1962" s="65"/>
      <c r="Q1962" s="65"/>
      <c r="R1962" s="350"/>
    </row>
    <row r="1963" spans="1:18" s="12" customFormat="1" ht="24" hidden="1">
      <c r="A1963" s="159">
        <v>4119</v>
      </c>
      <c r="B1963" s="262" t="s">
        <v>477</v>
      </c>
      <c r="C1963" s="161"/>
      <c r="D1963" s="65">
        <f t="shared" si="243"/>
        <v>0</v>
      </c>
      <c r="E1963" s="80">
        <f t="shared" si="249"/>
        <v>0</v>
      </c>
      <c r="F1963" s="452" t="e">
        <f t="shared" si="241"/>
        <v>#DIV/0!</v>
      </c>
      <c r="G1963" s="161"/>
      <c r="H1963" s="65"/>
      <c r="I1963" s="426" t="e">
        <f t="shared" si="247"/>
        <v>#DIV/0!</v>
      </c>
      <c r="J1963" s="210"/>
      <c r="K1963" s="65"/>
      <c r="L1963" s="379"/>
      <c r="M1963" s="65"/>
      <c r="N1963" s="65"/>
      <c r="O1963" s="356"/>
      <c r="P1963" s="65"/>
      <c r="Q1963" s="65"/>
      <c r="R1963" s="350"/>
    </row>
    <row r="1964" spans="1:18" s="12" customFormat="1" ht="12.75">
      <c r="A1964" s="159">
        <v>4120</v>
      </c>
      <c r="B1964" s="262" t="s">
        <v>547</v>
      </c>
      <c r="C1964" s="161"/>
      <c r="D1964" s="65">
        <f t="shared" si="243"/>
        <v>120</v>
      </c>
      <c r="E1964" s="80">
        <f t="shared" si="249"/>
        <v>0</v>
      </c>
      <c r="F1964" s="452">
        <f t="shared" si="241"/>
        <v>0</v>
      </c>
      <c r="G1964" s="161">
        <v>120</v>
      </c>
      <c r="H1964" s="65"/>
      <c r="I1964" s="426">
        <f t="shared" si="247"/>
        <v>0</v>
      </c>
      <c r="J1964" s="210"/>
      <c r="K1964" s="65"/>
      <c r="L1964" s="379"/>
      <c r="M1964" s="65"/>
      <c r="N1964" s="65"/>
      <c r="O1964" s="356"/>
      <c r="P1964" s="65"/>
      <c r="Q1964" s="65"/>
      <c r="R1964" s="350"/>
    </row>
    <row r="1965" spans="1:18" s="12" customFormat="1" ht="12.75" hidden="1">
      <c r="A1965" s="159">
        <v>4128</v>
      </c>
      <c r="B1965" s="262" t="s">
        <v>547</v>
      </c>
      <c r="C1965" s="161"/>
      <c r="D1965" s="65">
        <f>G1965+J1965+P1965+M1965</f>
        <v>0</v>
      </c>
      <c r="E1965" s="80">
        <f>SUM(H1965+K1965+N1965+Q1965)</f>
        <v>0</v>
      </c>
      <c r="F1965" s="452" t="e">
        <f>E1965/D1965*100</f>
        <v>#DIV/0!</v>
      </c>
      <c r="G1965" s="161"/>
      <c r="H1965" s="65"/>
      <c r="I1965" s="426" t="e">
        <f t="shared" si="247"/>
        <v>#DIV/0!</v>
      </c>
      <c r="J1965" s="210"/>
      <c r="K1965" s="65"/>
      <c r="L1965" s="379"/>
      <c r="M1965" s="65"/>
      <c r="N1965" s="65"/>
      <c r="O1965" s="356"/>
      <c r="P1965" s="65"/>
      <c r="Q1965" s="65"/>
      <c r="R1965" s="350"/>
    </row>
    <row r="1966" spans="1:18" s="12" customFormat="1" ht="24">
      <c r="A1966" s="111">
        <v>4170</v>
      </c>
      <c r="B1966" s="115" t="s">
        <v>307</v>
      </c>
      <c r="C1966" s="161"/>
      <c r="D1966" s="65">
        <f t="shared" si="243"/>
        <v>2000</v>
      </c>
      <c r="E1966" s="80">
        <f t="shared" si="249"/>
        <v>0</v>
      </c>
      <c r="F1966" s="452">
        <f t="shared" si="241"/>
        <v>0</v>
      </c>
      <c r="G1966" s="161">
        <v>2000</v>
      </c>
      <c r="H1966" s="65"/>
      <c r="I1966" s="426">
        <f t="shared" si="247"/>
        <v>0</v>
      </c>
      <c r="J1966" s="210"/>
      <c r="K1966" s="65"/>
      <c r="L1966" s="379"/>
      <c r="M1966" s="65"/>
      <c r="N1966" s="65"/>
      <c r="O1966" s="356"/>
      <c r="P1966" s="65"/>
      <c r="Q1966" s="65"/>
      <c r="R1966" s="350"/>
    </row>
    <row r="1967" spans="1:18" s="12" customFormat="1" ht="24">
      <c r="A1967" s="111">
        <v>4178</v>
      </c>
      <c r="B1967" s="115" t="s">
        <v>307</v>
      </c>
      <c r="C1967" s="161"/>
      <c r="D1967" s="65">
        <f t="shared" si="243"/>
        <v>65417</v>
      </c>
      <c r="E1967" s="80">
        <f t="shared" si="249"/>
        <v>0</v>
      </c>
      <c r="F1967" s="452">
        <f aca="true" t="shared" si="250" ref="F1967:F2000">E1967/D1967*100</f>
        <v>0</v>
      </c>
      <c r="G1967" s="161">
        <v>65417</v>
      </c>
      <c r="H1967" s="65"/>
      <c r="I1967" s="426">
        <f t="shared" si="247"/>
        <v>0</v>
      </c>
      <c r="J1967" s="210"/>
      <c r="K1967" s="65"/>
      <c r="L1967" s="379"/>
      <c r="M1967" s="65"/>
      <c r="N1967" s="65"/>
      <c r="O1967" s="356"/>
      <c r="P1967" s="65"/>
      <c r="Q1967" s="65"/>
      <c r="R1967" s="350"/>
    </row>
    <row r="1968" spans="1:18" s="12" customFormat="1" ht="24">
      <c r="A1968" s="159">
        <v>4179</v>
      </c>
      <c r="B1968" s="115" t="s">
        <v>307</v>
      </c>
      <c r="C1968" s="161"/>
      <c r="D1968" s="65">
        <f t="shared" si="243"/>
        <v>11545</v>
      </c>
      <c r="E1968" s="80">
        <f t="shared" si="249"/>
        <v>0</v>
      </c>
      <c r="F1968" s="452">
        <f t="shared" si="250"/>
        <v>0</v>
      </c>
      <c r="G1968" s="161">
        <v>11545</v>
      </c>
      <c r="H1968" s="65"/>
      <c r="I1968" s="426">
        <f t="shared" si="247"/>
        <v>0</v>
      </c>
      <c r="J1968" s="210"/>
      <c r="K1968" s="65"/>
      <c r="L1968" s="379"/>
      <c r="M1968" s="65"/>
      <c r="N1968" s="65"/>
      <c r="O1968" s="356"/>
      <c r="P1968" s="65"/>
      <c r="Q1968" s="65"/>
      <c r="R1968" s="350"/>
    </row>
    <row r="1969" spans="1:18" s="12" customFormat="1" ht="24">
      <c r="A1969" s="159">
        <v>4210</v>
      </c>
      <c r="B1969" s="115" t="s">
        <v>614</v>
      </c>
      <c r="C1969" s="161"/>
      <c r="D1969" s="65">
        <f t="shared" si="243"/>
        <v>2000</v>
      </c>
      <c r="E1969" s="80">
        <f>SUM(H1969+K1969+N1969+Q1969)</f>
        <v>0</v>
      </c>
      <c r="F1969" s="452">
        <f>E1969/D1969*100</f>
        <v>0</v>
      </c>
      <c r="G1969" s="161">
        <v>2000</v>
      </c>
      <c r="H1969" s="65"/>
      <c r="I1969" s="426">
        <f t="shared" si="247"/>
        <v>0</v>
      </c>
      <c r="J1969" s="210"/>
      <c r="K1969" s="65"/>
      <c r="L1969" s="379"/>
      <c r="M1969" s="65"/>
      <c r="N1969" s="65"/>
      <c r="O1969" s="356"/>
      <c r="P1969" s="65"/>
      <c r="Q1969" s="65"/>
      <c r="R1969" s="350"/>
    </row>
    <row r="1970" spans="1:18" s="12" customFormat="1" ht="24">
      <c r="A1970" s="159">
        <v>4218</v>
      </c>
      <c r="B1970" s="115" t="s">
        <v>614</v>
      </c>
      <c r="C1970" s="161"/>
      <c r="D1970" s="65">
        <f t="shared" si="243"/>
        <v>31308</v>
      </c>
      <c r="E1970" s="80">
        <f t="shared" si="249"/>
        <v>0</v>
      </c>
      <c r="F1970" s="452">
        <f t="shared" si="250"/>
        <v>0</v>
      </c>
      <c r="G1970" s="161">
        <v>31308</v>
      </c>
      <c r="H1970" s="65"/>
      <c r="I1970" s="426">
        <f t="shared" si="247"/>
        <v>0</v>
      </c>
      <c r="J1970" s="210"/>
      <c r="K1970" s="65"/>
      <c r="L1970" s="379"/>
      <c r="M1970" s="65"/>
      <c r="N1970" s="65"/>
      <c r="O1970" s="356"/>
      <c r="P1970" s="65"/>
      <c r="Q1970" s="65"/>
      <c r="R1970" s="350"/>
    </row>
    <row r="1971" spans="1:18" s="12" customFormat="1" ht="24">
      <c r="A1971" s="159">
        <v>4219</v>
      </c>
      <c r="B1971" s="115" t="s">
        <v>614</v>
      </c>
      <c r="C1971" s="161"/>
      <c r="D1971" s="65">
        <f t="shared" si="243"/>
        <v>5525</v>
      </c>
      <c r="E1971" s="80">
        <f t="shared" si="249"/>
        <v>0</v>
      </c>
      <c r="F1971" s="452">
        <f t="shared" si="250"/>
        <v>0</v>
      </c>
      <c r="G1971" s="161">
        <v>5525</v>
      </c>
      <c r="H1971" s="65"/>
      <c r="I1971" s="426">
        <f t="shared" si="247"/>
        <v>0</v>
      </c>
      <c r="J1971" s="210"/>
      <c r="K1971" s="65"/>
      <c r="L1971" s="379"/>
      <c r="M1971" s="65"/>
      <c r="N1971" s="65"/>
      <c r="O1971" s="356"/>
      <c r="P1971" s="65"/>
      <c r="Q1971" s="65"/>
      <c r="R1971" s="350"/>
    </row>
    <row r="1972" spans="1:18" s="12" customFormat="1" ht="19.5" customHeight="1">
      <c r="A1972" s="159">
        <v>4300</v>
      </c>
      <c r="B1972" s="115" t="s">
        <v>489</v>
      </c>
      <c r="C1972" s="161"/>
      <c r="D1972" s="65">
        <f>G1972+J1972+P1972+M1972</f>
        <v>20000</v>
      </c>
      <c r="E1972" s="80">
        <f>SUM(H1972+K1972+N1972+Q1972)</f>
        <v>0</v>
      </c>
      <c r="F1972" s="452">
        <f t="shared" si="250"/>
        <v>0</v>
      </c>
      <c r="G1972" s="161">
        <v>20000</v>
      </c>
      <c r="H1972" s="65"/>
      <c r="I1972" s="426">
        <f t="shared" si="247"/>
        <v>0</v>
      </c>
      <c r="J1972" s="210"/>
      <c r="K1972" s="65"/>
      <c r="L1972" s="379"/>
      <c r="M1972" s="65"/>
      <c r="N1972" s="65"/>
      <c r="O1972" s="356"/>
      <c r="P1972" s="65"/>
      <c r="Q1972" s="65"/>
      <c r="R1972" s="350"/>
    </row>
    <row r="1973" spans="1:18" s="12" customFormat="1" ht="19.5" customHeight="1">
      <c r="A1973" s="159">
        <v>4308</v>
      </c>
      <c r="B1973" s="115" t="s">
        <v>489</v>
      </c>
      <c r="C1973" s="161"/>
      <c r="D1973" s="65">
        <f t="shared" si="243"/>
        <v>514071</v>
      </c>
      <c r="E1973" s="80">
        <f t="shared" si="249"/>
        <v>2252</v>
      </c>
      <c r="F1973" s="452">
        <f t="shared" si="250"/>
        <v>0.4380717838586499</v>
      </c>
      <c r="G1973" s="161">
        <v>514071</v>
      </c>
      <c r="H1973" s="65">
        <v>2252</v>
      </c>
      <c r="I1973" s="426">
        <f t="shared" si="247"/>
        <v>0.4380717838586499</v>
      </c>
      <c r="J1973" s="210"/>
      <c r="K1973" s="65"/>
      <c r="L1973" s="379"/>
      <c r="M1973" s="65"/>
      <c r="N1973" s="65"/>
      <c r="O1973" s="356"/>
      <c r="P1973" s="65"/>
      <c r="Q1973" s="65"/>
      <c r="R1973" s="350"/>
    </row>
    <row r="1974" spans="1:18" s="12" customFormat="1" ht="16.5" customHeight="1">
      <c r="A1974" s="159">
        <v>4309</v>
      </c>
      <c r="B1974" s="115" t="s">
        <v>489</v>
      </c>
      <c r="C1974" s="161"/>
      <c r="D1974" s="65">
        <f t="shared" si="243"/>
        <v>90719</v>
      </c>
      <c r="E1974" s="80">
        <f t="shared" si="249"/>
        <v>398</v>
      </c>
      <c r="F1974" s="452">
        <f t="shared" si="250"/>
        <v>0.4387173579955687</v>
      </c>
      <c r="G1974" s="161">
        <v>90719</v>
      </c>
      <c r="H1974" s="65">
        <v>398</v>
      </c>
      <c r="I1974" s="426">
        <f t="shared" si="247"/>
        <v>0.4387173579955687</v>
      </c>
      <c r="J1974" s="210"/>
      <c r="K1974" s="65"/>
      <c r="L1974" s="379"/>
      <c r="M1974" s="65"/>
      <c r="N1974" s="65"/>
      <c r="O1974" s="356"/>
      <c r="P1974" s="65"/>
      <c r="Q1974" s="65"/>
      <c r="R1974" s="350"/>
    </row>
    <row r="1975" spans="1:18" s="12" customFormat="1" ht="27" customHeight="1">
      <c r="A1975" s="111">
        <v>4380</v>
      </c>
      <c r="B1975" s="115" t="s">
        <v>297</v>
      </c>
      <c r="C1975" s="161"/>
      <c r="D1975" s="65">
        <f>G1975+J1975+P1975+M1975</f>
        <v>5000</v>
      </c>
      <c r="E1975" s="80">
        <f>SUM(H1975+K1975+N1975+Q1975)</f>
        <v>0</v>
      </c>
      <c r="F1975" s="452">
        <f t="shared" si="250"/>
        <v>0</v>
      </c>
      <c r="G1975" s="161">
        <v>5000</v>
      </c>
      <c r="H1975" s="65"/>
      <c r="I1975" s="426">
        <f t="shared" si="247"/>
        <v>0</v>
      </c>
      <c r="J1975" s="210"/>
      <c r="K1975" s="65"/>
      <c r="L1975" s="379"/>
      <c r="M1975" s="65"/>
      <c r="N1975" s="65"/>
      <c r="O1975" s="356"/>
      <c r="P1975" s="65"/>
      <c r="Q1975" s="65"/>
      <c r="R1975" s="350"/>
    </row>
    <row r="1976" spans="1:18" s="105" customFormat="1" ht="25.5" customHeight="1">
      <c r="A1976" s="111">
        <v>4388</v>
      </c>
      <c r="B1976" s="115" t="s">
        <v>297</v>
      </c>
      <c r="C1976" s="79"/>
      <c r="D1976" s="65">
        <f t="shared" si="243"/>
        <v>6789</v>
      </c>
      <c r="E1976" s="80">
        <f t="shared" si="249"/>
        <v>847</v>
      </c>
      <c r="F1976" s="452">
        <f t="shared" si="250"/>
        <v>12.476064221534836</v>
      </c>
      <c r="G1976" s="79">
        <v>6789</v>
      </c>
      <c r="H1976" s="80">
        <v>847</v>
      </c>
      <c r="I1976" s="426">
        <f t="shared" si="247"/>
        <v>12.476064221534836</v>
      </c>
      <c r="J1976" s="207"/>
      <c r="K1976" s="80"/>
      <c r="L1976" s="379"/>
      <c r="M1976" s="80"/>
      <c r="N1976" s="80"/>
      <c r="O1976" s="356"/>
      <c r="P1976" s="80"/>
      <c r="Q1976" s="80"/>
      <c r="R1976" s="350"/>
    </row>
    <row r="1977" spans="1:18" s="105" customFormat="1" ht="26.25" customHeight="1">
      <c r="A1977" s="111">
        <v>4389</v>
      </c>
      <c r="B1977" s="115" t="s">
        <v>297</v>
      </c>
      <c r="C1977" s="79"/>
      <c r="D1977" s="65">
        <f>G1977+J1977+P1977+M1977</f>
        <v>1199</v>
      </c>
      <c r="E1977" s="80">
        <f>SUM(H1977+K1977+N1977+Q1977)</f>
        <v>150</v>
      </c>
      <c r="F1977" s="452">
        <f t="shared" si="250"/>
        <v>12.51042535446205</v>
      </c>
      <c r="G1977" s="79">
        <v>1199</v>
      </c>
      <c r="H1977" s="80">
        <v>150</v>
      </c>
      <c r="I1977" s="426">
        <f t="shared" si="247"/>
        <v>12.51042535446205</v>
      </c>
      <c r="J1977" s="207"/>
      <c r="K1977" s="80"/>
      <c r="L1977" s="379"/>
      <c r="M1977" s="80"/>
      <c r="N1977" s="80"/>
      <c r="O1977" s="356"/>
      <c r="P1977" s="80"/>
      <c r="Q1977" s="80"/>
      <c r="R1977" s="350"/>
    </row>
    <row r="1978" spans="1:18" s="105" customFormat="1" ht="12.75">
      <c r="A1978" s="111">
        <v>4430</v>
      </c>
      <c r="B1978" s="115" t="s">
        <v>491</v>
      </c>
      <c r="C1978" s="79"/>
      <c r="D1978" s="65">
        <f>G1978+J1978+P1978+M1978</f>
        <v>500</v>
      </c>
      <c r="E1978" s="80">
        <f>SUM(H1978+K1978+N1978+Q1978)</f>
        <v>0</v>
      </c>
      <c r="F1978" s="452">
        <f t="shared" si="250"/>
        <v>0</v>
      </c>
      <c r="G1978" s="79">
        <v>500</v>
      </c>
      <c r="H1978" s="80"/>
      <c r="I1978" s="426">
        <f t="shared" si="247"/>
        <v>0</v>
      </c>
      <c r="J1978" s="207"/>
      <c r="K1978" s="80"/>
      <c r="L1978" s="379"/>
      <c r="M1978" s="80"/>
      <c r="N1978" s="80"/>
      <c r="O1978" s="356"/>
      <c r="P1978" s="80"/>
      <c r="Q1978" s="80"/>
      <c r="R1978" s="350"/>
    </row>
    <row r="1979" spans="1:18" s="105" customFormat="1" ht="12.75">
      <c r="A1979" s="111">
        <v>4438</v>
      </c>
      <c r="B1979" s="115" t="s">
        <v>491</v>
      </c>
      <c r="C1979" s="79"/>
      <c r="D1979" s="65">
        <f>G1979+J1979+P1979+M1979</f>
        <v>9558</v>
      </c>
      <c r="E1979" s="80">
        <f>SUM(H1979+K1979+N1979+Q1979)</f>
        <v>0</v>
      </c>
      <c r="F1979" s="452">
        <f t="shared" si="250"/>
        <v>0</v>
      </c>
      <c r="G1979" s="79">
        <v>9558</v>
      </c>
      <c r="H1979" s="80"/>
      <c r="I1979" s="426">
        <f t="shared" si="247"/>
        <v>0</v>
      </c>
      <c r="J1979" s="207"/>
      <c r="K1979" s="80"/>
      <c r="L1979" s="379"/>
      <c r="M1979" s="80"/>
      <c r="N1979" s="80"/>
      <c r="O1979" s="356"/>
      <c r="P1979" s="80"/>
      <c r="Q1979" s="80"/>
      <c r="R1979" s="350"/>
    </row>
    <row r="1980" spans="1:18" s="105" customFormat="1" ht="13.5" thickBot="1">
      <c r="A1980" s="111">
        <v>4439</v>
      </c>
      <c r="B1980" s="115" t="s">
        <v>491</v>
      </c>
      <c r="C1980" s="79"/>
      <c r="D1980" s="65">
        <f t="shared" si="243"/>
        <v>1687</v>
      </c>
      <c r="E1980" s="80">
        <f t="shared" si="249"/>
        <v>0</v>
      </c>
      <c r="F1980" s="452">
        <f t="shared" si="250"/>
        <v>0</v>
      </c>
      <c r="G1980" s="79">
        <v>1687</v>
      </c>
      <c r="H1980" s="80"/>
      <c r="I1980" s="426">
        <f t="shared" si="247"/>
        <v>0</v>
      </c>
      <c r="J1980" s="207"/>
      <c r="K1980" s="80"/>
      <c r="L1980" s="379"/>
      <c r="M1980" s="80"/>
      <c r="N1980" s="80"/>
      <c r="O1980" s="356"/>
      <c r="P1980" s="80"/>
      <c r="Q1980" s="80"/>
      <c r="R1980" s="350"/>
    </row>
    <row r="1981" spans="1:18" s="13" customFormat="1" ht="39" customHeight="1" thickBot="1" thickTop="1">
      <c r="A1981" s="278">
        <v>926</v>
      </c>
      <c r="B1981" s="279" t="s">
        <v>200</v>
      </c>
      <c r="C1981" s="120">
        <f>SUM(C1982+C2001+C1998)</f>
        <v>13830750</v>
      </c>
      <c r="D1981" s="51">
        <f t="shared" si="243"/>
        <v>16093150</v>
      </c>
      <c r="E1981" s="51">
        <f>H1981+K1981+Q1981+N1981</f>
        <v>7258653</v>
      </c>
      <c r="F1981" s="480">
        <f t="shared" si="250"/>
        <v>45.10399144977833</v>
      </c>
      <c r="G1981" s="120">
        <f>SUM(G1982+G2001+G1998)</f>
        <v>16093150</v>
      </c>
      <c r="H1981" s="51">
        <f>SUM(H1982+H2001+H1998)</f>
        <v>7258653</v>
      </c>
      <c r="I1981" s="343">
        <f t="shared" si="247"/>
        <v>45.10399144977833</v>
      </c>
      <c r="J1981" s="314"/>
      <c r="K1981" s="51"/>
      <c r="L1981" s="407"/>
      <c r="M1981" s="51"/>
      <c r="N1981" s="51"/>
      <c r="O1981" s="378"/>
      <c r="P1981" s="51"/>
      <c r="Q1981" s="51"/>
      <c r="R1981" s="361"/>
    </row>
    <row r="1982" spans="1:18" ht="21.75" customHeight="1" thickTop="1">
      <c r="A1982" s="106">
        <v>92601</v>
      </c>
      <c r="B1982" s="172" t="s">
        <v>201</v>
      </c>
      <c r="C1982" s="108">
        <f>SUM(C1983:C1987)+C1994</f>
        <v>10236000</v>
      </c>
      <c r="D1982" s="58">
        <f t="shared" si="243"/>
        <v>11580500</v>
      </c>
      <c r="E1982" s="173">
        <f>H1982+K1982+Q1982+N1982</f>
        <v>4326184</v>
      </c>
      <c r="F1982" s="453">
        <f t="shared" si="250"/>
        <v>37.35748888217262</v>
      </c>
      <c r="G1982" s="108">
        <f>SUM(G1983:G1987)+G1994</f>
        <v>11580500</v>
      </c>
      <c r="H1982" s="75">
        <f>SUM(H1983:H1987)+H1994</f>
        <v>4326184</v>
      </c>
      <c r="I1982" s="301">
        <f t="shared" si="247"/>
        <v>37.35748888217262</v>
      </c>
      <c r="J1982" s="110"/>
      <c r="K1982" s="75"/>
      <c r="L1982" s="406"/>
      <c r="M1982" s="75"/>
      <c r="N1982" s="75"/>
      <c r="O1982" s="369"/>
      <c r="P1982" s="75"/>
      <c r="Q1982" s="75"/>
      <c r="R1982" s="360"/>
    </row>
    <row r="1983" spans="1:18" ht="61.5" customHeight="1" hidden="1">
      <c r="A1983" s="99">
        <v>2820</v>
      </c>
      <c r="B1983" s="186" t="s">
        <v>90</v>
      </c>
      <c r="C1983" s="79"/>
      <c r="D1983" s="65">
        <f t="shared" si="243"/>
        <v>0</v>
      </c>
      <c r="E1983" s="80">
        <f>H1983+K1983+Q1983+N1983</f>
        <v>0</v>
      </c>
      <c r="F1983" s="452" t="e">
        <f t="shared" si="250"/>
        <v>#DIV/0!</v>
      </c>
      <c r="G1983" s="79"/>
      <c r="H1983" s="95"/>
      <c r="I1983" s="211" t="e">
        <f t="shared" si="247"/>
        <v>#DIV/0!</v>
      </c>
      <c r="J1983" s="187"/>
      <c r="K1983" s="95"/>
      <c r="L1983" s="403"/>
      <c r="M1983" s="95"/>
      <c r="N1983" s="95"/>
      <c r="O1983" s="376"/>
      <c r="P1983" s="95"/>
      <c r="Q1983" s="95"/>
      <c r="R1983" s="353"/>
    </row>
    <row r="1984" spans="1:18" ht="25.5" customHeight="1">
      <c r="A1984" s="145">
        <v>4300</v>
      </c>
      <c r="B1984" s="146" t="s">
        <v>406</v>
      </c>
      <c r="C1984" s="147">
        <v>136000</v>
      </c>
      <c r="D1984" s="148">
        <f t="shared" si="243"/>
        <v>136000</v>
      </c>
      <c r="E1984" s="142">
        <f>H1984+K1984+Q1984+N1984</f>
        <v>67671</v>
      </c>
      <c r="F1984" s="453">
        <f t="shared" si="250"/>
        <v>49.75808823529412</v>
      </c>
      <c r="G1984" s="147">
        <v>136000</v>
      </c>
      <c r="H1984" s="142">
        <v>67671</v>
      </c>
      <c r="I1984" s="259">
        <f t="shared" si="247"/>
        <v>49.75808823529412</v>
      </c>
      <c r="J1984" s="149"/>
      <c r="K1984" s="142"/>
      <c r="L1984" s="404"/>
      <c r="M1984" s="142"/>
      <c r="N1984" s="142"/>
      <c r="O1984" s="375"/>
      <c r="P1984" s="142"/>
      <c r="Q1984" s="142"/>
      <c r="R1984" s="354"/>
    </row>
    <row r="1985" spans="1:18" ht="24" hidden="1">
      <c r="A1985" s="111">
        <v>4270</v>
      </c>
      <c r="B1985" s="115" t="s">
        <v>487</v>
      </c>
      <c r="C1985" s="79"/>
      <c r="D1985" s="65">
        <f t="shared" si="243"/>
        <v>0</v>
      </c>
      <c r="E1985" s="80">
        <f aca="true" t="shared" si="251" ref="E1985:E1993">SUM(H1985+K1985+N1985+Q1985)</f>
        <v>0</v>
      </c>
      <c r="F1985" s="452" t="e">
        <f t="shared" si="250"/>
        <v>#DIV/0!</v>
      </c>
      <c r="G1985" s="79"/>
      <c r="H1985" s="65"/>
      <c r="I1985" s="211" t="e">
        <f t="shared" si="247"/>
        <v>#DIV/0!</v>
      </c>
      <c r="J1985" s="113"/>
      <c r="K1985" s="80"/>
      <c r="L1985" s="379"/>
      <c r="M1985" s="80"/>
      <c r="N1985" s="80"/>
      <c r="O1985" s="356"/>
      <c r="P1985" s="80"/>
      <c r="Q1985" s="80"/>
      <c r="R1985" s="350"/>
    </row>
    <row r="1986" spans="1:18" ht="51" customHeight="1">
      <c r="A1986" s="111">
        <v>6010</v>
      </c>
      <c r="B1986" s="115" t="s">
        <v>309</v>
      </c>
      <c r="C1986" s="79">
        <v>6200000</v>
      </c>
      <c r="D1986" s="65">
        <f t="shared" si="243"/>
        <v>7100000</v>
      </c>
      <c r="E1986" s="80">
        <f t="shared" si="251"/>
        <v>3500000</v>
      </c>
      <c r="F1986" s="452">
        <f t="shared" si="250"/>
        <v>49.29577464788733</v>
      </c>
      <c r="G1986" s="79">
        <f>3000000+3200000-3200000+4100000</f>
        <v>7100000</v>
      </c>
      <c r="H1986" s="65">
        <v>3500000</v>
      </c>
      <c r="I1986" s="211">
        <f t="shared" si="247"/>
        <v>49.29577464788733</v>
      </c>
      <c r="J1986" s="113"/>
      <c r="K1986" s="80"/>
      <c r="L1986" s="379"/>
      <c r="M1986" s="80"/>
      <c r="N1986" s="80"/>
      <c r="O1986" s="356"/>
      <c r="P1986" s="80"/>
      <c r="Q1986" s="80"/>
      <c r="R1986" s="350"/>
    </row>
    <row r="1987" spans="1:18" ht="27.75" customHeight="1">
      <c r="A1987" s="111">
        <v>6050</v>
      </c>
      <c r="B1987" s="115" t="s">
        <v>549</v>
      </c>
      <c r="C1987" s="79">
        <f>SUM(C1988:C1993)</f>
        <v>3900000</v>
      </c>
      <c r="D1987" s="65">
        <f t="shared" si="243"/>
        <v>4344500</v>
      </c>
      <c r="E1987" s="80">
        <f t="shared" si="251"/>
        <v>758513</v>
      </c>
      <c r="F1987" s="452">
        <f t="shared" si="250"/>
        <v>17.459155253769136</v>
      </c>
      <c r="G1987" s="79">
        <f>SUM(G1988:G1993)</f>
        <v>4344500</v>
      </c>
      <c r="H1987" s="80">
        <f>SUM(H1988:H1993)</f>
        <v>758513</v>
      </c>
      <c r="I1987" s="211">
        <f t="shared" si="247"/>
        <v>17.459155253769136</v>
      </c>
      <c r="J1987" s="113"/>
      <c r="K1987" s="80"/>
      <c r="L1987" s="379"/>
      <c r="M1987" s="80"/>
      <c r="N1987" s="80"/>
      <c r="O1987" s="356"/>
      <c r="P1987" s="80"/>
      <c r="Q1987" s="80"/>
      <c r="R1987" s="350"/>
    </row>
    <row r="1988" spans="1:18" s="11" customFormat="1" ht="13.5" customHeight="1">
      <c r="A1988" s="151"/>
      <c r="B1988" s="220" t="s">
        <v>202</v>
      </c>
      <c r="C1988" s="221">
        <v>300000</v>
      </c>
      <c r="D1988" s="223">
        <f t="shared" si="243"/>
        <v>300000</v>
      </c>
      <c r="E1988" s="223">
        <f t="shared" si="251"/>
        <v>208745</v>
      </c>
      <c r="F1988" s="452">
        <f t="shared" si="250"/>
        <v>69.58166666666666</v>
      </c>
      <c r="G1988" s="221">
        <v>300000</v>
      </c>
      <c r="H1988" s="223">
        <f>28694+180051</f>
        <v>208745</v>
      </c>
      <c r="I1988" s="426">
        <f t="shared" si="247"/>
        <v>69.58166666666666</v>
      </c>
      <c r="J1988" s="224"/>
      <c r="K1988" s="223"/>
      <c r="L1988" s="379"/>
      <c r="M1988" s="223"/>
      <c r="N1988" s="223"/>
      <c r="O1988" s="379"/>
      <c r="P1988" s="223"/>
      <c r="Q1988" s="223"/>
      <c r="R1988" s="357"/>
    </row>
    <row r="1989" spans="1:18" s="11" customFormat="1" ht="24">
      <c r="A1989" s="151"/>
      <c r="B1989" s="220" t="s">
        <v>627</v>
      </c>
      <c r="C1989" s="221"/>
      <c r="D1989" s="223">
        <f>G1989+J1989+P1989+M1989</f>
        <v>734500</v>
      </c>
      <c r="E1989" s="223">
        <f>SUM(H1989+K1989+N1989+Q1989)</f>
        <v>0</v>
      </c>
      <c r="F1989" s="452">
        <f>E1989/D1989*100</f>
        <v>0</v>
      </c>
      <c r="G1989" s="221">
        <v>734500</v>
      </c>
      <c r="H1989" s="223"/>
      <c r="I1989" s="426">
        <f t="shared" si="247"/>
        <v>0</v>
      </c>
      <c r="J1989" s="224"/>
      <c r="K1989" s="223"/>
      <c r="L1989" s="379"/>
      <c r="M1989" s="223"/>
      <c r="N1989" s="223"/>
      <c r="O1989" s="379"/>
      <c r="P1989" s="223"/>
      <c r="Q1989" s="223"/>
      <c r="R1989" s="357"/>
    </row>
    <row r="1990" spans="1:18" s="11" customFormat="1" ht="24">
      <c r="A1990" s="151"/>
      <c r="B1990" s="220" t="s">
        <v>130</v>
      </c>
      <c r="C1990" s="221">
        <v>1800000</v>
      </c>
      <c r="D1990" s="223">
        <f>G1990+J1990+P1990+M1990</f>
        <v>1400000</v>
      </c>
      <c r="E1990" s="223">
        <f>SUM(H1990+K1990+N1990+Q1990)</f>
        <v>6614</v>
      </c>
      <c r="F1990" s="452">
        <f t="shared" si="250"/>
        <v>0.47242857142857136</v>
      </c>
      <c r="G1990" s="221">
        <f>1800000-400000</f>
        <v>1400000</v>
      </c>
      <c r="H1990" s="223">
        <v>6614</v>
      </c>
      <c r="I1990" s="426">
        <f t="shared" si="247"/>
        <v>0.47242857142857136</v>
      </c>
      <c r="J1990" s="224"/>
      <c r="K1990" s="223"/>
      <c r="L1990" s="379"/>
      <c r="M1990" s="223"/>
      <c r="N1990" s="223"/>
      <c r="O1990" s="379"/>
      <c r="P1990" s="223"/>
      <c r="Q1990" s="223"/>
      <c r="R1990" s="357"/>
    </row>
    <row r="1991" spans="1:18" s="11" customFormat="1" ht="24">
      <c r="A1991" s="151"/>
      <c r="B1991" s="220" t="s">
        <v>97</v>
      </c>
      <c r="C1991" s="221"/>
      <c r="D1991" s="223">
        <f>G1991+J1991+P1991+M1991</f>
        <v>160000</v>
      </c>
      <c r="E1991" s="223">
        <f>SUM(H1991+K1991+N1991+Q1991)</f>
        <v>157500</v>
      </c>
      <c r="F1991" s="452">
        <f t="shared" si="250"/>
        <v>98.4375</v>
      </c>
      <c r="G1991" s="221">
        <v>160000</v>
      </c>
      <c r="H1991" s="223">
        <v>157500</v>
      </c>
      <c r="I1991" s="426">
        <f t="shared" si="247"/>
        <v>98.4375</v>
      </c>
      <c r="J1991" s="224"/>
      <c r="K1991" s="223"/>
      <c r="L1991" s="379"/>
      <c r="M1991" s="223"/>
      <c r="N1991" s="223"/>
      <c r="O1991" s="379"/>
      <c r="P1991" s="223"/>
      <c r="Q1991" s="223"/>
      <c r="R1991" s="357"/>
    </row>
    <row r="1992" spans="1:18" s="11" customFormat="1" ht="24">
      <c r="A1992" s="151"/>
      <c r="B1992" s="220" t="s">
        <v>96</v>
      </c>
      <c r="C1992" s="221"/>
      <c r="D1992" s="223">
        <f>G1992+J1992+P1992+M1992</f>
        <v>350000</v>
      </c>
      <c r="E1992" s="223">
        <f>SUM(H1992+K1992+N1992+Q1992)</f>
        <v>342876</v>
      </c>
      <c r="F1992" s="452">
        <f t="shared" si="250"/>
        <v>97.96457142857142</v>
      </c>
      <c r="G1992" s="221">
        <v>350000</v>
      </c>
      <c r="H1992" s="223">
        <v>342876</v>
      </c>
      <c r="I1992" s="426">
        <f t="shared" si="247"/>
        <v>97.96457142857142</v>
      </c>
      <c r="J1992" s="224"/>
      <c r="K1992" s="223"/>
      <c r="L1992" s="379"/>
      <c r="M1992" s="223"/>
      <c r="N1992" s="223"/>
      <c r="O1992" s="379"/>
      <c r="P1992" s="223"/>
      <c r="Q1992" s="223"/>
      <c r="R1992" s="357"/>
    </row>
    <row r="1993" spans="1:18" s="11" customFormat="1" ht="24">
      <c r="A1993" s="151"/>
      <c r="B1993" s="220" t="s">
        <v>131</v>
      </c>
      <c r="C1993" s="221">
        <v>1800000</v>
      </c>
      <c r="D1993" s="223">
        <f t="shared" si="243"/>
        <v>1400000</v>
      </c>
      <c r="E1993" s="223">
        <f t="shared" si="251"/>
        <v>42778</v>
      </c>
      <c r="F1993" s="452">
        <f t="shared" si="250"/>
        <v>3.0555714285714286</v>
      </c>
      <c r="G1993" s="221">
        <f>1800000-400000</f>
        <v>1400000</v>
      </c>
      <c r="H1993" s="223">
        <v>42778</v>
      </c>
      <c r="I1993" s="426">
        <f t="shared" si="247"/>
        <v>3.0555714285714286</v>
      </c>
      <c r="J1993" s="224"/>
      <c r="K1993" s="223"/>
      <c r="L1993" s="379"/>
      <c r="M1993" s="223"/>
      <c r="N1993" s="223"/>
      <c r="O1993" s="379"/>
      <c r="P1993" s="223"/>
      <c r="Q1993" s="223"/>
      <c r="R1993" s="357"/>
    </row>
    <row r="1994" spans="1:18" s="130" customFormat="1" ht="48" hidden="1">
      <c r="A1994" s="122"/>
      <c r="B1994" s="123" t="s">
        <v>235</v>
      </c>
      <c r="C1994" s="124">
        <f>SUM(C1995:C1997)</f>
        <v>0</v>
      </c>
      <c r="D1994" s="126">
        <f aca="true" t="shared" si="252" ref="D1994:E1998">G1994+J1994+P1994+M1994</f>
        <v>0</v>
      </c>
      <c r="E1994" s="126">
        <f t="shared" si="252"/>
        <v>0</v>
      </c>
      <c r="F1994" s="452" t="e">
        <f t="shared" si="250"/>
        <v>#DIV/0!</v>
      </c>
      <c r="G1994" s="124">
        <f>SUM(G1995:G1997)</f>
        <v>0</v>
      </c>
      <c r="H1994" s="126">
        <f>SUM(H1995:H1997)</f>
        <v>0</v>
      </c>
      <c r="I1994" s="426" t="e">
        <f t="shared" si="247"/>
        <v>#DIV/0!</v>
      </c>
      <c r="J1994" s="127"/>
      <c r="K1994" s="126"/>
      <c r="L1994" s="392"/>
      <c r="M1994" s="126"/>
      <c r="N1994" s="126"/>
      <c r="O1994" s="388"/>
      <c r="P1994" s="126"/>
      <c r="Q1994" s="126"/>
      <c r="R1994" s="352"/>
    </row>
    <row r="1995" spans="1:18" s="130" customFormat="1" ht="24" hidden="1">
      <c r="A1995" s="111">
        <v>6050</v>
      </c>
      <c r="B1995" s="115" t="s">
        <v>549</v>
      </c>
      <c r="C1995" s="161"/>
      <c r="D1995" s="65">
        <f t="shared" si="252"/>
        <v>0</v>
      </c>
      <c r="E1995" s="65">
        <f t="shared" si="252"/>
        <v>0</v>
      </c>
      <c r="F1995" s="452" t="e">
        <f t="shared" si="250"/>
        <v>#DIV/0!</v>
      </c>
      <c r="G1995" s="161"/>
      <c r="H1995" s="65"/>
      <c r="I1995" s="426" t="e">
        <f t="shared" si="247"/>
        <v>#DIV/0!</v>
      </c>
      <c r="J1995" s="127"/>
      <c r="K1995" s="126"/>
      <c r="L1995" s="392"/>
      <c r="M1995" s="126"/>
      <c r="N1995" s="126"/>
      <c r="O1995" s="388"/>
      <c r="P1995" s="126"/>
      <c r="Q1995" s="126"/>
      <c r="R1995" s="352"/>
    </row>
    <row r="1996" spans="1:18" ht="24" hidden="1">
      <c r="A1996" s="111">
        <v>6058</v>
      </c>
      <c r="B1996" s="115" t="s">
        <v>549</v>
      </c>
      <c r="C1996" s="161"/>
      <c r="D1996" s="65">
        <f t="shared" si="252"/>
        <v>0</v>
      </c>
      <c r="E1996" s="65">
        <f t="shared" si="252"/>
        <v>0</v>
      </c>
      <c r="F1996" s="452" t="e">
        <f t="shared" si="250"/>
        <v>#DIV/0!</v>
      </c>
      <c r="G1996" s="79"/>
      <c r="H1996" s="80"/>
      <c r="I1996" s="426" t="e">
        <f t="shared" si="247"/>
        <v>#DIV/0!</v>
      </c>
      <c r="J1996" s="113"/>
      <c r="K1996" s="80"/>
      <c r="L1996" s="379"/>
      <c r="M1996" s="80"/>
      <c r="N1996" s="80"/>
      <c r="O1996" s="356"/>
      <c r="P1996" s="80"/>
      <c r="Q1996" s="80"/>
      <c r="R1996" s="350"/>
    </row>
    <row r="1997" spans="1:18" ht="24" hidden="1">
      <c r="A1997" s="111">
        <v>6059</v>
      </c>
      <c r="B1997" s="115" t="s">
        <v>549</v>
      </c>
      <c r="C1997" s="161"/>
      <c r="D1997" s="65">
        <f t="shared" si="252"/>
        <v>0</v>
      </c>
      <c r="E1997" s="65">
        <f t="shared" si="252"/>
        <v>0</v>
      </c>
      <c r="F1997" s="452" t="e">
        <f t="shared" si="250"/>
        <v>#DIV/0!</v>
      </c>
      <c r="G1997" s="79"/>
      <c r="H1997" s="80"/>
      <c r="I1997" s="426" t="e">
        <f t="shared" si="247"/>
        <v>#DIV/0!</v>
      </c>
      <c r="J1997" s="113"/>
      <c r="K1997" s="80"/>
      <c r="L1997" s="379"/>
      <c r="M1997" s="80"/>
      <c r="N1997" s="80"/>
      <c r="O1997" s="356"/>
      <c r="P1997" s="80"/>
      <c r="Q1997" s="80"/>
      <c r="R1997" s="350"/>
    </row>
    <row r="1998" spans="1:18" s="105" customFormat="1" ht="36">
      <c r="A1998" s="106">
        <v>92605</v>
      </c>
      <c r="B1998" s="172" t="s">
        <v>203</v>
      </c>
      <c r="C1998" s="108">
        <f>SUM(C1999:C1999)</f>
        <v>3400000</v>
      </c>
      <c r="D1998" s="86">
        <f t="shared" si="252"/>
        <v>3768000</v>
      </c>
      <c r="E1998" s="75">
        <f t="shared" si="252"/>
        <v>2324079</v>
      </c>
      <c r="F1998" s="451">
        <f t="shared" si="250"/>
        <v>61.67937898089172</v>
      </c>
      <c r="G1998" s="108">
        <f>SUM(G1999:G2000)</f>
        <v>3768000</v>
      </c>
      <c r="H1998" s="75">
        <f>SUM(H1999:H2000)</f>
        <v>2324079</v>
      </c>
      <c r="I1998" s="432">
        <f>H1998/G1998*100</f>
        <v>61.67937898089172</v>
      </c>
      <c r="J1998" s="110"/>
      <c r="K1998" s="75"/>
      <c r="L1998" s="406"/>
      <c r="M1998" s="75"/>
      <c r="N1998" s="75"/>
      <c r="O1998" s="369"/>
      <c r="P1998" s="75"/>
      <c r="Q1998" s="75"/>
      <c r="R1998" s="360"/>
    </row>
    <row r="1999" spans="1:18" ht="63.75" customHeight="1">
      <c r="A1999" s="111">
        <v>2820</v>
      </c>
      <c r="B1999" s="115" t="s">
        <v>54</v>
      </c>
      <c r="C1999" s="79">
        <v>3400000</v>
      </c>
      <c r="D1999" s="65">
        <f>G1999+J1999+P1999+M1999</f>
        <v>3768000</v>
      </c>
      <c r="E1999" s="80">
        <f aca="true" t="shared" si="253" ref="E1999:E2013">SUM(H1999+K1999+N1999+Q1999)</f>
        <v>2324079</v>
      </c>
      <c r="F1999" s="452">
        <f t="shared" si="250"/>
        <v>61.67937898089172</v>
      </c>
      <c r="G1999" s="79">
        <f>3400000+115000+8000+245000</f>
        <v>3768000</v>
      </c>
      <c r="H1999" s="80">
        <v>2324079</v>
      </c>
      <c r="I1999" s="448">
        <f>H1999/G1999*100</f>
        <v>61.67937898089172</v>
      </c>
      <c r="J1999" s="113"/>
      <c r="K1999" s="80"/>
      <c r="L1999" s="379"/>
      <c r="M1999" s="80"/>
      <c r="N1999" s="80"/>
      <c r="O1999" s="356"/>
      <c r="P1999" s="80"/>
      <c r="Q1999" s="80"/>
      <c r="R1999" s="350"/>
    </row>
    <row r="2000" spans="1:18" ht="27.75" customHeight="1" hidden="1">
      <c r="A2000" s="111">
        <v>4300</v>
      </c>
      <c r="B2000" s="115" t="s">
        <v>489</v>
      </c>
      <c r="C2000" s="79"/>
      <c r="D2000" s="65">
        <f>G2000+J2000+P2000+M2000</f>
        <v>0</v>
      </c>
      <c r="E2000" s="80">
        <f t="shared" si="253"/>
        <v>0</v>
      </c>
      <c r="F2000" s="452" t="e">
        <f t="shared" si="250"/>
        <v>#DIV/0!</v>
      </c>
      <c r="G2000" s="79"/>
      <c r="H2000" s="80"/>
      <c r="I2000" s="426" t="e">
        <f>H2000/G2000*100</f>
        <v>#DIV/0!</v>
      </c>
      <c r="J2000" s="113"/>
      <c r="K2000" s="80"/>
      <c r="L2000" s="379"/>
      <c r="M2000" s="80"/>
      <c r="N2000" s="80"/>
      <c r="O2000" s="356"/>
      <c r="P2000" s="80"/>
      <c r="Q2000" s="80"/>
      <c r="R2000" s="350"/>
    </row>
    <row r="2001" spans="1:18" ht="15.75" customHeight="1">
      <c r="A2001" s="106">
        <v>92695</v>
      </c>
      <c r="B2001" s="172" t="s">
        <v>204</v>
      </c>
      <c r="C2001" s="108">
        <f>SUM(C2003:C2013)</f>
        <v>194750</v>
      </c>
      <c r="D2001" s="86">
        <f>G2001+J2001+P2001+M2001</f>
        <v>744650</v>
      </c>
      <c r="E2001" s="75">
        <f>H2001+K2001+Q2001+N2001</f>
        <v>608390</v>
      </c>
      <c r="F2001" s="451">
        <f>E2001/D2001*100</f>
        <v>81.70147048949171</v>
      </c>
      <c r="G2001" s="108">
        <f>SUM(G2002:G2013)</f>
        <v>744650</v>
      </c>
      <c r="H2001" s="75">
        <f>SUM(H2002:H2013)</f>
        <v>608390</v>
      </c>
      <c r="I2001" s="432">
        <f>H2001/G2001*100</f>
        <v>81.70147048949171</v>
      </c>
      <c r="J2001" s="110"/>
      <c r="K2001" s="75"/>
      <c r="L2001" s="406"/>
      <c r="M2001" s="75"/>
      <c r="N2001" s="75"/>
      <c r="O2001" s="369"/>
      <c r="P2001" s="75"/>
      <c r="Q2001" s="75"/>
      <c r="R2001" s="360"/>
    </row>
    <row r="2002" spans="1:18" s="12" customFormat="1" ht="87.75" customHeight="1">
      <c r="A2002" s="598">
        <v>2820</v>
      </c>
      <c r="B2002" s="132" t="s">
        <v>132</v>
      </c>
      <c r="C2002" s="600"/>
      <c r="D2002" s="134">
        <f>G2002+J2002+P2002+M2002</f>
        <v>485000</v>
      </c>
      <c r="E2002" s="136">
        <f>SUM(H2002+K2002+N2002+Q2002)</f>
        <v>485000</v>
      </c>
      <c r="F2002" s="451">
        <f aca="true" t="shared" si="254" ref="F2002:F2019">E2002/D2002*100</f>
        <v>100</v>
      </c>
      <c r="G2002" s="600">
        <f>550000-65000</f>
        <v>485000</v>
      </c>
      <c r="H2002" s="134">
        <v>485000</v>
      </c>
      <c r="I2002" s="432">
        <f aca="true" t="shared" si="255" ref="I2002:I2013">H2002/G2002*100</f>
        <v>100</v>
      </c>
      <c r="J2002" s="601"/>
      <c r="K2002" s="134"/>
      <c r="L2002" s="395"/>
      <c r="M2002" s="134"/>
      <c r="N2002" s="134"/>
      <c r="O2002" s="369"/>
      <c r="P2002" s="134"/>
      <c r="Q2002" s="134"/>
      <c r="R2002" s="360"/>
    </row>
    <row r="2003" spans="1:18" ht="110.25" customHeight="1">
      <c r="A2003" s="99">
        <v>6230</v>
      </c>
      <c r="B2003" s="186" t="s">
        <v>133</v>
      </c>
      <c r="C2003" s="81"/>
      <c r="D2003" s="94">
        <f aca="true" t="shared" si="256" ref="D2003:D2013">G2003+J2003+P2003+M2003</f>
        <v>65000</v>
      </c>
      <c r="E2003" s="95">
        <f t="shared" si="253"/>
        <v>65000</v>
      </c>
      <c r="F2003" s="454">
        <f t="shared" si="254"/>
        <v>100</v>
      </c>
      <c r="G2003" s="81">
        <v>65000</v>
      </c>
      <c r="H2003" s="95">
        <v>65000</v>
      </c>
      <c r="I2003" s="448">
        <f t="shared" si="255"/>
        <v>100</v>
      </c>
      <c r="J2003" s="187"/>
      <c r="K2003" s="95"/>
      <c r="L2003" s="403"/>
      <c r="M2003" s="95"/>
      <c r="N2003" s="95"/>
      <c r="O2003" s="376"/>
      <c r="P2003" s="95"/>
      <c r="Q2003" s="95"/>
      <c r="R2003" s="353"/>
    </row>
    <row r="2004" spans="1:18" ht="39.75" customHeight="1">
      <c r="A2004" s="111">
        <v>3040</v>
      </c>
      <c r="B2004" s="115" t="s">
        <v>41</v>
      </c>
      <c r="C2004" s="79">
        <v>37000</v>
      </c>
      <c r="D2004" s="65">
        <f t="shared" si="256"/>
        <v>37000</v>
      </c>
      <c r="E2004" s="80">
        <f t="shared" si="253"/>
        <v>0</v>
      </c>
      <c r="F2004" s="452">
        <f t="shared" si="254"/>
        <v>0</v>
      </c>
      <c r="G2004" s="79">
        <v>37000</v>
      </c>
      <c r="H2004" s="80"/>
      <c r="I2004" s="426">
        <f t="shared" si="255"/>
        <v>0</v>
      </c>
      <c r="J2004" s="113"/>
      <c r="K2004" s="80"/>
      <c r="L2004" s="379"/>
      <c r="M2004" s="80"/>
      <c r="N2004" s="80"/>
      <c r="O2004" s="356"/>
      <c r="P2004" s="80"/>
      <c r="Q2004" s="80"/>
      <c r="R2004" s="350"/>
    </row>
    <row r="2005" spans="1:18" ht="12.75">
      <c r="A2005" s="111">
        <v>3250</v>
      </c>
      <c r="B2005" s="115" t="s">
        <v>299</v>
      </c>
      <c r="C2005" s="79">
        <v>70000</v>
      </c>
      <c r="D2005" s="65">
        <f>G2005+J2005+P2005+M2005</f>
        <v>70000</v>
      </c>
      <c r="E2005" s="80">
        <f>SUM(H2005+K2005+N2005+Q2005)</f>
        <v>33874</v>
      </c>
      <c r="F2005" s="452">
        <f>E2005/D2005*100</f>
        <v>48.39142857142858</v>
      </c>
      <c r="G2005" s="79">
        <v>70000</v>
      </c>
      <c r="H2005" s="80">
        <v>33874</v>
      </c>
      <c r="I2005" s="426">
        <f t="shared" si="255"/>
        <v>48.39142857142858</v>
      </c>
      <c r="J2005" s="113"/>
      <c r="K2005" s="80"/>
      <c r="L2005" s="379"/>
      <c r="M2005" s="80"/>
      <c r="N2005" s="80"/>
      <c r="O2005" s="356"/>
      <c r="P2005" s="80"/>
      <c r="Q2005" s="80"/>
      <c r="R2005" s="350"/>
    </row>
    <row r="2006" spans="1:18" ht="24">
      <c r="A2006" s="111">
        <v>4110</v>
      </c>
      <c r="B2006" s="262" t="s">
        <v>477</v>
      </c>
      <c r="C2006" s="79">
        <v>11000</v>
      </c>
      <c r="D2006" s="65">
        <f>G2006+J2006+P2006+M2006</f>
        <v>11000</v>
      </c>
      <c r="E2006" s="80">
        <f>SUM(H2006+K2006+N2006+Q2006)</f>
        <v>0</v>
      </c>
      <c r="F2006" s="452">
        <f>E2006/D2006*100</f>
        <v>0</v>
      </c>
      <c r="G2006" s="79">
        <v>11000</v>
      </c>
      <c r="H2006" s="80"/>
      <c r="I2006" s="426">
        <f t="shared" si="255"/>
        <v>0</v>
      </c>
      <c r="J2006" s="113"/>
      <c r="K2006" s="80"/>
      <c r="L2006" s="379"/>
      <c r="M2006" s="80"/>
      <c r="N2006" s="80"/>
      <c r="O2006" s="356"/>
      <c r="P2006" s="80"/>
      <c r="Q2006" s="80"/>
      <c r="R2006" s="350"/>
    </row>
    <row r="2007" spans="1:18" ht="12.75">
      <c r="A2007" s="111">
        <v>4120</v>
      </c>
      <c r="B2007" s="262" t="s">
        <v>547</v>
      </c>
      <c r="C2007" s="79">
        <v>1500</v>
      </c>
      <c r="D2007" s="65">
        <f>G2007+J2007+P2007+M2007</f>
        <v>1500</v>
      </c>
      <c r="E2007" s="80">
        <f>SUM(H2007+K2007+N2007+Q2007)</f>
        <v>0</v>
      </c>
      <c r="F2007" s="452">
        <f>E2007/D2007*100</f>
        <v>0</v>
      </c>
      <c r="G2007" s="79">
        <v>1500</v>
      </c>
      <c r="H2007" s="80"/>
      <c r="I2007" s="426">
        <f t="shared" si="255"/>
        <v>0</v>
      </c>
      <c r="J2007" s="113"/>
      <c r="K2007" s="80"/>
      <c r="L2007" s="379"/>
      <c r="M2007" s="80"/>
      <c r="N2007" s="80"/>
      <c r="O2007" s="356"/>
      <c r="P2007" s="80"/>
      <c r="Q2007" s="80"/>
      <c r="R2007" s="350"/>
    </row>
    <row r="2008" spans="1:18" ht="25.5" customHeight="1">
      <c r="A2008" s="111">
        <v>4210</v>
      </c>
      <c r="B2008" s="115" t="s">
        <v>614</v>
      </c>
      <c r="C2008" s="79">
        <v>23000</v>
      </c>
      <c r="D2008" s="65">
        <f>G2008+J2008+P2008+M2008</f>
        <v>23000</v>
      </c>
      <c r="E2008" s="80">
        <f>SUM(H2008+K2008+N2008+Q2008)</f>
        <v>9139</v>
      </c>
      <c r="F2008" s="452">
        <f t="shared" si="254"/>
        <v>39.73478260869565</v>
      </c>
      <c r="G2008" s="79">
        <v>23000</v>
      </c>
      <c r="H2008" s="80">
        <v>9139</v>
      </c>
      <c r="I2008" s="426">
        <f t="shared" si="255"/>
        <v>39.73478260869565</v>
      </c>
      <c r="J2008" s="113"/>
      <c r="K2008" s="80"/>
      <c r="L2008" s="379"/>
      <c r="M2008" s="80"/>
      <c r="N2008" s="80"/>
      <c r="O2008" s="356"/>
      <c r="P2008" s="80"/>
      <c r="Q2008" s="80"/>
      <c r="R2008" s="350"/>
    </row>
    <row r="2009" spans="1:18" ht="27" customHeight="1">
      <c r="A2009" s="111">
        <v>4210</v>
      </c>
      <c r="B2009" s="115" t="s">
        <v>205</v>
      </c>
      <c r="C2009" s="79">
        <v>18550</v>
      </c>
      <c r="D2009" s="65">
        <f t="shared" si="256"/>
        <v>18750</v>
      </c>
      <c r="E2009" s="80">
        <f t="shared" si="253"/>
        <v>4625</v>
      </c>
      <c r="F2009" s="452">
        <f t="shared" si="254"/>
        <v>24.666666666666668</v>
      </c>
      <c r="G2009" s="79">
        <f>18550+200</f>
        <v>18750</v>
      </c>
      <c r="H2009" s="80">
        <v>4625</v>
      </c>
      <c r="I2009" s="426">
        <f t="shared" si="255"/>
        <v>24.666666666666668</v>
      </c>
      <c r="J2009" s="113"/>
      <c r="K2009" s="80"/>
      <c r="L2009" s="379"/>
      <c r="M2009" s="80"/>
      <c r="N2009" s="80"/>
      <c r="O2009" s="356"/>
      <c r="P2009" s="80"/>
      <c r="Q2009" s="80"/>
      <c r="R2009" s="350"/>
    </row>
    <row r="2010" spans="1:18" ht="28.5" customHeight="1">
      <c r="A2010" s="111">
        <v>4300</v>
      </c>
      <c r="B2010" s="115" t="s">
        <v>310</v>
      </c>
      <c r="C2010" s="79">
        <v>21500</v>
      </c>
      <c r="D2010" s="65">
        <f>G2010+J2010+P2010+M2010</f>
        <v>21200</v>
      </c>
      <c r="E2010" s="80">
        <f>SUM(H2010+K2010+N2010+Q2010)</f>
        <v>9952</v>
      </c>
      <c r="F2010" s="452">
        <f>E2010/D2010*100</f>
        <v>46.943396226415096</v>
      </c>
      <c r="G2010" s="79">
        <f>21500-300</f>
        <v>21200</v>
      </c>
      <c r="H2010" s="80">
        <v>9952</v>
      </c>
      <c r="I2010" s="426">
        <f t="shared" si="255"/>
        <v>46.943396226415096</v>
      </c>
      <c r="J2010" s="113"/>
      <c r="K2010" s="80"/>
      <c r="L2010" s="379"/>
      <c r="M2010" s="80"/>
      <c r="N2010" s="80"/>
      <c r="O2010" s="356"/>
      <c r="P2010" s="80"/>
      <c r="Q2010" s="80"/>
      <c r="R2010" s="350"/>
    </row>
    <row r="2011" spans="1:18" ht="17.25" customHeight="1">
      <c r="A2011" s="111">
        <v>4300</v>
      </c>
      <c r="B2011" s="115" t="s">
        <v>489</v>
      </c>
      <c r="C2011" s="79">
        <v>12000</v>
      </c>
      <c r="D2011" s="65">
        <f t="shared" si="256"/>
        <v>12000</v>
      </c>
      <c r="E2011" s="80">
        <f t="shared" si="253"/>
        <v>800</v>
      </c>
      <c r="F2011" s="452">
        <f t="shared" si="254"/>
        <v>6.666666666666667</v>
      </c>
      <c r="G2011" s="79">
        <v>12000</v>
      </c>
      <c r="H2011" s="80">
        <v>800</v>
      </c>
      <c r="I2011" s="426">
        <f t="shared" si="255"/>
        <v>6.666666666666667</v>
      </c>
      <c r="J2011" s="113"/>
      <c r="K2011" s="80"/>
      <c r="L2011" s="379"/>
      <c r="M2011" s="80"/>
      <c r="N2011" s="80"/>
      <c r="O2011" s="356"/>
      <c r="P2011" s="80"/>
      <c r="Q2011" s="80"/>
      <c r="R2011" s="350"/>
    </row>
    <row r="2012" spans="1:18" ht="60" hidden="1">
      <c r="A2012" s="159">
        <v>4740</v>
      </c>
      <c r="B2012" s="326" t="s">
        <v>441</v>
      </c>
      <c r="C2012" s="79"/>
      <c r="D2012" s="65">
        <f>G2012+J2012+P2012+M2012</f>
        <v>0</v>
      </c>
      <c r="E2012" s="80">
        <f>SUM(H2012+K2012+N2012+Q2012)</f>
        <v>0</v>
      </c>
      <c r="F2012" s="452" t="e">
        <f>E2012/D2012*100</f>
        <v>#DIV/0!</v>
      </c>
      <c r="G2012" s="79"/>
      <c r="H2012" s="80"/>
      <c r="I2012" s="426" t="e">
        <f t="shared" si="255"/>
        <v>#DIV/0!</v>
      </c>
      <c r="J2012" s="113"/>
      <c r="K2012" s="80"/>
      <c r="L2012" s="379"/>
      <c r="M2012" s="80"/>
      <c r="N2012" s="80"/>
      <c r="O2012" s="356"/>
      <c r="P2012" s="80"/>
      <c r="Q2012" s="80"/>
      <c r="R2012" s="350"/>
    </row>
    <row r="2013" spans="1:18" ht="24" customHeight="1" thickBot="1">
      <c r="A2013" s="111">
        <v>4430</v>
      </c>
      <c r="B2013" s="115" t="s">
        <v>206</v>
      </c>
      <c r="C2013" s="79">
        <v>200</v>
      </c>
      <c r="D2013" s="65">
        <f t="shared" si="256"/>
        <v>200</v>
      </c>
      <c r="E2013" s="80">
        <f t="shared" si="253"/>
        <v>0</v>
      </c>
      <c r="F2013" s="452">
        <f t="shared" si="254"/>
        <v>0</v>
      </c>
      <c r="G2013" s="79">
        <v>200</v>
      </c>
      <c r="H2013" s="80"/>
      <c r="I2013" s="426">
        <f t="shared" si="255"/>
        <v>0</v>
      </c>
      <c r="J2013" s="113"/>
      <c r="K2013" s="80"/>
      <c r="L2013" s="379"/>
      <c r="M2013" s="80"/>
      <c r="N2013" s="80"/>
      <c r="O2013" s="356"/>
      <c r="P2013" s="80"/>
      <c r="Q2013" s="80"/>
      <c r="R2013" s="350"/>
    </row>
    <row r="2014" spans="1:18" s="318" customFormat="1" ht="16.5" customHeight="1" thickTop="1">
      <c r="A2014" s="315"/>
      <c r="B2014" s="316" t="s">
        <v>207</v>
      </c>
      <c r="C2014" s="202">
        <f>C8+C42+C35+C226+C1758+C188+C598+C997+C1817+C1014+C1076+C1981+C160+C268+C469+C502+C584+C589+C1543+C564+C1426+C496</f>
        <v>397537213</v>
      </c>
      <c r="D2014" s="58">
        <f>G2014+J2014+P2014+M2014</f>
        <v>413319656.54</v>
      </c>
      <c r="E2014" s="58">
        <f>E8+E42+E35+E226+E1758+E188+E598+E997+E1817+E1014+E1076+E1981+E160+E268+E469+E502+E584+E589+E1543+E564+E1426+E496</f>
        <v>176840665.54</v>
      </c>
      <c r="F2014" s="518">
        <f t="shared" si="254"/>
        <v>42.78544771385336</v>
      </c>
      <c r="G2014" s="202">
        <f>G8+G42+G35+G226+G1758+G188+G598+G997+G1817+G1014+G1076+G1981+G160+G268+G469+G502+G584+G589+G1543+G1426+G564+G496</f>
        <v>250677848</v>
      </c>
      <c r="H2014" s="58">
        <f>H8+H42+H35+H226+H1758+H188+H598+H997+H1817+H1014+H1076+H1981+H160+H268+H469+H502+H584+H589+H1543+H564+H1426+H496</f>
        <v>106201747</v>
      </c>
      <c r="I2014" s="483">
        <f>H2014/G2014*100</f>
        <v>42.36582843171687</v>
      </c>
      <c r="J2014" s="203">
        <f>J8+J42+J35+J226+J1758+J188+J598+J997+J1817+J1014+J1076+J1981+J160+J268+J469+J502+J584+J589+J1543+J1426+J564+J496</f>
        <v>23559562.54</v>
      </c>
      <c r="K2014" s="58">
        <f>K8+K42+K35+K226+K1758+K188+K598+K997+K1817+K1014+K1076+K1981+K160+K268+K469+K502+K584+K589+K1543+K1426+K564+K496</f>
        <v>10258126.54</v>
      </c>
      <c r="L2014" s="417">
        <f>K2014/J2014*100</f>
        <v>43.541243699171</v>
      </c>
      <c r="M2014" s="202">
        <f>M8+M42+M35+M226+M1758+M188+M598+M997+M1817+M1014+M1076+M1981+M160+M268+M469+M502+M584+M589+M1543+M1426+M564+M496</f>
        <v>130086490</v>
      </c>
      <c r="N2014" s="317">
        <f>N8+N42+N35+N226+N1758+N188+N598+N997+N1817+N1014+N1076+N1981+N160+N268+N469+N502+N584+N589+N1543+N564+N1426+N496</f>
        <v>55952714</v>
      </c>
      <c r="O2014" s="417">
        <f>N2014/M2014*100</f>
        <v>43.01193306084283</v>
      </c>
      <c r="P2014" s="204">
        <f>P8+P42+P35+P226+P1758+P188+P598+P997+P1817+P1014+P1076+P1981+P160+P268+P469+P502+P584+P589+P1543+P1426+P564+P496</f>
        <v>8995756</v>
      </c>
      <c r="Q2014" s="58">
        <f>Q8+Q42+Q35+Q226+Q1758+Q188+Q598+Q997+Q1817+Q1014+Q1076+Q1981+Q160+Q268+Q469+Q502+Q584+Q589+Q1543+Q1426+Q564+Q496</f>
        <v>4428078</v>
      </c>
      <c r="R2014" s="344">
        <f>Q2014/P2014*100</f>
        <v>49.224078554376085</v>
      </c>
    </row>
    <row r="2015" spans="1:18" s="321" customFormat="1" ht="15" customHeight="1">
      <c r="A2015" s="319"/>
      <c r="B2015" s="320" t="s">
        <v>208</v>
      </c>
      <c r="C2015" s="214">
        <v>365822836</v>
      </c>
      <c r="D2015" s="215">
        <f>G2015+M2015</f>
        <v>380764338</v>
      </c>
      <c r="E2015" s="215">
        <f>H2015+N2015</f>
        <v>162154461</v>
      </c>
      <c r="F2015" s="461">
        <f t="shared" si="254"/>
        <v>42.58656728509065</v>
      </c>
      <c r="G2015" s="214">
        <f>G2014</f>
        <v>250677848</v>
      </c>
      <c r="H2015" s="215">
        <f>H2014</f>
        <v>106201747</v>
      </c>
      <c r="I2015" s="426">
        <f>H2015/G2015*100</f>
        <v>42.36582843171687</v>
      </c>
      <c r="J2015" s="494"/>
      <c r="K2015" s="215"/>
      <c r="L2015" s="424"/>
      <c r="M2015" s="214">
        <f>M2014</f>
        <v>130086490</v>
      </c>
      <c r="N2015" s="215">
        <f>N2014</f>
        <v>55952714</v>
      </c>
      <c r="O2015" s="211">
        <f>N2015/M2015*100</f>
        <v>43.01193306084283</v>
      </c>
      <c r="P2015" s="216"/>
      <c r="Q2015" s="215"/>
      <c r="R2015" s="337"/>
    </row>
    <row r="2016" spans="1:18" s="11" customFormat="1" ht="12">
      <c r="A2016" s="332"/>
      <c r="B2016" s="580" t="s">
        <v>349</v>
      </c>
      <c r="C2016" s="221"/>
      <c r="D2016" s="223"/>
      <c r="E2016" s="223"/>
      <c r="F2016" s="452"/>
      <c r="G2016" s="333"/>
      <c r="H2016" s="223"/>
      <c r="I2016" s="426"/>
      <c r="J2016" s="333"/>
      <c r="K2016" s="223"/>
      <c r="L2016" s="423"/>
      <c r="M2016" s="333"/>
      <c r="N2016" s="223"/>
      <c r="O2016" s="265"/>
      <c r="P2016" s="224"/>
      <c r="Q2016" s="223"/>
      <c r="R2016" s="211"/>
    </row>
    <row r="2017" spans="1:18" s="11" customFormat="1" ht="42" customHeight="1">
      <c r="A2017" s="332"/>
      <c r="B2017" s="537" t="s">
        <v>346</v>
      </c>
      <c r="C2017" s="221">
        <f>100000+2512680</f>
        <v>2612680</v>
      </c>
      <c r="D2017" s="223">
        <f>G2017+J2017+M2017+P2017</f>
        <v>2648067</v>
      </c>
      <c r="E2017" s="223">
        <f>H2017+K2017+N2017+Q2017</f>
        <v>1188230</v>
      </c>
      <c r="F2017" s="461">
        <f t="shared" si="254"/>
        <v>44.87159879262874</v>
      </c>
      <c r="G2017" s="333">
        <f>G187</f>
        <v>0</v>
      </c>
      <c r="H2017" s="223">
        <f>H187</f>
        <v>0</v>
      </c>
      <c r="I2017" s="426"/>
      <c r="J2017" s="333"/>
      <c r="K2017" s="223"/>
      <c r="L2017" s="423"/>
      <c r="M2017" s="333">
        <f>M281+M1078+M1219+M1906+M1433+M1514+M1515</f>
        <v>2648067</v>
      </c>
      <c r="N2017" s="223">
        <f>N281+N1078+N1219+N1906+N1433+N1514+N1515</f>
        <v>1188230</v>
      </c>
      <c r="O2017" s="211">
        <f>N2017/M2017*100</f>
        <v>44.87159879262874</v>
      </c>
      <c r="P2017" s="224"/>
      <c r="Q2017" s="223"/>
      <c r="R2017" s="211"/>
    </row>
    <row r="2018" spans="1:18" s="534" customFormat="1" ht="13.5">
      <c r="A2018" s="319"/>
      <c r="B2018" s="531" t="s">
        <v>209</v>
      </c>
      <c r="C2018" s="214">
        <v>31692277</v>
      </c>
      <c r="D2018" s="215">
        <f>G2018+J2018+M2018+P2018</f>
        <v>32409082.54</v>
      </c>
      <c r="E2018" s="215">
        <f>H2018+K2018+N2018+Q2018</f>
        <v>14679535.54</v>
      </c>
      <c r="F2018" s="461">
        <f t="shared" si="254"/>
        <v>45.294511258941675</v>
      </c>
      <c r="G2018" s="494"/>
      <c r="H2018" s="215"/>
      <c r="I2018" s="533"/>
      <c r="J2018" s="494">
        <f>J2014-J2019</f>
        <v>23537962.54</v>
      </c>
      <c r="K2018" s="215">
        <f>K2014-K2019</f>
        <v>10257233.54</v>
      </c>
      <c r="L2018" s="424">
        <f>K2018/J2018*100</f>
        <v>43.57740616915775</v>
      </c>
      <c r="M2018" s="494"/>
      <c r="N2018" s="215"/>
      <c r="O2018" s="532"/>
      <c r="P2018" s="216">
        <f>P2014-P2019</f>
        <v>8871120</v>
      </c>
      <c r="Q2018" s="215">
        <f>Q2014-Q2019</f>
        <v>4422302</v>
      </c>
      <c r="R2018" s="337">
        <f>Q2018/P2018*100</f>
        <v>49.850548746945144</v>
      </c>
    </row>
    <row r="2019" spans="1:18" s="321" customFormat="1" ht="59.25" customHeight="1" thickBot="1">
      <c r="A2019" s="329"/>
      <c r="B2019" s="535" t="s">
        <v>19</v>
      </c>
      <c r="C2019" s="330">
        <v>22100</v>
      </c>
      <c r="D2019" s="322">
        <f>J2019+P2019</f>
        <v>146236</v>
      </c>
      <c r="E2019" s="322">
        <f>K2019+Q2019</f>
        <v>6669</v>
      </c>
      <c r="F2019" s="505">
        <f t="shared" si="254"/>
        <v>4.560436554610356</v>
      </c>
      <c r="G2019" s="330"/>
      <c r="H2019" s="322"/>
      <c r="I2019" s="418"/>
      <c r="J2019" s="536">
        <f>J263+J934+J1865+J1310+J921+J1411+J1417</f>
        <v>21600</v>
      </c>
      <c r="K2019" s="322">
        <f>K263+K934+K1865+K1310+K921+K1411+K1417</f>
        <v>893</v>
      </c>
      <c r="L2019" s="425">
        <f>K2019/J2019*100</f>
        <v>4.134259259259259</v>
      </c>
      <c r="M2019" s="330"/>
      <c r="N2019" s="331"/>
      <c r="O2019" s="438"/>
      <c r="P2019" s="330">
        <f>P388+P384+P70+P1346+P1933+P1417+P556+P1857</f>
        <v>124636</v>
      </c>
      <c r="Q2019" s="322">
        <f>Q388+Q384+Q70+Q1346+Q1933+Q1417+Q556+Q1857</f>
        <v>5776</v>
      </c>
      <c r="R2019" s="440">
        <f>Q2019/P2019*100</f>
        <v>4.634295067235791</v>
      </c>
    </row>
    <row r="2020" spans="1:18" s="321" customFormat="1" ht="15" customHeight="1" thickTop="1">
      <c r="A2020" s="527"/>
      <c r="B2020" s="320"/>
      <c r="C2020" s="528"/>
      <c r="D2020" s="529"/>
      <c r="E2020" s="528"/>
      <c r="F2020" s="475"/>
      <c r="G2020" s="528"/>
      <c r="H2020" s="528"/>
      <c r="I2020" s="423"/>
      <c r="J2020" s="529"/>
      <c r="K2020" s="528"/>
      <c r="L2020" s="423"/>
      <c r="M2020" s="528"/>
      <c r="N2020" s="530"/>
      <c r="O2020" s="424"/>
      <c r="P2020" s="528"/>
      <c r="Q2020" s="528"/>
      <c r="R2020" s="424"/>
    </row>
    <row r="2021" spans="1:14" ht="12.75">
      <c r="A2021" s="618" t="s">
        <v>37</v>
      </c>
      <c r="M2021" s="9"/>
      <c r="N2021" s="9"/>
    </row>
    <row r="2022" ht="12.75">
      <c r="A2022" s="618" t="s">
        <v>35</v>
      </c>
    </row>
    <row r="2023" ht="12.75">
      <c r="A2023" s="618" t="s">
        <v>36</v>
      </c>
    </row>
  </sheetData>
  <printOptions horizontalCentered="1"/>
  <pageMargins left="0" right="0" top="0.8661417322834646" bottom="0.7874015748031497" header="0.5118110236220472" footer="0.5118110236220472"/>
  <pageSetup firstPageNumber="139" useFirstPageNumber="1" horizontalDpi="600" verticalDpi="600" orientation="landscape" paperSize="9" scale="85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2009-08-20T10:28:29Z</cp:lastPrinted>
  <dcterms:created xsi:type="dcterms:W3CDTF">1997-02-26T13:46:56Z</dcterms:created>
  <dcterms:modified xsi:type="dcterms:W3CDTF">2009-09-07T10:37:26Z</dcterms:modified>
  <cp:category/>
  <cp:version/>
  <cp:contentType/>
  <cp:contentStatus/>
</cp:coreProperties>
</file>