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95" activeTab="0"/>
  </bookViews>
  <sheets>
    <sheet name="Tab 17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<sst xmlns="http://schemas.openxmlformats.org/spreadsheetml/2006/main" count="39" uniqueCount="33">
  <si>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Filharmonia Koszalińska</t>
  </si>
  <si>
    <t>OGÓŁEM</t>
  </si>
  <si>
    <t>Bałtycki Teatr Dramatyczny</t>
  </si>
  <si>
    <t>w tys. zł</t>
  </si>
  <si>
    <t>Lp</t>
  </si>
  <si>
    <t>PRZYCHODY WŁASNE</t>
  </si>
  <si>
    <t>DOTACJA</t>
  </si>
  <si>
    <t>Muzeum                                  w Koszalinie</t>
  </si>
  <si>
    <t xml:space="preserve">         </t>
  </si>
  <si>
    <t xml:space="preserve">NAZWA  </t>
  </si>
  <si>
    <t xml:space="preserve">  INSTYTUCJI  KULTURY</t>
  </si>
  <si>
    <t>Dynamika        5 : 3</t>
  </si>
  <si>
    <t>%     wykonania planu                      5 : 4</t>
  </si>
  <si>
    <t>Dynamika    10 : 8</t>
  </si>
  <si>
    <t>%     wykonania planu                     10 : 9</t>
  </si>
  <si>
    <t>Dynamika  15 : 13</t>
  </si>
  <si>
    <t>%     wykonania planu                 15 : 14</t>
  </si>
  <si>
    <t xml:space="preserve">zobowiązań </t>
  </si>
  <si>
    <t>należności</t>
  </si>
  <si>
    <t>WYNIK FINANSOWY</t>
  </si>
  <si>
    <t>KOSZTY OGÓŁEM</t>
  </si>
  <si>
    <t>Wykonanie         I  półrocze 2008</t>
  </si>
  <si>
    <t>Centrum Kultury 105       w Koszalinie</t>
  </si>
  <si>
    <t>Koszalińska      Biblioteka          Publiczna            i filie</t>
  </si>
  <si>
    <t>PLAN  NA   2009</t>
  </si>
  <si>
    <t>Wykonanie         I  półrocze 2009</t>
  </si>
  <si>
    <t>STAN NA 30-06-2009</t>
  </si>
  <si>
    <t>na                               30-06-09</t>
  </si>
  <si>
    <t xml:space="preserve">WYKONANIE  PLANÓW  FINANSOWYCH   INSTYTUCJI   KULTURY  ZA  I PÓŁROCZE   2009  ROKU </t>
  </si>
  <si>
    <t>Tabela nr 17</t>
  </si>
  <si>
    <t>Autor dokumentu: Barbara Hombek</t>
  </si>
  <si>
    <t>Wprowadził do BIP: Agnieszka Sulewska</t>
  </si>
  <si>
    <t>Data wprowadzenia do BIP: 07.09.2009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</si>
</sst>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_ ;\-#,##0.0\ "/>
    <numFmt numFmtId="166" formatCode="_-* #,##0.0\ _z_ł_-;\-* #,##0.0\ _z_ł_-;_-* &quot;-&quot;?\ _z_ł_-;_-@_-"/>
    <numFmt numFmtId="167" formatCode="#,##0.00_ ;\-#,##0.00\ "/>
    <numFmt numFmtId="168" formatCode="_-* #,##0.0\ _z_ł_-;\-* #,##0.0\ _z_ł_-;_-* &quot;-&quot;\ _z_ł_-;_-@_-"/>
    <numFmt numFmtId="169" formatCode="_-* #,##0.00\ _z_ł_-;\-* #,##0.00\ _z_ł_-;_-* &quot;-&quot;\ _z_ł_-;_-@_-"/>
    <numFmt numFmtId="170" formatCode="_-* #,##0.000\ _z_ł_-;\-* #,##0.000\ _z_ł_-;_-* &quot;-&quot;\ _z_ł_-;_-@_-"/>
    <numFmt numFmtId="171" formatCode="_-* #,##0.0000\ _z_ł_-;\-* #,##0.0000\ _z_ł_-;_-* &quot;-&quot;\ _z_ł_-;_-@_-"/>
    <numFmt numFmtId="172" formatCode="#,##0.0"/>
    <numFmt numFmtId="173" formatCode="#,##0.000"/>
    <numFmt numFmtId="174" formatCode="0.0"/>
  </numFmts>
  <fonts count="17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0"/>
    </font>
    <font>
      <b/>
      <sz val="13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5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Continuous" vertical="top" wrapText="1"/>
    </xf>
    <xf numFmtId="0" fontId="9" fillId="0" borderId="5" xfId="0" applyFont="1" applyBorder="1" applyAlignment="1">
      <alignment horizontal="centerContinuous" vertical="center" wrapText="1"/>
    </xf>
    <xf numFmtId="0" fontId="9" fillId="0" borderId="5" xfId="0" applyFont="1" applyBorder="1" applyAlignment="1">
      <alignment horizontal="centerContinuous" vertical="center" wrapText="1"/>
    </xf>
    <xf numFmtId="0" fontId="11" fillId="0" borderId="5" xfId="0" applyFont="1" applyBorder="1" applyAlignment="1">
      <alignment horizontal="centerContinuous" vertical="center" wrapText="1"/>
    </xf>
    <xf numFmtId="0" fontId="11" fillId="0" borderId="6" xfId="0" applyFont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" vertical="center" wrapText="1"/>
    </xf>
    <xf numFmtId="172" fontId="6" fillId="0" borderId="8" xfId="0" applyFont="1" applyBorder="1" applyAlignment="1">
      <alignment vertical="center"/>
    </xf>
    <xf numFmtId="172" fontId="6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Font="1" applyAlignment="1">
      <alignment/>
    </xf>
    <xf numFmtId="172" fontId="4" fillId="0" borderId="11" xfId="0" applyFont="1" applyBorder="1" applyAlignment="1">
      <alignment vertical="center"/>
    </xf>
    <xf numFmtId="172" fontId="4" fillId="0" borderId="12" xfId="0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2" fillId="0" borderId="1" xfId="0" applyFont="1" applyBorder="1" applyAlignment="1">
      <alignment horizontal="center" wrapText="1"/>
    </xf>
    <xf numFmtId="172" fontId="3" fillId="0" borderId="3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 vertical="center"/>
    </xf>
    <xf numFmtId="172" fontId="4" fillId="0" borderId="12" xfId="0" applyNumberFormat="1" applyFont="1" applyBorder="1" applyAlignment="1">
      <alignment vertical="center"/>
    </xf>
    <xf numFmtId="3" fontId="16" fillId="0" borderId="0" xfId="0" applyNumberFormat="1" applyFont="1" applyAlignment="1">
      <alignment/>
    </xf>
    <xf numFmtId="3" fontId="6" fillId="0" borderId="8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4">
      <selection activeCell="A14" sqref="A14:A16"/>
    </sheetView>
  </sheetViews>
  <sheetFormatPr defaultColWidth="9.00390625" defaultRowHeight="12.75"/>
  <cols>
    <col min="1" max="1" width="2.625" style="1" customWidth="1"/>
    <col min="2" max="2" width="8.625" style="4" customWidth="1"/>
    <col min="3" max="4" width="7.875" style="1" customWidth="1"/>
    <col min="5" max="5" width="8.00390625" style="1" customWidth="1"/>
    <col min="6" max="6" width="6.00390625" style="1" customWidth="1"/>
    <col min="7" max="7" width="6.25390625" style="1" customWidth="1"/>
    <col min="8" max="8" width="7.75390625" style="1" customWidth="1"/>
    <col min="9" max="9" width="8.875" style="1" customWidth="1"/>
    <col min="10" max="10" width="7.625" style="1" customWidth="1"/>
    <col min="11" max="11" width="5.625" style="1" customWidth="1"/>
    <col min="12" max="12" width="6.00390625" style="1" customWidth="1"/>
    <col min="13" max="14" width="8.75390625" style="1" customWidth="1"/>
    <col min="15" max="15" width="8.875" style="1" customWidth="1"/>
    <col min="16" max="17" width="5.875" style="1" customWidth="1"/>
    <col min="18" max="18" width="7.625" style="21" customWidth="1"/>
    <col min="19" max="19" width="8.00390625" style="21" customWidth="1"/>
    <col min="20" max="20" width="8.25390625" style="21" customWidth="1"/>
    <col min="21" max="16384" width="10.00390625" style="1" customWidth="1"/>
  </cols>
  <sheetData>
    <row r="1" spans="1:20" ht="20.25" customHeight="1">
      <c r="A1" s="1" t="s">
        <v>8</v>
      </c>
      <c r="G1" s="43"/>
      <c r="R1" s="35"/>
      <c r="S1" s="47" t="s">
        <v>29</v>
      </c>
      <c r="T1" s="36"/>
    </row>
    <row r="2" spans="1:20" s="2" customFormat="1" ht="36" customHeight="1">
      <c r="A2" s="5"/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"/>
      <c r="T2" s="5"/>
    </row>
    <row r="3" spans="2:20" s="2" customFormat="1" ht="18.75" customHeight="1" thickBot="1">
      <c r="B3" s="4"/>
      <c r="R3" s="6"/>
      <c r="T3" s="6" t="s">
        <v>3</v>
      </c>
    </row>
    <row r="4" spans="1:20" ht="32.25" customHeight="1" thickBot="1" thickTop="1">
      <c r="A4" s="7" t="s">
        <v>4</v>
      </c>
      <c r="B4" s="48" t="s">
        <v>9</v>
      </c>
      <c r="C4" s="8" t="s">
        <v>5</v>
      </c>
      <c r="D4" s="9"/>
      <c r="E4" s="9"/>
      <c r="F4" s="9"/>
      <c r="G4" s="9"/>
      <c r="H4" s="9" t="s">
        <v>6</v>
      </c>
      <c r="I4" s="9"/>
      <c r="J4" s="9"/>
      <c r="K4" s="9"/>
      <c r="L4" s="9"/>
      <c r="M4" s="9" t="s">
        <v>20</v>
      </c>
      <c r="N4" s="9"/>
      <c r="O4" s="9"/>
      <c r="P4" s="10"/>
      <c r="Q4" s="10"/>
      <c r="R4" s="51" t="s">
        <v>26</v>
      </c>
      <c r="S4" s="52"/>
      <c r="T4" s="33" t="s">
        <v>19</v>
      </c>
    </row>
    <row r="5" spans="1:20" ht="43.5" customHeight="1" thickBot="1" thickTop="1">
      <c r="A5" s="11"/>
      <c r="B5" s="49" t="s">
        <v>10</v>
      </c>
      <c r="C5" s="14" t="s">
        <v>21</v>
      </c>
      <c r="D5" s="13" t="s">
        <v>24</v>
      </c>
      <c r="E5" s="14" t="s">
        <v>25</v>
      </c>
      <c r="F5" s="15" t="s">
        <v>11</v>
      </c>
      <c r="G5" s="16" t="s">
        <v>12</v>
      </c>
      <c r="H5" s="14" t="s">
        <v>21</v>
      </c>
      <c r="I5" s="13" t="s">
        <v>24</v>
      </c>
      <c r="J5" s="14" t="s">
        <v>25</v>
      </c>
      <c r="K5" s="15" t="s">
        <v>13</v>
      </c>
      <c r="L5" s="16" t="s">
        <v>14</v>
      </c>
      <c r="M5" s="14" t="s">
        <v>21</v>
      </c>
      <c r="N5" s="13" t="s">
        <v>24</v>
      </c>
      <c r="O5" s="14" t="s">
        <v>25</v>
      </c>
      <c r="P5" s="15" t="s">
        <v>15</v>
      </c>
      <c r="Q5" s="16" t="s">
        <v>16</v>
      </c>
      <c r="R5" s="32" t="s">
        <v>17</v>
      </c>
      <c r="S5" s="32" t="s">
        <v>18</v>
      </c>
      <c r="T5" s="12" t="s">
        <v>27</v>
      </c>
    </row>
    <row r="6" spans="1:20" s="28" customFormat="1" ht="12" customHeight="1" thickBot="1" thickTop="1">
      <c r="A6" s="24">
        <v>1</v>
      </c>
      <c r="B6" s="29">
        <v>2</v>
      </c>
      <c r="C6" s="26">
        <v>3</v>
      </c>
      <c r="D6" s="26">
        <v>4</v>
      </c>
      <c r="E6" s="26">
        <v>5</v>
      </c>
      <c r="F6" s="26">
        <v>6</v>
      </c>
      <c r="G6" s="27">
        <v>7</v>
      </c>
      <c r="H6" s="26">
        <v>8</v>
      </c>
      <c r="I6" s="26">
        <v>9</v>
      </c>
      <c r="J6" s="26">
        <v>10</v>
      </c>
      <c r="K6" s="26">
        <v>11</v>
      </c>
      <c r="L6" s="27">
        <v>12</v>
      </c>
      <c r="M6" s="26">
        <v>13</v>
      </c>
      <c r="N6" s="26">
        <v>14</v>
      </c>
      <c r="O6" s="26">
        <v>15</v>
      </c>
      <c r="P6" s="26">
        <v>16</v>
      </c>
      <c r="Q6" s="27">
        <v>17</v>
      </c>
      <c r="R6" s="25">
        <v>18</v>
      </c>
      <c r="S6" s="25">
        <v>19</v>
      </c>
      <c r="T6" s="25">
        <v>20</v>
      </c>
    </row>
    <row r="7" spans="1:20" s="37" customFormat="1" ht="45.75" customHeight="1" thickTop="1">
      <c r="A7" s="30">
        <v>1</v>
      </c>
      <c r="B7" s="30" t="s">
        <v>22</v>
      </c>
      <c r="C7" s="38">
        <f>3697989-H7</f>
        <v>1908629</v>
      </c>
      <c r="D7" s="39">
        <f>784000+395000+430000+584000</f>
        <v>2193000</v>
      </c>
      <c r="E7" s="38">
        <f>480521+226543+406200+316985</f>
        <v>1430249</v>
      </c>
      <c r="F7" s="41">
        <f aca="true" t="shared" si="0" ref="F7:F12">E7/C7*100</f>
        <v>74.93593568996384</v>
      </c>
      <c r="G7" s="42">
        <f aca="true" t="shared" si="1" ref="G7:G12">E7/D7*100</f>
        <v>65.21883264933881</v>
      </c>
      <c r="H7" s="38">
        <v>1789360</v>
      </c>
      <c r="I7" s="39">
        <f>3439000+57196</f>
        <v>3496196</v>
      </c>
      <c r="J7" s="38">
        <f>2201212+57196</f>
        <v>2258408</v>
      </c>
      <c r="K7" s="41">
        <f aca="true" t="shared" si="2" ref="K7:K12">J7/H7*100</f>
        <v>126.2131711896991</v>
      </c>
      <c r="L7" s="42">
        <f aca="true" t="shared" si="3" ref="L7:L12">J7/I7*100</f>
        <v>64.59614964378427</v>
      </c>
      <c r="M7" s="38">
        <v>3636541</v>
      </c>
      <c r="N7" s="39">
        <v>5689196</v>
      </c>
      <c r="O7" s="38">
        <f>3057840+5693</f>
        <v>3063533</v>
      </c>
      <c r="P7" s="41">
        <f aca="true" t="shared" si="4" ref="P7:P12">O7/M7*100</f>
        <v>84.2430485453072</v>
      </c>
      <c r="Q7" s="42">
        <f aca="true" t="shared" si="5" ref="Q7:Q12">O7/N7*100</f>
        <v>53.84825905101529</v>
      </c>
      <c r="R7" s="40">
        <v>794590</v>
      </c>
      <c r="S7" s="40">
        <v>247725</v>
      </c>
      <c r="T7" s="40">
        <f>E7+J7-O7</f>
        <v>625124</v>
      </c>
    </row>
    <row r="8" spans="1:20" s="3" customFormat="1" ht="49.5" customHeight="1">
      <c r="A8" s="17">
        <v>2</v>
      </c>
      <c r="B8" s="31" t="s">
        <v>23</v>
      </c>
      <c r="C8" s="38">
        <f>2253700-H8</f>
        <v>332049</v>
      </c>
      <c r="D8" s="39">
        <f>4238518-I8</f>
        <v>197418</v>
      </c>
      <c r="E8" s="38">
        <f>2137535-J8</f>
        <v>106900</v>
      </c>
      <c r="F8" s="22">
        <f t="shared" si="0"/>
        <v>32.19404365018416</v>
      </c>
      <c r="G8" s="23">
        <f t="shared" si="1"/>
        <v>54.14906442168393</v>
      </c>
      <c r="H8" s="38">
        <v>1921651</v>
      </c>
      <c r="I8" s="39">
        <v>4041100</v>
      </c>
      <c r="J8" s="38">
        <v>2030635</v>
      </c>
      <c r="K8" s="22">
        <f t="shared" si="2"/>
        <v>105.67137320980761</v>
      </c>
      <c r="L8" s="23">
        <f t="shared" si="3"/>
        <v>50.24956076315854</v>
      </c>
      <c r="M8" s="38">
        <v>2150238</v>
      </c>
      <c r="N8" s="39">
        <f>4429036-190518</f>
        <v>4238518</v>
      </c>
      <c r="O8" s="38">
        <v>2097875</v>
      </c>
      <c r="P8" s="22">
        <f t="shared" si="4"/>
        <v>97.56478120096473</v>
      </c>
      <c r="Q8" s="23">
        <f t="shared" si="5"/>
        <v>49.49548403474988</v>
      </c>
      <c r="R8" s="40">
        <v>93598</v>
      </c>
      <c r="S8" s="40">
        <v>83083</v>
      </c>
      <c r="T8" s="40">
        <f>E8+J8-O8</f>
        <v>39660</v>
      </c>
    </row>
    <row r="9" spans="1:20" s="3" customFormat="1" ht="41.25" customHeight="1">
      <c r="A9" s="17">
        <v>3</v>
      </c>
      <c r="B9" s="31" t="s">
        <v>2</v>
      </c>
      <c r="C9" s="38">
        <f>1782526-H9</f>
        <v>514726</v>
      </c>
      <c r="D9" s="39">
        <f>4913206-I9</f>
        <v>1714206</v>
      </c>
      <c r="E9" s="38">
        <f>2311122-J9</f>
        <v>765626</v>
      </c>
      <c r="F9" s="22">
        <f>E9/C9*100</f>
        <v>148.74438050535625</v>
      </c>
      <c r="G9" s="23">
        <f>E9/D9*100</f>
        <v>44.66359352376552</v>
      </c>
      <c r="H9" s="38">
        <v>1267800</v>
      </c>
      <c r="I9" s="39">
        <f>3091000+108000</f>
        <v>3199000</v>
      </c>
      <c r="J9" s="38">
        <f>1545496</f>
        <v>1545496</v>
      </c>
      <c r="K9" s="22">
        <f t="shared" si="2"/>
        <v>121.90377031077458</v>
      </c>
      <c r="L9" s="23">
        <f t="shared" si="3"/>
        <v>48.311847452328855</v>
      </c>
      <c r="M9" s="38">
        <v>1750540</v>
      </c>
      <c r="N9" s="39">
        <v>4913206</v>
      </c>
      <c r="O9" s="38">
        <v>2290419</v>
      </c>
      <c r="P9" s="22">
        <f t="shared" si="4"/>
        <v>130.84071200886584</v>
      </c>
      <c r="Q9" s="23">
        <f t="shared" si="5"/>
        <v>46.61760569371608</v>
      </c>
      <c r="R9" s="40">
        <v>199450</v>
      </c>
      <c r="S9" s="40">
        <v>156143</v>
      </c>
      <c r="T9" s="40">
        <f>E9+J9-O9</f>
        <v>20703</v>
      </c>
    </row>
    <row r="10" spans="1:20" s="3" customFormat="1" ht="42" customHeight="1">
      <c r="A10" s="17">
        <v>4</v>
      </c>
      <c r="B10" s="31" t="s">
        <v>0</v>
      </c>
      <c r="C10" s="38">
        <f>1855559-H10</f>
        <v>407261</v>
      </c>
      <c r="D10" s="39">
        <f>3742000-I10</f>
        <v>445000</v>
      </c>
      <c r="E10" s="38">
        <f>1980754-J10</f>
        <v>394090</v>
      </c>
      <c r="F10" s="22">
        <f t="shared" si="0"/>
        <v>96.76595598400043</v>
      </c>
      <c r="G10" s="23">
        <f t="shared" si="1"/>
        <v>88.55955056179775</v>
      </c>
      <c r="H10" s="38">
        <v>1448298</v>
      </c>
      <c r="I10" s="39">
        <v>3297000</v>
      </c>
      <c r="J10" s="38">
        <v>1586664</v>
      </c>
      <c r="K10" s="22">
        <f t="shared" si="2"/>
        <v>109.55369682206286</v>
      </c>
      <c r="L10" s="23">
        <f t="shared" si="3"/>
        <v>48.12447679708826</v>
      </c>
      <c r="M10" s="38">
        <v>1927537</v>
      </c>
      <c r="N10" s="39">
        <v>3742000</v>
      </c>
      <c r="O10" s="38">
        <v>2045872</v>
      </c>
      <c r="P10" s="41">
        <f t="shared" si="4"/>
        <v>106.13918176408545</v>
      </c>
      <c r="Q10" s="23">
        <f t="shared" si="5"/>
        <v>54.673222875467665</v>
      </c>
      <c r="R10" s="40">
        <v>87705</v>
      </c>
      <c r="S10" s="40">
        <v>15577</v>
      </c>
      <c r="T10" s="40">
        <f>E10+J10-O10</f>
        <v>-65118</v>
      </c>
    </row>
    <row r="11" spans="1:20" s="3" customFormat="1" ht="37.5" customHeight="1" thickBot="1">
      <c r="A11" s="17">
        <v>5</v>
      </c>
      <c r="B11" s="31" t="s">
        <v>7</v>
      </c>
      <c r="C11" s="38">
        <f>1478791-H11</f>
        <v>320730</v>
      </c>
      <c r="D11" s="39">
        <f>2491425-I11</f>
        <v>208125</v>
      </c>
      <c r="E11" s="38">
        <f>1347420-J11</f>
        <v>218158</v>
      </c>
      <c r="F11" s="22">
        <f t="shared" si="0"/>
        <v>68.01920618588844</v>
      </c>
      <c r="G11" s="42">
        <f t="shared" si="1"/>
        <v>104.82066066066066</v>
      </c>
      <c r="H11" s="38">
        <v>1158061</v>
      </c>
      <c r="I11" s="39">
        <f>1926300+357000</f>
        <v>2283300</v>
      </c>
      <c r="J11" s="38">
        <f>962277+166985</f>
        <v>1129262</v>
      </c>
      <c r="K11" s="22">
        <f t="shared" si="2"/>
        <v>97.51317072244035</v>
      </c>
      <c r="L11" s="23">
        <f t="shared" si="3"/>
        <v>49.457451933604865</v>
      </c>
      <c r="M11" s="38">
        <v>1390965</v>
      </c>
      <c r="N11" s="39">
        <v>2491425</v>
      </c>
      <c r="O11" s="38">
        <v>1303683</v>
      </c>
      <c r="P11" s="22">
        <f t="shared" si="4"/>
        <v>93.7250757567588</v>
      </c>
      <c r="Q11" s="23">
        <f t="shared" si="5"/>
        <v>52.32680092718023</v>
      </c>
      <c r="R11" s="40">
        <v>164405</v>
      </c>
      <c r="S11" s="40">
        <v>188546</v>
      </c>
      <c r="T11" s="40">
        <f>E11+J11-O11</f>
        <v>43737</v>
      </c>
    </row>
    <row r="12" spans="1:20" s="20" customFormat="1" ht="33" customHeight="1" thickBot="1" thickTop="1">
      <c r="A12" s="53" t="s">
        <v>1</v>
      </c>
      <c r="B12" s="54"/>
      <c r="C12" s="44">
        <f>SUM(C7:C11)</f>
        <v>3483395</v>
      </c>
      <c r="D12" s="45">
        <f>SUM(D7:D11)</f>
        <v>4757749</v>
      </c>
      <c r="E12" s="44">
        <f>SUM(E7:E11)</f>
        <v>2915023</v>
      </c>
      <c r="F12" s="18">
        <f t="shared" si="0"/>
        <v>83.68338933712657</v>
      </c>
      <c r="G12" s="19">
        <f t="shared" si="1"/>
        <v>61.268953027997064</v>
      </c>
      <c r="H12" s="44">
        <f>SUM(H7:H11)</f>
        <v>7585170</v>
      </c>
      <c r="I12" s="45">
        <f>SUM(I7:I11)</f>
        <v>16316596</v>
      </c>
      <c r="J12" s="44">
        <f>SUM(J7:J11)</f>
        <v>8550465</v>
      </c>
      <c r="K12" s="18">
        <f t="shared" si="2"/>
        <v>112.72608260592709</v>
      </c>
      <c r="L12" s="19">
        <f t="shared" si="3"/>
        <v>52.40348538383864</v>
      </c>
      <c r="M12" s="44">
        <f>SUM(M7:M11)</f>
        <v>10855821</v>
      </c>
      <c r="N12" s="45">
        <f>SUM(N7:N11)</f>
        <v>21074345</v>
      </c>
      <c r="O12" s="44">
        <f>SUM(O7:O11)</f>
        <v>10801382</v>
      </c>
      <c r="P12" s="18">
        <f t="shared" si="4"/>
        <v>99.4985271035696</v>
      </c>
      <c r="Q12" s="19">
        <f t="shared" si="5"/>
        <v>51.253702072353846</v>
      </c>
      <c r="R12" s="46">
        <f>SUM(R7:R11)</f>
        <v>1339748</v>
      </c>
      <c r="S12" s="46">
        <f>SUM(S7:S11)</f>
        <v>691074</v>
      </c>
      <c r="T12" s="34">
        <f>SUM(T6:T11)</f>
        <v>664126</v>
      </c>
    </row>
    <row r="13" ht="13.5" thickTop="1"/>
    <row r="14" ht="12.75">
      <c r="A14" s="55" t="s">
        <v>30</v>
      </c>
    </row>
    <row r="15" ht="12.75">
      <c r="A15" s="55" t="s">
        <v>31</v>
      </c>
    </row>
    <row r="16" ht="12.75">
      <c r="A16" s="55" t="s">
        <v>32</v>
      </c>
    </row>
  </sheetData>
  <mergeCells count="3">
    <mergeCell ref="B2:R2"/>
    <mergeCell ref="R4:S4"/>
    <mergeCell ref="A12:B12"/>
  </mergeCells>
  <printOptions/>
  <pageMargins left="0.25" right="0.25" top="0.75" bottom="1" header="0.4" footer="0.5"/>
  <pageSetup firstPageNumber="98" useFirstPageNumber="1" horizontalDpi="600" verticalDpi="600" orientation="landscape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Sulewska</cp:lastModifiedBy>
  <cp:lastPrinted>2009-09-01T13:01:42Z</cp:lastPrinted>
  <dcterms:created xsi:type="dcterms:W3CDTF">2002-01-08T11:38:19Z</dcterms:created>
  <dcterms:modified xsi:type="dcterms:W3CDTF">2009-09-07T10:37:52Z</dcterms:modified>
  <cp:category/>
  <cp:version/>
  <cp:contentType/>
  <cp:contentStatus/>
</cp:coreProperties>
</file>