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60" windowWidth="18555" windowHeight="768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szpak</author>
  </authors>
  <commentList>
    <comment ref="G134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PGK-360.000zł
MEC-451.080zł</t>
        </r>
      </text>
    </comment>
    <comment ref="C193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błąd w układzie wykonawczym</t>
        </r>
      </text>
    </comment>
    <comment ref="B315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 wykonanie projektu budowlanego oraz renowacja rowu na odcinku od ul. Wrzosów do rzeku Dzierżęcinki</t>
        </r>
      </text>
    </comment>
  </commentList>
</comments>
</file>

<file path=xl/sharedStrings.xml><?xml version="1.0" encoding="utf-8"?>
<sst xmlns="http://schemas.openxmlformats.org/spreadsheetml/2006/main" count="691" uniqueCount="393">
  <si>
    <t>Tabela nr 4</t>
  </si>
  <si>
    <t>WYKONANIE   PLANU   DOCHODÓW   MIASTA   KOSZALINA   ZA   2009  ROK</t>
  </si>
  <si>
    <t>w złotych</t>
  </si>
  <si>
    <t xml:space="preserve">Dział rozdział § </t>
  </si>
  <si>
    <t>Wyszczególnienie</t>
  </si>
  <si>
    <t>OGÓŁEM</t>
  </si>
  <si>
    <t xml:space="preserve">GMINA </t>
  </si>
  <si>
    <t>POWIAT</t>
  </si>
  <si>
    <t>WŁASNE</t>
  </si>
  <si>
    <t>ZLECONE 
I POROZUMIENIA</t>
  </si>
  <si>
    <t>Plan         
pierwotny</t>
  </si>
  <si>
    <t xml:space="preserve">Plan po 
zmianach </t>
  </si>
  <si>
    <t>Wykonanie</t>
  </si>
  <si>
    <t>% wyk. planu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</si>
  <si>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</si>
  <si>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</si>
  <si>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</si>
  <si>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</si>
  <si>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</si>
  <si>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zleconych gminom</t>
  </si>
  <si>
    <t>600</t>
  </si>
  <si>
    <t>TRANSPORT  I  ŁĄCZNOŚĆ</t>
  </si>
  <si>
    <t>60001</t>
  </si>
  <si>
    <t>Krajowe pasażerskie przewozy kolejowe</t>
  </si>
  <si>
    <t>2910</t>
  </si>
  <si>
    <t>Wpływy ze zwrotów dotacji wykorzystanych niezgodnie z przeznaczeniem lub pobranych w nadmiernej wysokości</t>
  </si>
  <si>
    <t>60015</t>
  </si>
  <si>
    <t>Drogi publiczne w miastach na prawach powiatu</t>
  </si>
  <si>
    <t>0580</t>
  </si>
  <si>
    <t>Grzywny, mandaty i inne kary pieniężne od osób prawnych i innych jednostek organizacyjnych</t>
  </si>
  <si>
    <t>0970</t>
  </si>
  <si>
    <t>Wpływy z różnych dochodów</t>
  </si>
  <si>
    <t>6298</t>
  </si>
  <si>
    <r>
      <t xml:space="preserve">Środki na dofinansowanie własnych inwestycji gmin, powiatów pozyskane z innych źródeł - </t>
    </r>
    <r>
      <rPr>
        <b/>
        <i/>
        <sz val="9"/>
        <rFont val="Calibri"/>
        <family val="2"/>
      </rPr>
      <t>ul. Syrenki</t>
    </r>
  </si>
  <si>
    <t>6330</t>
  </si>
  <si>
    <t>Dotacje celowe otrzymane z budżetu państwa na realizację inwestycji i zakupów inwestycyjnych własnych gmin:</t>
  </si>
  <si>
    <t>ul. Waryńskiego</t>
  </si>
  <si>
    <t>ul. Kwiatkowskiego</t>
  </si>
  <si>
    <t>60016</t>
  </si>
  <si>
    <t>Drogi publiczne gminne</t>
  </si>
  <si>
    <t>Grzywny i inne kary pieniężne od osób prawnych i innych jednostek organizacyjnych</t>
  </si>
  <si>
    <t xml:space="preserve">Wpływy z różnych dochodów </t>
  </si>
  <si>
    <t>60017</t>
  </si>
  <si>
    <t>Drogi wewnętrzne</t>
  </si>
  <si>
    <t>60053</t>
  </si>
  <si>
    <t>Infrastruktura telekominikacyjna</t>
  </si>
  <si>
    <t>60095</t>
  </si>
  <si>
    <t>700</t>
  </si>
  <si>
    <t>GOSPODARKA MIESZKANIOWA</t>
  </si>
  <si>
    <t>70005</t>
  </si>
  <si>
    <t>Gospodarka gruntami i nieruchomościami</t>
  </si>
  <si>
    <t>0470</t>
  </si>
  <si>
    <t xml:space="preserve">Wpływy z opłat za zarząd, użytkowanie i użytkowanie wieczyste nieruchomości  </t>
  </si>
  <si>
    <t>0690</t>
  </si>
  <si>
    <r>
      <t>Wpływy z różnych opłat</t>
    </r>
    <r>
      <rPr>
        <i/>
        <sz val="8"/>
        <rFont val="Calibri"/>
        <family val="2"/>
      </rPr>
      <t xml:space="preserve"> </t>
    </r>
    <r>
      <rPr>
        <sz val="8"/>
        <rFont val="Calibri"/>
        <family val="2"/>
      </rPr>
      <t>(za zajęcie nieruchomości, za nieterminową zabudowę, za służebność, za bezumowne korzystanie)</t>
    </r>
  </si>
  <si>
    <t>0750</t>
  </si>
  <si>
    <t>Dochody z najmu i dzierżawy składników majątkowych Skarbu Państwa, jst lub innych jednostek zaliczanych do sektora finansów publicznych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</si>
  <si>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</si>
  <si>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</si>
  <si>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</si>
  <si>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 oraz prawa użytkowania wieczystego nieruchomości</t>
  </si>
  <si>
    <t>zwrot kosztów przygotowania nieruchomości do zbycia</t>
  </si>
  <si>
    <t>Polit. Koszalińska - za niedotrzymanie warunków umowy</t>
  </si>
  <si>
    <t>2110</t>
  </si>
  <si>
    <t>Dotacje celowe otrzymane z budżetu państwa na zadania bieżące z zakresu administracji rządowej oraz inne zadania zlecone ustawami realizowane przez powiat</t>
  </si>
  <si>
    <t>2360</t>
  </si>
  <si>
    <r>
      <t>Dochody jst związane z realizacją zadań z zakresu administracji rządowej oraz innych zadań zleconych ustawami</t>
    </r>
    <r>
      <rPr>
        <i/>
        <sz val="8"/>
        <rFont val="Calibri"/>
        <family val="2"/>
      </rPr>
      <t xml:space="preserve"> (25%  z majątku Skarbu Państwa)</t>
    </r>
  </si>
  <si>
    <t>710</t>
  </si>
  <si>
    <t>DZIAŁALNOŚĆ USŁUGOWA</t>
  </si>
  <si>
    <t>71004</t>
  </si>
  <si>
    <t>Plany zagospodarowania przestrzennego</t>
  </si>
  <si>
    <t>71013</t>
  </si>
  <si>
    <t>Prace geodezyjne i kartograficzne</t>
  </si>
  <si>
    <t>71014</t>
  </si>
  <si>
    <t>Opracowania geodezyjne i kartograficzne</t>
  </si>
  <si>
    <t>71015</t>
  </si>
  <si>
    <t xml:space="preserve">Nadzór  budowlany </t>
  </si>
  <si>
    <t>6410</t>
  </si>
  <si>
    <t>Dotacje celowe otrzymane z budżetu państwa na inwestycje i zakupy inwestycyjne z zakresu administracji rządowej oraz inne zadania zlecone ustawami realizowane przez powiat</t>
  </si>
  <si>
    <t>71035</t>
  </si>
  <si>
    <t>Cmentarze</t>
  </si>
  <si>
    <t>2020</t>
  </si>
  <si>
    <t xml:space="preserve">Dotacje celowe otrzymane z budżetu państwa na zadania bieżące realizowane przez gminę na podstawie porozumień z organami administracji rządowej  </t>
  </si>
  <si>
    <t>71095</t>
  </si>
  <si>
    <t>0830</t>
  </si>
  <si>
    <r>
      <t xml:space="preserve">Wpływy z usług </t>
    </r>
    <r>
      <rPr>
        <i/>
        <sz val="9"/>
        <rFont val="Calibri"/>
        <family val="2"/>
      </rPr>
      <t>(opłata cmentarna)</t>
    </r>
  </si>
  <si>
    <t>750</t>
  </si>
  <si>
    <t>ADMINISTRACJA  PUBLICZNA</t>
  </si>
  <si>
    <t>75011</t>
  </si>
  <si>
    <t>Urzędy wojewódzkie</t>
  </si>
  <si>
    <r>
      <t xml:space="preserve">Dochody jst związane z realizacją zadań z zakresu administracji rządowej oraz innych zadań zleconych ustawami </t>
    </r>
    <r>
      <rPr>
        <i/>
        <sz val="8.5"/>
        <rFont val="Calibri"/>
        <family val="2"/>
      </rPr>
      <t>(5% za dowody osobiste)</t>
    </r>
  </si>
  <si>
    <t>75020</t>
  </si>
  <si>
    <t>Starostwa powiatowe</t>
  </si>
  <si>
    <t>Wpływy z różnych opłat (za karty wędkarskie)</t>
  </si>
  <si>
    <t>75023</t>
  </si>
  <si>
    <t>Urzędy gmin</t>
  </si>
  <si>
    <r>
      <t xml:space="preserve">Wpływy z różnych opłat </t>
    </r>
    <r>
      <rPr>
        <i/>
        <sz val="8"/>
        <rFont val="Calibri"/>
        <family val="2"/>
      </rPr>
      <t>(karta parkingowa)</t>
    </r>
  </si>
  <si>
    <t>Dochody z najmu i dzierżawy składników majątkowych Skarbu Państwa, jst lub innych jednostek zaliczanych do sektora fin. publ.</t>
  </si>
  <si>
    <r>
      <t xml:space="preserve">Wpływy z różnych dochodów </t>
    </r>
    <r>
      <rPr>
        <i/>
        <sz val="8"/>
        <rFont val="Calibri"/>
        <family val="2"/>
      </rPr>
      <t>(rozmowy tel., media, recykling, szkolenia)</t>
    </r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</si>
  <si>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</si>
  <si>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</si>
  <si>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</si>
  <si>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</si>
  <si>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75075</t>
  </si>
  <si>
    <t>Promocja jednostek samorządu terytorialnego</t>
  </si>
  <si>
    <t>Wpływy z usług</t>
  </si>
  <si>
    <t>2708</t>
  </si>
  <si>
    <r>
      <t xml:space="preserve">Środki na dofinansowanie własnych zadań bieżących gmin pozyskane z innych źródeł - </t>
    </r>
    <r>
      <rPr>
        <b/>
        <i/>
        <sz val="8"/>
        <rFont val="Calibri"/>
        <family val="2"/>
      </rPr>
      <t>Polsko - Niemieckie Forum Gospodarcze 2008</t>
    </r>
  </si>
  <si>
    <t>75095</t>
  </si>
  <si>
    <t>0570</t>
  </si>
  <si>
    <t>Grzywny, mandaty i inne kary pieniężne od ludności - SM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</si>
  <si>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</si>
  <si>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</si>
  <si>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</si>
  <si>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</si>
  <si>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75113</t>
  </si>
  <si>
    <t>Wybory do Parlamentu Europejskiego</t>
  </si>
  <si>
    <t>754</t>
  </si>
  <si>
    <t>BEZPIECZEŃSTWO PUBLICZNE I OCHRONA PRZECIWPOŻAROWA</t>
  </si>
  <si>
    <t>75411</t>
  </si>
  <si>
    <t>Komendy powiatowe Państwowej Straży Pożarnej</t>
  </si>
  <si>
    <t>0920</t>
  </si>
  <si>
    <t>Pozostałe odsetki</t>
  </si>
  <si>
    <t>Dochody jst związane z realizacją zadań z zakresu administracji rządowej oraz innych zadań zleconych ustawami</t>
  </si>
  <si>
    <t>75414</t>
  </si>
  <si>
    <t>Obrona cywilna</t>
  </si>
  <si>
    <t>Dotacje celowe otrzymane z budżetu państwa na zadania bieżące z zakresu administracji rządowej oraz inne zadania zlecone ustawami realizowane przez gminę</t>
  </si>
  <si>
    <t>75495</t>
  </si>
  <si>
    <r>
      <t xml:space="preserve">Dotacje celowe otrzymane z budżetu państwa na zadania bieżące realizowane przez powiat na podstawie porozumień z organami administracji rządowej - </t>
    </r>
    <r>
      <rPr>
        <b/>
        <i/>
        <sz val="8"/>
        <rFont val="Calibri"/>
        <family val="2"/>
      </rPr>
      <t>Razem skuteczni, razem bezpieczni</t>
    </r>
  </si>
  <si>
    <t>756</t>
  </si>
  <si>
    <t xml:space="preserve">DOCHODY OD OSÓB PRAWNYCH, OD OSÓB  FIZYCZNYCH I OD INNYCH JEDNOSTEK NIEPOSIADAJĄCYCH OSOBOWOŚCI PRAWNEJ ORAZ WYDATKI ZWIĄZANE Z ICH POBOREM </t>
  </si>
  <si>
    <t>75601</t>
  </si>
  <si>
    <t>Wpływy z podatku dochodowego od osób fizycznych</t>
  </si>
  <si>
    <t>0350</t>
  </si>
  <si>
    <r>
      <t xml:space="preserve">Podatek od działalności gospodarczej osób fizycznych opłacany w formie </t>
    </r>
    <r>
      <rPr>
        <b/>
        <sz val="9"/>
        <rFont val="Calibri"/>
        <family val="2"/>
      </rPr>
      <t>karty podatkowej</t>
    </r>
  </si>
  <si>
    <t>75615</t>
  </si>
  <si>
    <t>Wpływy z podatku rolnego, podatku leśnego, podatku od czynności cywilnoprawnych, podatków i opłat lokalnych od osób prawnych 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</si>
  <si>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</si>
  <si>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</si>
  <si>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</si>
  <si>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</si>
  <si>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</si>
  <si>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</si>
  <si>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</si>
  <si>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</si>
  <si>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</si>
  <si>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</si>
  <si>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0500</t>
  </si>
  <si>
    <t>Podatek od czynności cywilno-prawnych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</si>
  <si>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</si>
  <si>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</si>
  <si>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</si>
  <si>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</si>
  <si>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0560</t>
  </si>
  <si>
    <t>Zaległości z podatków zniesionych</t>
  </si>
  <si>
    <t>2440</t>
  </si>
  <si>
    <t>Dotacje otrzymane z funduszy celowych na realizacje zadań bieżących jednostek sektora finansów publicznych</t>
  </si>
  <si>
    <t>75618</t>
  </si>
  <si>
    <t xml:space="preserve">Wpływy z innych opłat stanowiących dochody  j.s.t.  na podstawie ustaw </t>
  </si>
  <si>
    <t>0410</t>
  </si>
  <si>
    <t>Wpływy z opłaty skarbowej</t>
  </si>
  <si>
    <t>0420</t>
  </si>
  <si>
    <t>Wpływy z opłaty komunikacyjnej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</si>
  <si>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</si>
  <si>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</si>
  <si>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</si>
  <si>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</si>
  <si>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</si>
  <si>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 , z tego:</t>
  </si>
  <si>
    <t xml:space="preserve">opłaty za licencje na przewóz osób i rzeczy, Taxi, zezwolenia na linie komunikacji miejskiej, zaświadczenia i analizy (Km)   </t>
  </si>
  <si>
    <t>opłata za wpis do ewidencji działalności gospodarczej</t>
  </si>
  <si>
    <t>opłata prolongacyjna</t>
  </si>
  <si>
    <t>opłata adiacencka</t>
  </si>
  <si>
    <t>opłata planistyczna</t>
  </si>
  <si>
    <t>75619</t>
  </si>
  <si>
    <t>Wpływy z różnych rozliczeń</t>
  </si>
  <si>
    <t>0910</t>
  </si>
  <si>
    <t>Odsetki od nieterminowych wpłat z tytułu podatków i opłat</t>
  </si>
  <si>
    <t>75621</t>
  </si>
  <si>
    <t>Udziały gmin w podatkach stanowiących dochód budżetu państwa</t>
  </si>
  <si>
    <t>0010</t>
  </si>
  <si>
    <t xml:space="preserve">Podatek dochodowy od osób fizycznych  </t>
  </si>
  <si>
    <t>0020</t>
  </si>
  <si>
    <t xml:space="preserve">Podatek dochodowy od osób prawnych  </t>
  </si>
  <si>
    <t>75622</t>
  </si>
  <si>
    <t>Udziały  powiatów  w podatkach stanowiących dochód budżetu państwa</t>
  </si>
  <si>
    <t xml:space="preserve">Podatek dochodowy od osób fizycznych </t>
  </si>
  <si>
    <t>75624</t>
  </si>
  <si>
    <t>Dywidendy</t>
  </si>
  <si>
    <t>0740</t>
  </si>
  <si>
    <t>Wpływy z dywidend</t>
  </si>
  <si>
    <t>75647</t>
  </si>
  <si>
    <t>Pobór podatków, opłat i nieopodatkowanych należności budżetowych</t>
  </si>
  <si>
    <t xml:space="preserve">Wpływy z różnych opłat 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</si>
  <si>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</si>
  <si>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</si>
  <si>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</si>
  <si>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</si>
  <si>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</si>
  <si>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</si>
  <si>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75814</t>
  </si>
  <si>
    <t>Różne rozliczenia finansowe</t>
  </si>
  <si>
    <t>0900</t>
  </si>
  <si>
    <t>Odsetki od dotacji wykorzystanych niezgodnie z przeznaczeniem lub pobranych w nadmiernej wysokości</t>
  </si>
  <si>
    <t xml:space="preserve">Pozostałe odsetki </t>
  </si>
  <si>
    <t>dochody szkół za rozliczenia z ZUS i US</t>
  </si>
  <si>
    <t>rozliczenia lat ubiegłych (UM)</t>
  </si>
  <si>
    <t>75831</t>
  </si>
  <si>
    <t>Część równoważąca subwencji ogólnej dla  gmin</t>
  </si>
  <si>
    <t>75832</t>
  </si>
  <si>
    <t>Część równoważąca subwencji ogólnej dla  powiatów</t>
  </si>
  <si>
    <t>801</t>
  </si>
  <si>
    <t>OŚWIATA I WYCHOWANIE</t>
  </si>
  <si>
    <t>80101</t>
  </si>
  <si>
    <t>Szkoły podstawowe</t>
  </si>
  <si>
    <r>
      <t>Wpływy z różnych opłat</t>
    </r>
    <r>
      <rPr>
        <sz val="8"/>
        <rFont val="Calibri"/>
        <family val="2"/>
      </rPr>
      <t xml:space="preserve"> (za legitymacje i inne druki)</t>
    </r>
  </si>
  <si>
    <t>0870</t>
  </si>
  <si>
    <t>Wpływy ze sprzedaży składników majątkowych</t>
  </si>
  <si>
    <t>80102</t>
  </si>
  <si>
    <t>Szkoły podstawowe specjalne</t>
  </si>
  <si>
    <t>Wpływy z różnych opłat</t>
  </si>
  <si>
    <t>80104</t>
  </si>
  <si>
    <t>Przedszkola</t>
  </si>
  <si>
    <t>80110</t>
  </si>
  <si>
    <t>Gimnazja</t>
  </si>
  <si>
    <r>
      <t xml:space="preserve">Wpływy z różnych opłat </t>
    </r>
    <r>
      <rPr>
        <sz val="8"/>
        <rFont val="Calibri"/>
        <family val="2"/>
      </rPr>
      <t>(za legitymacje i inne druki)</t>
    </r>
  </si>
  <si>
    <r>
      <t xml:space="preserve">Dotacje celowe przekazane z budżetu państwa na realizację inwestycji i zakupów inwestycyjnych własnych gmin - </t>
    </r>
    <r>
      <rPr>
        <b/>
        <i/>
        <sz val="8"/>
        <rFont val="Calibri"/>
        <family val="2"/>
      </rPr>
      <t>Sala gimnastyczna wraz z boiskiem - Gimnazjum nr 6</t>
    </r>
  </si>
  <si>
    <t>80114</t>
  </si>
  <si>
    <t>Zespoły obsługi ekonomiczno-administracyjnej szkół</t>
  </si>
  <si>
    <t>80120</t>
  </si>
  <si>
    <t>Licea ogólnokształcące</t>
  </si>
  <si>
    <t>80130</t>
  </si>
  <si>
    <t xml:space="preserve">Szkoły zawodowe </t>
  </si>
  <si>
    <t>80140</t>
  </si>
  <si>
    <t>Centrum Kształcenia Ustawicznego</t>
  </si>
  <si>
    <t>80195</t>
  </si>
  <si>
    <r>
      <t>Dotacje celowe otrzymane z budżetu państwa na zadania bieżące realizowane przez gminę na podstawie porozumień z organami administracji rządowej -</t>
    </r>
    <r>
      <rPr>
        <i/>
        <sz val="9"/>
        <rFont val="Calibri"/>
        <family val="2"/>
      </rPr>
      <t xml:space="preserve"> podręczniki dla dzieci romskich</t>
    </r>
  </si>
  <si>
    <t>2030</t>
  </si>
  <si>
    <t>Dotacje celowe przekazane z budżetu państwa na realizację własnych  zadań bieżących gmin</t>
  </si>
  <si>
    <t>2130</t>
  </si>
  <si>
    <t>Dotacje celowe przekazane z budżetu państwa na realizację bieżących zadan własnych powiatu</t>
  </si>
  <si>
    <t>2700</t>
  </si>
  <si>
    <r>
      <t xml:space="preserve">Środki na dofinansowanie własnych zadań bieżących gmin pozyskane z innych źródeł - </t>
    </r>
    <r>
      <rPr>
        <b/>
        <i/>
        <sz val="9"/>
        <rFont val="Calibri"/>
        <family val="2"/>
      </rPr>
      <t xml:space="preserve">"Śpiewająca Polska" </t>
    </r>
  </si>
  <si>
    <t>2707</t>
  </si>
  <si>
    <t>Środki na dofinansowanie własnych zadań bieżących gmin pozyskane z innych źródeł:</t>
  </si>
  <si>
    <t>Program Comenius</t>
  </si>
  <si>
    <t xml:space="preserve"> Leonardo da Vinci</t>
  </si>
  <si>
    <t>Przeciwdziałanie wykluczeniu cyfrowemu uczniów</t>
  </si>
  <si>
    <t>2008</t>
  </si>
  <si>
    <t>Dotacje rozwojowe oraz środki na finansowanie Wspólnej Polityki Rolnej</t>
  </si>
  <si>
    <t>2009</t>
  </si>
  <si>
    <t>6208</t>
  </si>
  <si>
    <t>Dotacje rozwojowe</t>
  </si>
  <si>
    <t>6209</t>
  </si>
  <si>
    <t>851</t>
  </si>
  <si>
    <t>OCHRONA ZDROWIA</t>
  </si>
  <si>
    <t>85154</t>
  </si>
  <si>
    <t>Przeciwdziałanie alkoholizmowi</t>
  </si>
  <si>
    <t>85156</t>
  </si>
  <si>
    <t>Składki na ubezpieczenie zdrowotne oraz świadczenia dla osób nieobjętych obowiązkiem ubezpieczenia zdrowotnego</t>
  </si>
  <si>
    <t>85195</t>
  </si>
  <si>
    <r>
      <t xml:space="preserve">Wpływy z różnych dochodów </t>
    </r>
    <r>
      <rPr>
        <sz val="8"/>
        <rFont val="Calibri"/>
        <family val="2"/>
      </rPr>
      <t>(Izby wytrzeźwień)</t>
    </r>
  </si>
  <si>
    <t>852</t>
  </si>
  <si>
    <t>POMOC SPOŁECZNA</t>
  </si>
  <si>
    <t>85201</t>
  </si>
  <si>
    <t>Placówki opiekuńczo-wychowawcze</t>
  </si>
  <si>
    <t>85202</t>
  </si>
  <si>
    <t>Domy pomocy społecznej</t>
  </si>
  <si>
    <t>85203</t>
  </si>
  <si>
    <t>Ośrodki wsparcia</t>
  </si>
  <si>
    <r>
      <t>Wpływy z usług</t>
    </r>
    <r>
      <rPr>
        <sz val="8"/>
        <rFont val="Calibri"/>
        <family val="2"/>
      </rPr>
      <t xml:space="preserve"> (odpłatność za  pobyt w "Złotym Wieku")</t>
    </r>
  </si>
  <si>
    <t>Dotacje celowe otrzymane z budżetu państwa na realizację zadań bieżących z zakresu administracji rządowej oraz innych zadań zleconych gminie ustawami</t>
  </si>
  <si>
    <t>85204</t>
  </si>
  <si>
    <t>Rodziny zastępcze</t>
  </si>
  <si>
    <r>
      <t>Wpływy z różnych dochodów</t>
    </r>
    <r>
      <rPr>
        <sz val="8"/>
        <rFont val="Calibri"/>
        <family val="2"/>
      </rPr>
      <t xml:space="preserve"> (zwrot nienależnie pobranych świadczeń)</t>
    </r>
  </si>
  <si>
    <t>2320</t>
  </si>
  <si>
    <t>Dotacje celowe otrzymane z powiatu na zadania bieżące realizowane na podstawie porozumień (umów) między jst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</si>
  <si>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</si>
  <si>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</si>
  <si>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</si>
  <si>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</si>
  <si>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Dotacje celowe otrzymane z budżetu państwa na realizację własnych zadań bieżących gmin</t>
  </si>
  <si>
    <t>85214</t>
  </si>
  <si>
    <t>Zasiłki i pomoc w  naturze oraz składki na ubezpieczenia emerytalne i rentowe</t>
  </si>
  <si>
    <r>
      <t xml:space="preserve">Wpływy z różnych dochodów  </t>
    </r>
    <r>
      <rPr>
        <sz val="8"/>
        <rFont val="Calibri"/>
        <family val="2"/>
      </rPr>
      <t>(zwrot nienależnie pobranych świadczeń)</t>
    </r>
  </si>
  <si>
    <t>85215</t>
  </si>
  <si>
    <t>Dodatki mieszkaniowe</t>
  </si>
  <si>
    <r>
      <t xml:space="preserve">Wpływy z różnych dochodów </t>
    </r>
    <r>
      <rPr>
        <sz val="8"/>
        <rFont val="Calibri"/>
        <family val="2"/>
      </rPr>
      <t xml:space="preserve"> (zwrot nadpłaconych dodatków)</t>
    </r>
  </si>
  <si>
    <t>85218</t>
  </si>
  <si>
    <t>Powiatowe centra pomocy rodzinie</t>
  </si>
  <si>
    <t>85219</t>
  </si>
  <si>
    <t>Ośrodki pomocy społecznej</t>
  </si>
  <si>
    <t>85220</t>
  </si>
  <si>
    <t xml:space="preserve">Jednostki specjalistycznego poradnictwa, mieszkania chronione i ośrodki interwencji kryzysowej </t>
  </si>
  <si>
    <r>
      <t>Wpływy z usług</t>
    </r>
    <r>
      <rPr>
        <sz val="8"/>
        <rFont val="Calibri"/>
        <family val="2"/>
      </rPr>
      <t xml:space="preserve"> (odpłatność za pobyt w mieszkaniach chronionych)</t>
    </r>
  </si>
  <si>
    <t>85226</t>
  </si>
  <si>
    <t>Ośrodki opiekuńczo-wychowawcze</t>
  </si>
  <si>
    <t>85228</t>
  </si>
  <si>
    <t>Usługi opiekuńcze i specjalistyczne usługi opiekuńcze</t>
  </si>
  <si>
    <r>
      <t>Wpływy z usług</t>
    </r>
    <r>
      <rPr>
        <sz val="8"/>
        <rFont val="Calibri"/>
        <family val="2"/>
      </rPr>
      <t xml:space="preserve">  (odpłatność za usługi opiekuńcze)</t>
    </r>
  </si>
  <si>
    <t>85295</t>
  </si>
  <si>
    <r>
      <t xml:space="preserve">Wpływy z usług  </t>
    </r>
    <r>
      <rPr>
        <sz val="8"/>
        <rFont val="Calibri"/>
        <family val="2"/>
      </rPr>
      <t>(odpłatność za usługi transportowe)</t>
    </r>
  </si>
  <si>
    <r>
      <t xml:space="preserve">Wpływy z różnych dochodów - </t>
    </r>
    <r>
      <rPr>
        <b/>
        <i/>
        <sz val="8"/>
        <rFont val="Calibri"/>
        <family val="2"/>
      </rPr>
      <t>prace społecznie-użyteczne</t>
    </r>
  </si>
  <si>
    <t xml:space="preserve"> </t>
  </si>
  <si>
    <t>853</t>
  </si>
  <si>
    <t>POZOSTAŁE ZADANIA W ZAKRESIE POLITYKI SPOŁECZNEJ</t>
  </si>
  <si>
    <t>85305</t>
  </si>
  <si>
    <t>Żłobki</t>
  </si>
  <si>
    <t>85311</t>
  </si>
  <si>
    <t>Rehabilitacja zawodowa i społeczna osób niepełnosprawnych</t>
  </si>
  <si>
    <t>85321</t>
  </si>
  <si>
    <t>Zespoły do spraw orzekania o niepełnosprawności</t>
  </si>
  <si>
    <t>Dotacje celowe otrzymane z budżetu państwa na zadania  bieżące z zakresu administracji rządowej  oraz inne zadania zlecone ustawami realizowane przez powiat</t>
  </si>
  <si>
    <t>85324</t>
  </si>
  <si>
    <t>Państwowy Fundusz Rehabilitacji Osób Niepełnosprawnych</t>
  </si>
  <si>
    <t>Wpływy z różnych dochodów (PFRON)</t>
  </si>
  <si>
    <t>85395</t>
  </si>
  <si>
    <t>"Start"</t>
  </si>
  <si>
    <t>Szkoły zawodowe dodają skrzydeł</t>
  </si>
  <si>
    <t xml:space="preserve">Program poprawy osiągnięć edukacyjnych uczniów Gimnazjum nr 2 </t>
  </si>
  <si>
    <t>854</t>
  </si>
  <si>
    <t>EDUKACYJNA   OPIEKA WYCHOWAWCZA</t>
  </si>
  <si>
    <t>85403</t>
  </si>
  <si>
    <t>Specjalne ośrodki szkolno -wychowawcze</t>
  </si>
  <si>
    <t>85406</t>
  </si>
  <si>
    <t>Poradnia psychologiczno - pedagogiczna</t>
  </si>
  <si>
    <t>85407</t>
  </si>
  <si>
    <t>Placówki wychowania pozaszkolnego MDK</t>
  </si>
  <si>
    <t>85410</t>
  </si>
  <si>
    <t>Internaty i bursy szkolne</t>
  </si>
  <si>
    <t xml:space="preserve">Wpływy ze sprzedaży składników majątkowych </t>
  </si>
  <si>
    <t>85415</t>
  </si>
  <si>
    <t>Pomoc materialna dla uczniów</t>
  </si>
  <si>
    <t>Dotacje celowe otrzymane z budzetu państwa na realizazję własnych zadań bieżących gmin</t>
  </si>
  <si>
    <t>Europejski fundusz stypendialny…</t>
  </si>
  <si>
    <t>2888</t>
  </si>
  <si>
    <t>Dotacja celowa otrzymana przez jst od innej jst będącej instytucja wdrażającą na zadania bieżące realizowane na podstawie porozumień</t>
  </si>
  <si>
    <t>2889</t>
  </si>
  <si>
    <t>85417</t>
  </si>
  <si>
    <t>Szkolne schroniska młodzieżowe</t>
  </si>
  <si>
    <t>85495</t>
  </si>
  <si>
    <r>
      <t xml:space="preserve">Dotacje przekazane z funduszy celowych na realizacje zadań bieżących jednostek zaliczanych do sektora finansów publicznych </t>
    </r>
    <r>
      <rPr>
        <i/>
        <sz val="8"/>
        <rFont val="Calibri"/>
        <family val="2"/>
      </rPr>
      <t>(dla Pałacu Młodzieży - konkursy)</t>
    </r>
  </si>
  <si>
    <t>900</t>
  </si>
  <si>
    <t>GOSPODARKA KOMUNALNA I  OCHRONA ŚRODOWISKA</t>
  </si>
  <si>
    <t>90001</t>
  </si>
  <si>
    <t>Gospodarka ściekowa i ochrona wód</t>
  </si>
  <si>
    <t xml:space="preserve">Dotacje przekazane z funduszy celowych na realizacje zadań bieżących jednostek zaliczanych do sektora finansów publicznych </t>
  </si>
  <si>
    <t>90003</t>
  </si>
  <si>
    <t>Oczyszczanie miast i wsi</t>
  </si>
  <si>
    <t>90013</t>
  </si>
  <si>
    <t>Schroniska dla zwierząt</t>
  </si>
  <si>
    <t>Opłaty za schronisko</t>
  </si>
  <si>
    <t>90095</t>
  </si>
  <si>
    <t>6290</t>
  </si>
  <si>
    <r>
      <t>Środki na dofinansowanie własnych inwestycji gmin, powiatów, pozyskane z innych źródeł</t>
    </r>
    <r>
      <rPr>
        <sz val="8"/>
        <rFont val="Calibri"/>
        <family val="2"/>
      </rPr>
      <t xml:space="preserve"> - </t>
    </r>
    <r>
      <rPr>
        <b/>
        <i/>
        <sz val="8"/>
        <rFont val="Calibri"/>
        <family val="2"/>
      </rPr>
      <t>Inwestycyjne Inicjatywy Społeczne</t>
    </r>
  </si>
  <si>
    <t>921</t>
  </si>
  <si>
    <t>KULTURA I OCHRONA DZIEDZICTWA NARODOWEGO</t>
  </si>
  <si>
    <t>92105</t>
  </si>
  <si>
    <t>Pozostałe zadania w zakresie kultury</t>
  </si>
  <si>
    <r>
      <t>Środki na dofinansowanie własnych zadań bieżących gmin pozyskane z innych źródeł -</t>
    </r>
    <r>
      <rPr>
        <sz val="8"/>
        <rFont val="Calibri"/>
        <family val="2"/>
      </rPr>
      <t xml:space="preserve"> </t>
    </r>
    <r>
      <rPr>
        <b/>
        <i/>
        <sz val="8"/>
        <rFont val="Calibri"/>
        <family val="2"/>
      </rPr>
      <t>Umieć czytać historię - Polsko-Niemieckie Spotkania Archiwalne 2008</t>
    </r>
  </si>
  <si>
    <t>92106</t>
  </si>
  <si>
    <t>Teatry dramatyczne i lalkowe</t>
  </si>
  <si>
    <r>
      <t xml:space="preserve">Wpływy z różnych dochodów </t>
    </r>
    <r>
      <rPr>
        <i/>
        <sz val="8"/>
        <rFont val="Calibri"/>
        <family val="2"/>
      </rPr>
      <t>(rozliczenie warsztatów polsko-niemieckich)</t>
    </r>
  </si>
  <si>
    <t>2710</t>
  </si>
  <si>
    <t>Wpływy z tytułu pomocy finansowej udzielanej między jst na dofinansowanie własnych zadań bieżących</t>
  </si>
  <si>
    <r>
      <t>Środki na dofinansowanie własnych inwestycji gmin, powiatów pozyskane z innych źródeł</t>
    </r>
  </si>
  <si>
    <t>6420</t>
  </si>
  <si>
    <r>
      <t xml:space="preserve">Dotacje celowe otrzymane z budżetu państwa na inwestycje i zakupy inwestycyjne realizowane przez powiat na podstawie porozumień z organami administracji rządowej - </t>
    </r>
    <r>
      <rPr>
        <b/>
        <i/>
        <sz val="8"/>
        <rFont val="Calibri"/>
        <family val="2"/>
      </rPr>
      <t>Zakup sprzętu i oprogramowania komputerowego</t>
    </r>
  </si>
  <si>
    <t>92108</t>
  </si>
  <si>
    <t>Filharmonie, orkiestry, chóre i kapele</t>
  </si>
  <si>
    <r>
      <t>Dotacje celowe otrzymane z budżetu państwa na zadania bieżące realizowane przez gminę na podstawie porozumień z organami administracji rządowej -</t>
    </r>
    <r>
      <rPr>
        <b/>
        <i/>
        <sz val="8"/>
        <rFont val="Calibri"/>
        <family val="2"/>
      </rPr>
      <t xml:space="preserve"> Program na rzecz społeczności romskiej</t>
    </r>
  </si>
  <si>
    <t>92116</t>
  </si>
  <si>
    <t>Biblioteki</t>
  </si>
  <si>
    <t>926</t>
  </si>
  <si>
    <t>KULTURA FIZYCZNA I SPORT</t>
  </si>
  <si>
    <t>92601</t>
  </si>
  <si>
    <t>Obiekty sportowe</t>
  </si>
  <si>
    <r>
      <t>Środki na dofinansowanie własnych inwestycji gmin, powiatów pozyskane z innych źródeł -</t>
    </r>
    <r>
      <rPr>
        <sz val="8"/>
        <rFont val="Calibri"/>
        <family val="2"/>
      </rPr>
      <t xml:space="preserve"> </t>
    </r>
    <r>
      <rPr>
        <b/>
        <i/>
        <sz val="8"/>
        <rFont val="Calibri"/>
        <family val="2"/>
      </rPr>
      <t>Euroboiska</t>
    </r>
  </si>
  <si>
    <r>
      <t xml:space="preserve">Dotacje celowe przekazane z budżetu państwa na realizację inwestycji i zakupów inwestycyjnych własnych gmin - </t>
    </r>
    <r>
      <rPr>
        <b/>
        <i/>
        <sz val="8"/>
        <rFont val="Calibri"/>
        <family val="2"/>
      </rPr>
      <t>Hala widowiskowo - sportowa</t>
    </r>
  </si>
  <si>
    <t>Moje Boisko Orlik - 2012</t>
  </si>
  <si>
    <t>6300</t>
  </si>
  <si>
    <r>
      <t>Wpływy z tytułu pomocy finansowej udzielanej między jst na dofinansowanie własnych zadań inwestycyjnych i zakupów inwestycyjnych</t>
    </r>
    <r>
      <rPr>
        <b/>
        <i/>
        <sz val="9"/>
        <rFont val="Calibri"/>
        <family val="2"/>
      </rPr>
      <t xml:space="preserve"> </t>
    </r>
  </si>
  <si>
    <t xml:space="preserve">Dotacje celowe przekazane z budżetu państwa na realizację inwestycji i zakupów inwestycyjnych własnych gmin </t>
  </si>
  <si>
    <t>92695</t>
  </si>
  <si>
    <t xml:space="preserve"> VI Bałtyckie Igrzyska Młodzieży</t>
  </si>
  <si>
    <t>OGÓŁEM DOCHODY</t>
  </si>
  <si>
    <t>NA ZADANIA WŁASNE</t>
  </si>
  <si>
    <t>w tym:</t>
  </si>
  <si>
    <t xml:space="preserve">           porozumienia z jednostkami 
           samorządu terytorialnego</t>
  </si>
  <si>
    <t>NA ZADANIA ZLECONE</t>
  </si>
  <si>
    <t>POROZUMIENIA Z ORGANAMI ADMINISTRACJI RZĄDOWEJ</t>
  </si>
  <si>
    <t>GMINA OGÓŁEM</t>
  </si>
  <si>
    <t>POWIAT 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</si>
</sst>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6">
    <font>
      <sz val="10"/>
      <name val="Calibri"/>
      <family val="0"/>
    </font>
    <font>
      <sz val="9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7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i/>
      <sz val="7"/>
      <name val="Calibri"/>
      <family val="2"/>
    </font>
    <font>
      <i/>
      <sz val="10"/>
      <name val="Calibri"/>
      <family val="2"/>
    </font>
    <font>
      <sz val="8.5"/>
      <name val="Calibri"/>
      <family val="2"/>
    </font>
    <font>
      <i/>
      <sz val="8.5"/>
      <name val="Calibri"/>
      <family val="2"/>
    </font>
    <font>
      <b/>
      <i/>
      <sz val="8"/>
      <name val="Calibri"/>
      <family val="2"/>
    </font>
    <font>
      <b/>
      <i/>
      <sz val="10"/>
      <name val="Calibri"/>
      <family val="2"/>
    </font>
    <font>
      <i/>
      <sz val="7"/>
      <name val="Times New Roman CE"/>
      <family val="1"/>
    </font>
    <font>
      <b/>
      <sz val="9.5"/>
      <name val="Calibri"/>
      <family val="2"/>
    </font>
    <font>
      <b/>
      <i/>
      <sz val="7"/>
      <name val="Calibri"/>
      <family val="2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1" fillId="0" borderId="2" xfId="0" applyNumberFormat="1" applyFont="1" applyFill="1" applyBorder="1" applyAlignment="1" applyProtection="1">
      <alignment horizontal="centerContinuous"/>
      <protection locked="0"/>
    </xf>
    <xf numFmtId="1" fontId="1" fillId="0" borderId="3" xfId="0" applyNumberFormat="1" applyFont="1" applyFill="1" applyBorder="1" applyAlignment="1" applyProtection="1">
      <alignment horizontal="centerContinuous"/>
      <protection locked="0"/>
    </xf>
    <xf numFmtId="1" fontId="1" fillId="0" borderId="4" xfId="0" applyNumberFormat="1" applyFont="1" applyFill="1" applyBorder="1" applyAlignment="1" applyProtection="1">
      <alignment horizontal="centerContinuous"/>
      <protection locked="0"/>
    </xf>
    <xf numFmtId="1" fontId="1" fillId="0" borderId="5" xfId="0" applyNumberFormat="1" applyFont="1" applyFill="1" applyBorder="1" applyAlignment="1" applyProtection="1">
      <alignment horizontal="centerContinuous"/>
      <protection locked="0"/>
    </xf>
    <xf numFmtId="1" fontId="2" fillId="0" borderId="5" xfId="0" applyNumberFormat="1" applyFont="1" applyFill="1" applyBorder="1" applyAlignment="1" applyProtection="1">
      <alignment horizontal="centerContinuous"/>
      <protection locked="0"/>
    </xf>
    <xf numFmtId="1" fontId="1" fillId="0" borderId="6" xfId="0" applyNumberFormat="1" applyFont="1" applyFill="1" applyBorder="1" applyAlignment="1" applyProtection="1">
      <alignment horizontal="centerContinuous"/>
      <protection locked="0"/>
    </xf>
    <xf numFmtId="1" fontId="4" fillId="0" borderId="4" xfId="0" applyNumberFormat="1" applyFont="1" applyFill="1" applyBorder="1" applyAlignment="1" applyProtection="1">
      <alignment horizontal="centerContinuous"/>
      <protection locked="0"/>
    </xf>
    <xf numFmtId="1" fontId="3" fillId="0" borderId="0" xfId="0" applyNumberFormat="1" applyFont="1" applyFill="1" applyBorder="1" applyAlignment="1" applyProtection="1">
      <alignment horizontal="centerContinuous"/>
      <protection locked="0"/>
    </xf>
    <xf numFmtId="1" fontId="4" fillId="0" borderId="0" xfId="0" applyNumberFormat="1" applyFont="1" applyFill="1" applyBorder="1" applyAlignment="1" applyProtection="1">
      <alignment horizontal="left" wrapText="1"/>
      <protection locked="0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1" fontId="7" fillId="0" borderId="0" xfId="0" applyNumberFormat="1" applyFont="1" applyFill="1" applyBorder="1" applyAlignment="1" applyProtection="1">
      <alignment horizontal="left"/>
      <protection locked="0"/>
    </xf>
    <xf numFmtId="0" fontId="4" fillId="0" borderId="7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1" fontId="1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Continuous"/>
      <protection locked="0"/>
    </xf>
    <xf numFmtId="1" fontId="4" fillId="0" borderId="0" xfId="0" applyNumberFormat="1" applyFont="1" applyFill="1" applyBorder="1" applyAlignment="1" applyProtection="1">
      <alignment horizontal="centerContinuous"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0" fontId="0" fillId="0" borderId="7" xfId="0" applyBorder="1" applyAlignment="1">
      <alignment horizontal="right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9" xfId="0" applyFont="1" applyBorder="1" applyAlignment="1">
      <alignment/>
    </xf>
    <xf numFmtId="16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3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0" xfId="0" applyNumberFormat="1" applyFont="1" applyFill="1" applyBorder="1" applyAlignment="1" applyProtection="1">
      <alignment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vertical="center" wrapText="1"/>
      <protection locked="0"/>
    </xf>
    <xf numFmtId="1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8" xfId="0" applyNumberFormat="1" applyFont="1" applyFill="1" applyBorder="1" applyAlignment="1" applyProtection="1">
      <alignment horizontal="centerContinuous" vertical="center"/>
      <protection locked="0"/>
    </xf>
    <xf numFmtId="0" fontId="5" fillId="0" borderId="39" xfId="0" applyNumberFormat="1" applyFont="1" applyFill="1" applyBorder="1" applyAlignment="1" applyProtection="1">
      <alignment vertical="center" wrapText="1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165" fontId="4" fillId="0" borderId="40" xfId="0" applyNumberFormat="1" applyFont="1" applyFill="1" applyBorder="1" applyAlignment="1" applyProtection="1">
      <alignment vertical="center" wrapText="1"/>
      <protection locked="0"/>
    </xf>
    <xf numFmtId="165" fontId="4" fillId="0" borderId="41" xfId="0" applyNumberFormat="1" applyFont="1" applyFill="1" applyBorder="1" applyAlignment="1" applyProtection="1">
      <alignment vertical="center" wrapText="1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165" fontId="5" fillId="0" borderId="41" xfId="0" applyNumberFormat="1" applyFont="1" applyFill="1" applyBorder="1" applyAlignment="1" applyProtection="1">
      <alignment vertical="center"/>
      <protection locked="0"/>
    </xf>
    <xf numFmtId="165" fontId="4" fillId="0" borderId="41" xfId="0" applyNumberFormat="1" applyFont="1" applyFill="1" applyBorder="1" applyAlignment="1" applyProtection="1">
      <alignment vertical="center"/>
      <protection locked="0"/>
    </xf>
    <xf numFmtId="49" fontId="4" fillId="0" borderId="13" xfId="0" applyNumberFormat="1" applyFont="1" applyFill="1" applyBorder="1" applyAlignment="1" applyProtection="1">
      <alignment horizontal="centerContinuous" vertical="center"/>
      <protection locked="0"/>
    </xf>
    <xf numFmtId="0" fontId="4" fillId="0" borderId="31" xfId="0" applyNumberFormat="1" applyFont="1" applyFill="1" applyBorder="1" applyAlignment="1" applyProtection="1">
      <alignment vertical="center" wrapText="1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 wrapText="1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165" fontId="11" fillId="0" borderId="15" xfId="0" applyNumberFormat="1" applyFont="1" applyFill="1" applyBorder="1" applyAlignment="1" applyProtection="1">
      <alignment vertical="center" wrapText="1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165" fontId="11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165" fontId="7" fillId="0" borderId="34" xfId="0" applyNumberFormat="1" applyFont="1" applyFill="1" applyBorder="1" applyAlignment="1" applyProtection="1">
      <alignment vertical="center"/>
      <protection locked="0"/>
    </xf>
    <xf numFmtId="165" fontId="11" fillId="0" borderId="34" xfId="0" applyNumberFormat="1" applyFont="1" applyFill="1" applyBorder="1" applyAlignment="1" applyProtection="1">
      <alignment vertical="center"/>
      <protection locked="0"/>
    </xf>
    <xf numFmtId="49" fontId="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" fillId="0" borderId="4" xfId="0" applyNumberFormat="1" applyFont="1" applyFill="1" applyBorder="1" applyAlignment="1" applyProtection="1">
      <alignment vertical="center" wrapText="1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165" fontId="3" fillId="0" borderId="27" xfId="0" applyNumberFormat="1" applyFont="1" applyFill="1" applyBorder="1" applyAlignment="1" applyProtection="1">
      <alignment vertical="center" wrapText="1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165" fontId="3" fillId="0" borderId="17" xfId="0" applyNumberFormat="1" applyFont="1" applyFill="1" applyBorder="1" applyAlignment="1" applyProtection="1">
      <alignment vertical="center" wrapText="1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5" fontId="2" fillId="0" borderId="17" xfId="0" applyNumberFormat="1" applyFont="1" applyFill="1" applyBorder="1" applyAlignment="1" applyProtection="1">
      <alignment vertical="center"/>
      <protection locked="0"/>
    </xf>
    <xf numFmtId="165" fontId="3" fillId="0" borderId="17" xfId="0" applyNumberFormat="1" applyFont="1" applyFill="1" applyBorder="1" applyAlignment="1" applyProtection="1">
      <alignment vertical="center"/>
      <protection locked="0"/>
    </xf>
    <xf numFmtId="49" fontId="4" fillId="0" borderId="44" xfId="0" applyNumberFormat="1" applyFont="1" applyFill="1" applyBorder="1" applyAlignment="1" applyProtection="1">
      <alignment horizontal="centerContinuous" vertical="center"/>
      <protection locked="0"/>
    </xf>
    <xf numFmtId="0" fontId="4" fillId="0" borderId="45" xfId="0" applyNumberFormat="1" applyFont="1" applyFill="1" applyBorder="1" applyAlignment="1" applyProtection="1">
      <alignment vertical="center" wrapText="1"/>
      <protection locked="0"/>
    </xf>
    <xf numFmtId="3" fontId="4" fillId="0" borderId="44" xfId="0" applyNumberFormat="1" applyFont="1" applyFill="1" applyBorder="1" applyAlignment="1" applyProtection="1">
      <alignment vertical="center" wrapText="1"/>
      <protection locked="0"/>
    </xf>
    <xf numFmtId="3" fontId="4" fillId="0" borderId="46" xfId="0" applyNumberFormat="1" applyFont="1" applyFill="1" applyBorder="1" applyAlignment="1" applyProtection="1">
      <alignment vertical="center" wrapText="1"/>
      <protection locked="0"/>
    </xf>
    <xf numFmtId="165" fontId="11" fillId="0" borderId="45" xfId="0" applyNumberFormat="1" applyFont="1" applyFill="1" applyBorder="1" applyAlignment="1" applyProtection="1">
      <alignment vertical="center" wrapText="1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165" fontId="7" fillId="0" borderId="45" xfId="0" applyNumberFormat="1" applyFont="1" applyFill="1" applyBorder="1" applyAlignment="1" applyProtection="1">
      <alignment vertical="center"/>
      <protection locked="0"/>
    </xf>
    <xf numFmtId="3" fontId="4" fillId="0" borderId="47" xfId="0" applyNumberFormat="1" applyFont="1" applyFill="1" applyBorder="1" applyAlignment="1" applyProtection="1">
      <alignment vertical="center" wrapText="1"/>
      <protection locked="0"/>
    </xf>
    <xf numFmtId="165" fontId="11" fillId="0" borderId="45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/>
    </xf>
    <xf numFmtId="49" fontId="13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4" xfId="0" applyNumberFormat="1" applyFont="1" applyFill="1" applyBorder="1" applyAlignment="1" applyProtection="1">
      <alignment vertical="center" wrapText="1"/>
      <protection locked="0"/>
    </xf>
    <xf numFmtId="3" fontId="13" fillId="0" borderId="26" xfId="0" applyNumberFormat="1" applyFont="1" applyFill="1" applyBorder="1" applyAlignment="1" applyProtection="1">
      <alignment vertical="center" wrapText="1"/>
      <protection locked="0"/>
    </xf>
    <xf numFmtId="3" fontId="13" fillId="0" borderId="6" xfId="0" applyNumberFormat="1" applyFont="1" applyFill="1" applyBorder="1" applyAlignment="1" applyProtection="1">
      <alignment vertical="center" wrapText="1"/>
      <protection locked="0"/>
    </xf>
    <xf numFmtId="165" fontId="14" fillId="0" borderId="27" xfId="0" applyNumberFormat="1" applyFont="1" applyFill="1" applyBorder="1" applyAlignment="1" applyProtection="1">
      <alignment vertical="center" wrapText="1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0" borderId="6" xfId="0" applyNumberFormat="1" applyFont="1" applyFill="1" applyBorder="1" applyAlignment="1" applyProtection="1">
      <alignment vertical="center"/>
      <protection locked="0"/>
    </xf>
    <xf numFmtId="165" fontId="14" fillId="0" borderId="17" xfId="0" applyNumberFormat="1" applyFont="1" applyFill="1" applyBorder="1" applyAlignment="1" applyProtection="1">
      <alignment vertical="center" wrapText="1"/>
      <protection locked="0"/>
    </xf>
    <xf numFmtId="165" fontId="15" fillId="0" borderId="17" xfId="0" applyNumberFormat="1" applyFont="1" applyFill="1" applyBorder="1" applyAlignment="1" applyProtection="1">
      <alignment vertical="center"/>
      <protection locked="0"/>
    </xf>
    <xf numFmtId="165" fontId="14" fillId="0" borderId="17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Border="1" applyAlignment="1">
      <alignment/>
    </xf>
    <xf numFmtId="49" fontId="13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4" fillId="0" borderId="49" xfId="0" applyNumberFormat="1" applyFont="1" applyFill="1" applyBorder="1" applyAlignment="1" applyProtection="1">
      <alignment vertical="center" wrapText="1"/>
      <protection locked="0"/>
    </xf>
    <xf numFmtId="3" fontId="13" fillId="0" borderId="48" xfId="0" applyNumberFormat="1" applyFont="1" applyFill="1" applyBorder="1" applyAlignment="1" applyProtection="1">
      <alignment vertical="center" wrapText="1"/>
      <protection locked="0"/>
    </xf>
    <xf numFmtId="3" fontId="13" fillId="0" borderId="50" xfId="0" applyNumberFormat="1" applyFont="1" applyFill="1" applyBorder="1" applyAlignment="1" applyProtection="1">
      <alignment vertical="center" wrapText="1"/>
      <protection locked="0"/>
    </xf>
    <xf numFmtId="165" fontId="14" fillId="0" borderId="51" xfId="0" applyNumberFormat="1" applyFont="1" applyFill="1" applyBorder="1" applyAlignment="1" applyProtection="1">
      <alignment vertical="center" wrapText="1"/>
      <protection locked="0"/>
    </xf>
    <xf numFmtId="3" fontId="13" fillId="0" borderId="52" xfId="0" applyNumberFormat="1" applyFont="1" applyFill="1" applyBorder="1" applyAlignment="1" applyProtection="1">
      <alignment vertical="center"/>
      <protection locked="0"/>
    </xf>
    <xf numFmtId="3" fontId="13" fillId="0" borderId="50" xfId="0" applyNumberFormat="1" applyFont="1" applyFill="1" applyBorder="1" applyAlignment="1" applyProtection="1">
      <alignment vertical="center"/>
      <protection locked="0"/>
    </xf>
    <xf numFmtId="165" fontId="14" fillId="0" borderId="53" xfId="0" applyNumberFormat="1" applyFont="1" applyFill="1" applyBorder="1" applyAlignment="1" applyProtection="1">
      <alignment vertical="center" wrapText="1"/>
      <protection locked="0"/>
    </xf>
    <xf numFmtId="165" fontId="15" fillId="0" borderId="53" xfId="0" applyNumberFormat="1" applyFont="1" applyFill="1" applyBorder="1" applyAlignment="1" applyProtection="1">
      <alignment vertical="center"/>
      <protection locked="0"/>
    </xf>
    <xf numFmtId="165" fontId="14" fillId="0" borderId="53" xfId="0" applyNumberFormat="1" applyFont="1" applyFill="1" applyBorder="1" applyAlignment="1" applyProtection="1">
      <alignment vertical="center"/>
      <protection locked="0"/>
    </xf>
    <xf numFmtId="165" fontId="11" fillId="0" borderId="54" xfId="0" applyNumberFormat="1" applyFont="1" applyFill="1" applyBorder="1" applyAlignment="1" applyProtection="1">
      <alignment vertical="center" wrapText="1"/>
      <protection locked="0"/>
    </xf>
    <xf numFmtId="49" fontId="1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" fillId="0" borderId="56" xfId="0" applyNumberFormat="1" applyFont="1" applyFill="1" applyBorder="1" applyAlignment="1" applyProtection="1">
      <alignment vertical="center" wrapText="1"/>
      <protection locked="0"/>
    </xf>
    <xf numFmtId="3" fontId="1" fillId="0" borderId="55" xfId="0" applyNumberFormat="1" applyFont="1" applyFill="1" applyBorder="1" applyAlignment="1" applyProtection="1">
      <alignment vertical="center" wrapText="1"/>
      <protection locked="0"/>
    </xf>
    <xf numFmtId="3" fontId="1" fillId="0" borderId="57" xfId="0" applyNumberFormat="1" applyFont="1" applyFill="1" applyBorder="1" applyAlignment="1" applyProtection="1">
      <alignment vertical="center" wrapText="1"/>
      <protection locked="0"/>
    </xf>
    <xf numFmtId="165" fontId="3" fillId="0" borderId="56" xfId="0" applyNumberFormat="1" applyFont="1" applyFill="1" applyBorder="1" applyAlignment="1" applyProtection="1">
      <alignment vertical="center" wrapText="1"/>
      <protection locked="0"/>
    </xf>
    <xf numFmtId="3" fontId="1" fillId="0" borderId="58" xfId="0" applyNumberFormat="1" applyFont="1" applyFill="1" applyBorder="1" applyAlignment="1" applyProtection="1">
      <alignment vertical="center"/>
      <protection locked="0"/>
    </xf>
    <xf numFmtId="3" fontId="1" fillId="0" borderId="57" xfId="0" applyNumberFormat="1" applyFont="1" applyFill="1" applyBorder="1" applyAlignment="1" applyProtection="1">
      <alignment vertical="center"/>
      <protection locked="0"/>
    </xf>
    <xf numFmtId="165" fontId="2" fillId="0" borderId="56" xfId="0" applyNumberFormat="1" applyFont="1" applyFill="1" applyBorder="1" applyAlignment="1" applyProtection="1">
      <alignment vertical="center"/>
      <protection locked="0"/>
    </xf>
    <xf numFmtId="165" fontId="3" fillId="0" borderId="56" xfId="0" applyNumberFormat="1" applyFont="1" applyFill="1" applyBorder="1" applyAlignment="1" applyProtection="1">
      <alignment vertical="center"/>
      <protection locked="0"/>
    </xf>
    <xf numFmtId="0" fontId="1" fillId="0" borderId="45" xfId="0" applyNumberFormat="1" applyFont="1" applyFill="1" applyBorder="1" applyAlignment="1" applyProtection="1">
      <alignment vertical="center" wrapText="1"/>
      <protection locked="0"/>
    </xf>
    <xf numFmtId="165" fontId="3" fillId="0" borderId="45" xfId="0" applyNumberFormat="1" applyFont="1" applyFill="1" applyBorder="1" applyAlignment="1" applyProtection="1">
      <alignment vertical="center" wrapText="1"/>
      <protection locked="0"/>
    </xf>
    <xf numFmtId="49" fontId="1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" fillId="0" borderId="53" xfId="0" applyNumberFormat="1" applyFont="1" applyFill="1" applyBorder="1" applyAlignment="1" applyProtection="1">
      <alignment vertical="center" wrapText="1"/>
      <protection locked="0"/>
    </xf>
    <xf numFmtId="0" fontId="5" fillId="0" borderId="41" xfId="0" applyNumberFormat="1" applyFont="1" applyFill="1" applyBorder="1" applyAlignment="1" applyProtection="1">
      <alignment vertical="center" wrapText="1"/>
      <protection locked="0"/>
    </xf>
    <xf numFmtId="49" fontId="4" fillId="0" borderId="48" xfId="0" applyNumberFormat="1" applyFont="1" applyFill="1" applyBorder="1" applyAlignment="1" applyProtection="1">
      <alignment horizontal="centerContinuous" vertical="center"/>
      <protection locked="0"/>
    </xf>
    <xf numFmtId="0" fontId="4" fillId="0" borderId="53" xfId="0" applyNumberFormat="1" applyFont="1" applyFill="1" applyBorder="1" applyAlignment="1" applyProtection="1">
      <alignment vertical="center" wrapText="1"/>
      <protection locked="0"/>
    </xf>
    <xf numFmtId="3" fontId="4" fillId="0" borderId="48" xfId="0" applyNumberFormat="1" applyFont="1" applyFill="1" applyBorder="1" applyAlignment="1" applyProtection="1">
      <alignment vertical="center" wrapText="1"/>
      <protection locked="0"/>
    </xf>
    <xf numFmtId="3" fontId="4" fillId="0" borderId="50" xfId="0" applyNumberFormat="1" applyFont="1" applyFill="1" applyBorder="1" applyAlignment="1" applyProtection="1">
      <alignment vertical="center" wrapText="1"/>
      <protection locked="0"/>
    </xf>
    <xf numFmtId="165" fontId="11" fillId="0" borderId="53" xfId="0" applyNumberFormat="1" applyFont="1" applyFill="1" applyBorder="1" applyAlignment="1" applyProtection="1">
      <alignment vertical="center" wrapText="1"/>
      <protection locked="0"/>
    </xf>
    <xf numFmtId="3" fontId="4" fillId="0" borderId="48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3" fontId="4" fillId="0" borderId="50" xfId="0" applyNumberFormat="1" applyFont="1" applyFill="1" applyBorder="1" applyAlignment="1" applyProtection="1">
      <alignment vertical="center"/>
      <protection locked="0"/>
    </xf>
    <xf numFmtId="165" fontId="7" fillId="0" borderId="53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vertical="center" wrapText="1"/>
      <protection locked="0"/>
    </xf>
    <xf numFmtId="3" fontId="1" fillId="0" borderId="48" xfId="0" applyNumberFormat="1" applyFont="1" applyFill="1" applyBorder="1" applyAlignment="1" applyProtection="1">
      <alignment vertical="center" wrapText="1"/>
      <protection locked="0"/>
    </xf>
    <xf numFmtId="3" fontId="1" fillId="0" borderId="50" xfId="0" applyNumberFormat="1" applyFont="1" applyFill="1" applyBorder="1" applyAlignment="1" applyProtection="1">
      <alignment vertical="center" wrapText="1"/>
      <protection locked="0"/>
    </xf>
    <xf numFmtId="165" fontId="3" fillId="0" borderId="53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Fill="1" applyBorder="1" applyAlignment="1" applyProtection="1">
      <alignment vertical="center"/>
      <protection locked="0"/>
    </xf>
    <xf numFmtId="3" fontId="1" fillId="0" borderId="50" xfId="0" applyNumberFormat="1" applyFont="1" applyFill="1" applyBorder="1" applyAlignment="1" applyProtection="1">
      <alignment vertical="center"/>
      <protection locked="0"/>
    </xf>
    <xf numFmtId="165" fontId="2" fillId="0" borderId="53" xfId="0" applyNumberFormat="1" applyFont="1" applyFill="1" applyBorder="1" applyAlignment="1" applyProtection="1">
      <alignment vertical="center"/>
      <protection locked="0"/>
    </xf>
    <xf numFmtId="165" fontId="2" fillId="0" borderId="17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NumberFormat="1" applyFont="1" applyFill="1" applyBorder="1" applyAlignment="1" applyProtection="1">
      <alignment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Continuous" vertical="center"/>
      <protection locked="0"/>
    </xf>
    <xf numFmtId="0" fontId="5" fillId="0" borderId="25" xfId="0" applyNumberFormat="1" applyFont="1" applyFill="1" applyBorder="1" applyAlignment="1" applyProtection="1">
      <alignment vertical="center" wrapText="1"/>
      <protection locked="0"/>
    </xf>
    <xf numFmtId="3" fontId="5" fillId="0" borderId="18" xfId="0" applyNumberFormat="1" applyFont="1" applyFill="1" applyBorder="1" applyAlignment="1" applyProtection="1">
      <alignment vertical="center" wrapText="1"/>
      <protection locked="0"/>
    </xf>
    <xf numFmtId="3" fontId="5" fillId="0" borderId="59" xfId="0" applyNumberFormat="1" applyFont="1" applyFill="1" applyBorder="1" applyAlignment="1" applyProtection="1">
      <alignment vertical="center" wrapText="1"/>
      <protection locked="0"/>
    </xf>
    <xf numFmtId="165" fontId="4" fillId="0" borderId="19" xfId="0" applyNumberFormat="1" applyFont="1" applyFill="1" applyBorder="1" applyAlignment="1" applyProtection="1">
      <alignment vertical="center" wrapText="1"/>
      <protection locked="0"/>
    </xf>
    <xf numFmtId="165" fontId="4" fillId="0" borderId="25" xfId="0" applyNumberFormat="1" applyFont="1" applyFill="1" applyBorder="1" applyAlignment="1" applyProtection="1">
      <alignment vertical="center" wrapText="1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3" fontId="5" fillId="0" borderId="59" xfId="0" applyNumberFormat="1" applyFont="1" applyFill="1" applyBorder="1" applyAlignment="1" applyProtection="1">
      <alignment vertical="center"/>
      <protection locked="0"/>
    </xf>
    <xf numFmtId="165" fontId="11" fillId="0" borderId="25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vertical="center" wrapText="1"/>
      <protection locked="0"/>
    </xf>
    <xf numFmtId="165" fontId="5" fillId="0" borderId="25" xfId="0" applyNumberFormat="1" applyFont="1" applyFill="1" applyBorder="1" applyAlignment="1" applyProtection="1">
      <alignment vertical="center" wrapText="1"/>
      <protection locked="0"/>
    </xf>
    <xf numFmtId="165" fontId="11" fillId="0" borderId="25" xfId="0" applyNumberFormat="1" applyFont="1" applyFill="1" applyBorder="1" applyAlignment="1" applyProtection="1">
      <alignment vertical="center" wrapText="1"/>
      <protection locked="0"/>
    </xf>
    <xf numFmtId="0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3" xfId="0" applyNumberFormat="1" applyFont="1" applyFill="1" applyBorder="1" applyAlignment="1" applyProtection="1">
      <alignment vertical="center" wrapText="1"/>
      <protection locked="0"/>
    </xf>
    <xf numFmtId="3" fontId="4" fillId="0" borderId="43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Fill="1" applyBorder="1" applyAlignment="1" applyProtection="1">
      <alignment vertical="center" wrapText="1"/>
      <protection locked="0"/>
    </xf>
    <xf numFmtId="3" fontId="1" fillId="0" borderId="3" xfId="0" applyNumberFormat="1" applyFont="1" applyFill="1" applyBorder="1" applyAlignment="1" applyProtection="1">
      <alignment vertical="center" wrapText="1"/>
      <protection locked="0"/>
    </xf>
    <xf numFmtId="3" fontId="1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60" xfId="0" applyNumberFormat="1" applyFont="1" applyFill="1" applyBorder="1" applyAlignment="1" applyProtection="1">
      <alignment vertical="center" wrapText="1"/>
      <protection locked="0"/>
    </xf>
    <xf numFmtId="0" fontId="1" fillId="0" borderId="56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61" xfId="0" applyNumberFormat="1" applyFont="1" applyFill="1" applyBorder="1" applyAlignment="1" applyProtection="1">
      <alignment vertical="center" wrapText="1"/>
      <protection locked="0"/>
    </xf>
    <xf numFmtId="165" fontId="2" fillId="0" borderId="45" xfId="0" applyNumberFormat="1" applyFont="1" applyFill="1" applyBorder="1" applyAlignment="1" applyProtection="1">
      <alignment vertical="center"/>
      <protection locked="0"/>
    </xf>
    <xf numFmtId="49" fontId="1" fillId="0" borderId="44" xfId="0" applyNumberFormat="1" applyFont="1" applyFill="1" applyBorder="1" applyAlignment="1" applyProtection="1">
      <alignment horizontal="centerContinuous" vertical="center"/>
      <protection locked="0"/>
    </xf>
    <xf numFmtId="0" fontId="1" fillId="0" borderId="45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4" xfId="0" applyNumberFormat="1" applyFont="1" applyFill="1" applyBorder="1" applyAlignment="1" applyProtection="1">
      <alignment vertical="center" wrapText="1"/>
      <protection locked="0"/>
    </xf>
    <xf numFmtId="3" fontId="1" fillId="0" borderId="46" xfId="0" applyNumberFormat="1" applyFont="1" applyFill="1" applyBorder="1" applyAlignment="1" applyProtection="1">
      <alignment vertical="center" wrapText="1"/>
      <protection locked="0"/>
    </xf>
    <xf numFmtId="165" fontId="3" fillId="0" borderId="54" xfId="0" applyNumberFormat="1" applyFont="1" applyFill="1" applyBorder="1" applyAlignment="1" applyProtection="1">
      <alignment vertical="center" wrapText="1"/>
      <protection locked="0"/>
    </xf>
    <xf numFmtId="3" fontId="1" fillId="0" borderId="47" xfId="0" applyNumberFormat="1" applyFont="1" applyFill="1" applyBorder="1" applyAlignment="1" applyProtection="1">
      <alignment vertical="center"/>
      <protection locked="0"/>
    </xf>
    <xf numFmtId="3" fontId="1" fillId="0" borderId="46" xfId="0" applyNumberFormat="1" applyFont="1" applyFill="1" applyBorder="1" applyAlignment="1" applyProtection="1">
      <alignment vertical="center"/>
      <protection locked="0"/>
    </xf>
    <xf numFmtId="0" fontId="17" fillId="0" borderId="53" xfId="0" applyNumberFormat="1" applyFont="1" applyFill="1" applyBorder="1" applyAlignment="1" applyProtection="1">
      <alignment vertical="center" wrapText="1"/>
      <protection locked="0"/>
    </xf>
    <xf numFmtId="165" fontId="3" fillId="0" borderId="51" xfId="0" applyNumberFormat="1" applyFont="1" applyFill="1" applyBorder="1" applyAlignment="1" applyProtection="1">
      <alignment vertical="center" wrapText="1"/>
      <protection locked="0"/>
    </xf>
    <xf numFmtId="165" fontId="2" fillId="0" borderId="53" xfId="0" applyNumberFormat="1" applyFont="1" applyFill="1" applyBorder="1" applyAlignment="1" applyProtection="1">
      <alignment vertical="center" wrapText="1"/>
      <protection locked="0"/>
    </xf>
    <xf numFmtId="0" fontId="4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17" fillId="0" borderId="45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3" fontId="5" fillId="0" borderId="42" xfId="0" applyNumberFormat="1" applyFont="1" applyFill="1" applyBorder="1" applyAlignment="1" applyProtection="1">
      <alignment vertical="center" wrapText="1"/>
      <protection locked="0"/>
    </xf>
    <xf numFmtId="165" fontId="11" fillId="0" borderId="51" xfId="0" applyNumberFormat="1" applyFont="1" applyFill="1" applyBorder="1" applyAlignment="1" applyProtection="1">
      <alignment vertical="center" wrapText="1"/>
      <protection locked="0"/>
    </xf>
    <xf numFmtId="0" fontId="17" fillId="0" borderId="56" xfId="0" applyNumberFormat="1" applyFont="1" applyFill="1" applyBorder="1" applyAlignment="1" applyProtection="1">
      <alignment vertical="center" wrapText="1"/>
      <protection locked="0"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3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45" xfId="0" applyNumberFormat="1" applyFont="1" applyFill="1" applyBorder="1" applyAlignment="1" applyProtection="1">
      <alignment vertical="center" wrapText="1"/>
      <protection locked="0"/>
    </xf>
    <xf numFmtId="0" fontId="4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/>
    </xf>
    <xf numFmtId="3" fontId="1" fillId="0" borderId="58" xfId="0" applyNumberFormat="1" applyFont="1" applyFill="1" applyBorder="1" applyAlignment="1" applyProtection="1">
      <alignment vertical="center" wrapText="1"/>
      <protection locked="0"/>
    </xf>
    <xf numFmtId="3" fontId="5" fillId="0" borderId="38" xfId="0" applyNumberFormat="1" applyFont="1" applyFill="1" applyBorder="1" applyAlignment="1" applyProtection="1">
      <alignment vertical="center" wrapText="1"/>
      <protection locked="0"/>
    </xf>
    <xf numFmtId="165" fontId="5" fillId="0" borderId="41" xfId="0" applyNumberFormat="1" applyFont="1" applyFill="1" applyBorder="1" applyAlignment="1" applyProtection="1">
      <alignment vertical="center" wrapText="1"/>
      <protection locked="0"/>
    </xf>
    <xf numFmtId="165" fontId="4" fillId="0" borderId="53" xfId="0" applyNumberFormat="1" applyFont="1" applyFill="1" applyBorder="1" applyAlignment="1" applyProtection="1">
      <alignment vertical="center"/>
      <protection locked="0"/>
    </xf>
    <xf numFmtId="165" fontId="4" fillId="0" borderId="53" xfId="0" applyNumberFormat="1" applyFont="1" applyFill="1" applyBorder="1" applyAlignment="1" applyProtection="1">
      <alignment vertical="center" wrapText="1"/>
      <protection locked="0"/>
    </xf>
    <xf numFmtId="165" fontId="3" fillId="0" borderId="45" xfId="0" applyNumberFormat="1" applyFont="1" applyFill="1" applyBorder="1" applyAlignment="1" applyProtection="1">
      <alignment vertical="center"/>
      <protection locked="0"/>
    </xf>
    <xf numFmtId="3" fontId="1" fillId="0" borderId="47" xfId="0" applyNumberFormat="1" applyFont="1" applyFill="1" applyBorder="1" applyAlignment="1" applyProtection="1">
      <alignment vertical="center" wrapText="1"/>
      <protection locked="0"/>
    </xf>
    <xf numFmtId="49" fontId="4" fillId="0" borderId="55" xfId="0" applyNumberFormat="1" applyFont="1" applyFill="1" applyBorder="1" applyAlignment="1" applyProtection="1">
      <alignment horizontal="centerContinuous" vertical="center"/>
      <protection locked="0"/>
    </xf>
    <xf numFmtId="0" fontId="4" fillId="0" borderId="56" xfId="0" applyNumberFormat="1" applyFont="1" applyFill="1" applyBorder="1" applyAlignment="1" applyProtection="1">
      <alignment vertical="center" wrapText="1"/>
      <protection locked="0"/>
    </xf>
    <xf numFmtId="3" fontId="4" fillId="0" borderId="55" xfId="0" applyNumberFormat="1" applyFont="1" applyFill="1" applyBorder="1" applyAlignment="1" applyProtection="1">
      <alignment vertical="center" wrapText="1"/>
      <protection locked="0"/>
    </xf>
    <xf numFmtId="3" fontId="4" fillId="0" borderId="57" xfId="0" applyNumberFormat="1" applyFont="1" applyFill="1" applyBorder="1" applyAlignment="1" applyProtection="1">
      <alignment vertical="center" wrapText="1"/>
      <protection locked="0"/>
    </xf>
    <xf numFmtId="165" fontId="11" fillId="0" borderId="56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vertical="center" wrapText="1"/>
      <protection locked="0"/>
    </xf>
    <xf numFmtId="3" fontId="4" fillId="0" borderId="57" xfId="0" applyNumberFormat="1" applyFont="1" applyFill="1" applyBorder="1" applyAlignment="1" applyProtection="1">
      <alignment vertical="center"/>
      <protection locked="0"/>
    </xf>
    <xf numFmtId="165" fontId="11" fillId="0" borderId="56" xfId="0" applyNumberFormat="1" applyFont="1" applyFill="1" applyBorder="1" applyAlignment="1" applyProtection="1">
      <alignment vertical="center" wrapText="1"/>
      <protection locked="0"/>
    </xf>
    <xf numFmtId="3" fontId="4" fillId="0" borderId="58" xfId="0" applyNumberFormat="1" applyFont="1" applyFill="1" applyBorder="1" applyAlignment="1" applyProtection="1">
      <alignment vertical="center"/>
      <protection locked="0"/>
    </xf>
    <xf numFmtId="165" fontId="2" fillId="0" borderId="45" xfId="0" applyNumberFormat="1" applyFont="1" applyFill="1" applyBorder="1" applyAlignment="1" applyProtection="1">
      <alignment vertical="center" wrapText="1"/>
      <protection locked="0"/>
    </xf>
    <xf numFmtId="165" fontId="0" fillId="0" borderId="25" xfId="0" applyNumberFormat="1" applyFont="1" applyFill="1" applyBorder="1" applyAlignment="1" applyProtection="1">
      <alignment vertical="center" wrapText="1"/>
      <protection locked="0"/>
    </xf>
    <xf numFmtId="165" fontId="7" fillId="0" borderId="53" xfId="0" applyNumberFormat="1" applyFont="1" applyFill="1" applyBorder="1" applyAlignment="1" applyProtection="1">
      <alignment vertical="center" wrapText="1"/>
      <protection locked="0"/>
    </xf>
    <xf numFmtId="165" fontId="2" fillId="0" borderId="56" xfId="0" applyNumberFormat="1" applyFont="1" applyFill="1" applyBorder="1" applyAlignment="1" applyProtection="1">
      <alignment vertical="center" wrapText="1"/>
      <protection locked="0"/>
    </xf>
    <xf numFmtId="0" fontId="0" fillId="0" borderId="26" xfId="0" applyFont="1" applyBorder="1" applyAlignment="1">
      <alignment/>
    </xf>
    <xf numFmtId="3" fontId="4" fillId="0" borderId="62" xfId="0" applyNumberFormat="1" applyFont="1" applyFill="1" applyBorder="1" applyAlignment="1" applyProtection="1">
      <alignment vertical="center"/>
      <protection locked="0"/>
    </xf>
    <xf numFmtId="3" fontId="1" fillId="0" borderId="63" xfId="0" applyNumberFormat="1" applyFont="1" applyFill="1" applyBorder="1" applyAlignment="1" applyProtection="1">
      <alignment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64" xfId="0" applyNumberFormat="1" applyFont="1" applyFill="1" applyBorder="1" applyAlignment="1" applyProtection="1">
      <alignment vertical="center"/>
      <protection locked="0"/>
    </xf>
    <xf numFmtId="165" fontId="4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165" fontId="4" fillId="0" borderId="41" xfId="0" applyNumberFormat="1" applyFont="1" applyFill="1" applyBorder="1" applyAlignment="1" applyProtection="1">
      <alignment vertical="center"/>
      <protection locked="0"/>
    </xf>
    <xf numFmtId="165" fontId="11" fillId="0" borderId="53" xfId="0" applyNumberFormat="1" applyFont="1" applyFill="1" applyBorder="1" applyAlignment="1" applyProtection="1">
      <alignment vertical="center"/>
      <protection locked="0"/>
    </xf>
    <xf numFmtId="0" fontId="11" fillId="0" borderId="45" xfId="0" applyNumberFormat="1" applyFont="1" applyFill="1" applyBorder="1" applyAlignment="1" applyProtection="1">
      <alignment vertical="center" wrapText="1"/>
      <protection locked="0"/>
    </xf>
    <xf numFmtId="165" fontId="3" fillId="0" borderId="53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49" fontId="14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7" xfId="0" applyNumberFormat="1" applyFont="1" applyFill="1" applyBorder="1" applyAlignment="1" applyProtection="1">
      <alignment vertical="center" wrapText="1"/>
      <protection locked="0"/>
    </xf>
    <xf numFmtId="3" fontId="14" fillId="0" borderId="26" xfId="0" applyNumberFormat="1" applyFont="1" applyFill="1" applyBorder="1" applyAlignment="1" applyProtection="1">
      <alignment vertical="center" wrapText="1"/>
      <protection locked="0"/>
    </xf>
    <xf numFmtId="3" fontId="14" fillId="0" borderId="6" xfId="0" applyNumberFormat="1" applyFont="1" applyFill="1" applyBorder="1" applyAlignment="1" applyProtection="1">
      <alignment vertical="center" wrapText="1"/>
      <protection locked="0"/>
    </xf>
    <xf numFmtId="3" fontId="14" fillId="0" borderId="16" xfId="0" applyNumberFormat="1" applyFont="1" applyFill="1" applyBorder="1" applyAlignment="1" applyProtection="1">
      <alignment vertical="center"/>
      <protection locked="0"/>
    </xf>
    <xf numFmtId="3" fontId="14" fillId="0" borderId="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/>
    </xf>
    <xf numFmtId="49" fontId="14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4" fillId="0" borderId="53" xfId="0" applyNumberFormat="1" applyFont="1" applyFill="1" applyBorder="1" applyAlignment="1" applyProtection="1">
      <alignment vertical="center" wrapText="1"/>
      <protection locked="0"/>
    </xf>
    <xf numFmtId="3" fontId="14" fillId="0" borderId="48" xfId="0" applyNumberFormat="1" applyFont="1" applyFill="1" applyBorder="1" applyAlignment="1" applyProtection="1">
      <alignment vertical="center" wrapText="1"/>
      <protection locked="0"/>
    </xf>
    <xf numFmtId="3" fontId="14" fillId="0" borderId="50" xfId="0" applyNumberFormat="1" applyFont="1" applyFill="1" applyBorder="1" applyAlignment="1" applyProtection="1">
      <alignment vertical="center" wrapText="1"/>
      <protection locked="0"/>
    </xf>
    <xf numFmtId="3" fontId="14" fillId="0" borderId="52" xfId="0" applyNumberFormat="1" applyFont="1" applyFill="1" applyBorder="1" applyAlignment="1" applyProtection="1">
      <alignment vertical="center"/>
      <protection locked="0"/>
    </xf>
    <xf numFmtId="3" fontId="14" fillId="0" borderId="50" xfId="0" applyNumberFormat="1" applyFont="1" applyFill="1" applyBorder="1" applyAlignment="1" applyProtection="1">
      <alignment vertical="center"/>
      <protection locked="0"/>
    </xf>
    <xf numFmtId="49" fontId="1" fillId="0" borderId="58" xfId="0" applyNumberFormat="1" applyFont="1" applyFill="1" applyBorder="1" applyAlignment="1" applyProtection="1">
      <alignment horizontal="centerContinuous" vertical="center"/>
      <protection locked="0"/>
    </xf>
    <xf numFmtId="49" fontId="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5" fillId="0" borderId="34" xfId="0" applyNumberFormat="1" applyFont="1" applyFill="1" applyBorder="1" applyAlignment="1" applyProtection="1">
      <alignment vertical="center" wrapText="1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 wrapText="1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165" fontId="4" fillId="0" borderId="34" xfId="0" applyNumberFormat="1" applyFont="1" applyFill="1" applyBorder="1" applyAlignment="1" applyProtection="1">
      <alignment vertical="center" wrapText="1"/>
      <protection locked="0"/>
    </xf>
    <xf numFmtId="165" fontId="5" fillId="0" borderId="34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165" fontId="5" fillId="0" borderId="34" xfId="0" applyNumberFormat="1" applyFont="1" applyFill="1" applyBorder="1" applyAlignment="1" applyProtection="1">
      <alignment vertical="center" wrapText="1"/>
      <protection locked="0"/>
    </xf>
    <xf numFmtId="165" fontId="11" fillId="0" borderId="27" xfId="0" applyNumberFormat="1" applyFont="1" applyFill="1" applyBorder="1" applyAlignment="1" applyProtection="1">
      <alignment vertical="center" wrapText="1"/>
      <protection locked="0"/>
    </xf>
    <xf numFmtId="165" fontId="11" fillId="0" borderId="17" xfId="0" applyNumberFormat="1" applyFont="1" applyFill="1" applyBorder="1" applyAlignment="1" applyProtection="1">
      <alignment vertical="center" wrapText="1"/>
      <protection locked="0"/>
    </xf>
    <xf numFmtId="49" fontId="4" fillId="0" borderId="47" xfId="0" applyNumberFormat="1" applyFont="1" applyFill="1" applyBorder="1" applyAlignment="1" applyProtection="1">
      <alignment horizontal="centerContinuous" vertical="center"/>
      <protection locked="0"/>
    </xf>
    <xf numFmtId="3" fontId="1" fillId="0" borderId="65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52" xfId="0" applyFont="1" applyBorder="1" applyAlignment="1">
      <alignment/>
    </xf>
    <xf numFmtId="0" fontId="1" fillId="0" borderId="49" xfId="0" applyNumberFormat="1" applyFont="1" applyFill="1" applyBorder="1" applyAlignment="1" applyProtection="1">
      <alignment vertical="center" wrapText="1"/>
      <protection locked="0"/>
    </xf>
    <xf numFmtId="165" fontId="4" fillId="0" borderId="45" xfId="0" applyNumberFormat="1" applyFont="1" applyFill="1" applyBorder="1" applyAlignment="1" applyProtection="1">
      <alignment vertical="center" wrapText="1"/>
      <protection locked="0"/>
    </xf>
    <xf numFmtId="0" fontId="1" fillId="0" borderId="66" xfId="0" applyNumberFormat="1" applyFont="1" applyFill="1" applyBorder="1" applyAlignment="1" applyProtection="1">
      <alignment vertical="center" wrapText="1"/>
      <protection locked="0"/>
    </xf>
    <xf numFmtId="3" fontId="13" fillId="0" borderId="3" xfId="0" applyNumberFormat="1" applyFont="1" applyFill="1" applyBorder="1" applyAlignment="1" applyProtection="1">
      <alignment vertical="center"/>
      <protection locked="0"/>
    </xf>
    <xf numFmtId="49" fontId="12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3" fontId="12" fillId="0" borderId="26" xfId="0" applyNumberFormat="1" applyFont="1" applyFill="1" applyBorder="1" applyAlignment="1" applyProtection="1">
      <alignment vertical="center" wrapText="1"/>
      <protection locked="0"/>
    </xf>
    <xf numFmtId="3" fontId="12" fillId="0" borderId="6" xfId="0" applyNumberFormat="1" applyFont="1" applyFill="1" applyBorder="1" applyAlignment="1" applyProtection="1">
      <alignment vertical="center" wrapText="1"/>
      <protection locked="0"/>
    </xf>
    <xf numFmtId="165" fontId="19" fillId="0" borderId="17" xfId="0" applyNumberFormat="1" applyFont="1" applyFill="1" applyBorder="1" applyAlignment="1" applyProtection="1">
      <alignment vertical="center" wrapText="1"/>
      <protection locked="0"/>
    </xf>
    <xf numFmtId="3" fontId="12" fillId="0" borderId="3" xfId="0" applyNumberFormat="1" applyFont="1" applyFill="1" applyBorder="1" applyAlignment="1" applyProtection="1">
      <alignment vertical="center"/>
      <protection locked="0"/>
    </xf>
    <xf numFmtId="3" fontId="12" fillId="0" borderId="6" xfId="0" applyNumberFormat="1" applyFont="1" applyFill="1" applyBorder="1" applyAlignment="1" applyProtection="1">
      <alignment vertical="center"/>
      <protection locked="0"/>
    </xf>
    <xf numFmtId="3" fontId="12" fillId="0" borderId="16" xfId="0" applyNumberFormat="1" applyFont="1" applyFill="1" applyBorder="1" applyAlignment="1" applyProtection="1">
      <alignment vertical="center"/>
      <protection locked="0"/>
    </xf>
    <xf numFmtId="165" fontId="19" fillId="0" borderId="17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Border="1" applyAlignment="1">
      <alignment/>
    </xf>
    <xf numFmtId="3" fontId="4" fillId="0" borderId="13" xfId="0" applyNumberFormat="1" applyFont="1" applyFill="1" applyBorder="1" applyAlignment="1" applyProtection="1">
      <alignment vertical="center" wrapText="1"/>
      <protection locked="0"/>
    </xf>
    <xf numFmtId="165" fontId="1" fillId="0" borderId="17" xfId="0" applyNumberFormat="1" applyFont="1" applyFill="1" applyBorder="1" applyAlignment="1" applyProtection="1">
      <alignment vertical="center" wrapText="1"/>
      <protection locked="0"/>
    </xf>
    <xf numFmtId="0" fontId="4" fillId="0" borderId="6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3" fontId="1" fillId="0" borderId="59" xfId="0" applyNumberFormat="1" applyFont="1" applyFill="1" applyBorder="1" applyAlignment="1" applyProtection="1">
      <alignment vertical="center" wrapText="1"/>
      <protection locked="0"/>
    </xf>
    <xf numFmtId="165" fontId="1" fillId="0" borderId="45" xfId="0" applyNumberFormat="1" applyFont="1" applyFill="1" applyBorder="1" applyAlignment="1" applyProtection="1">
      <alignment vertical="center" wrapText="1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59" xfId="0" applyNumberFormat="1" applyFont="1" applyFill="1" applyBorder="1" applyAlignment="1" applyProtection="1">
      <alignment vertical="center"/>
      <protection locked="0"/>
    </xf>
    <xf numFmtId="49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2" xfId="0" applyNumberFormat="1" applyFont="1" applyFill="1" applyBorder="1" applyAlignment="1" applyProtection="1">
      <alignment horizontal="centerContinuous" vertical="center"/>
      <protection locked="0"/>
    </xf>
    <xf numFmtId="0" fontId="4" fillId="0" borderId="49" xfId="0" applyNumberFormat="1" applyFont="1" applyFill="1" applyBorder="1" applyAlignment="1" applyProtection="1">
      <alignment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Continuous" vertical="center"/>
      <protection locked="0"/>
    </xf>
    <xf numFmtId="0" fontId="4" fillId="0" borderId="67" xfId="0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49" fontId="1" fillId="0" borderId="52" xfId="0" applyNumberFormat="1" applyFont="1" applyFill="1" applyBorder="1" applyAlignment="1" applyProtection="1">
      <alignment horizontal="centerContinuous" vertical="center"/>
      <protection locked="0"/>
    </xf>
    <xf numFmtId="49" fontId="1" fillId="0" borderId="47" xfId="0" applyNumberFormat="1" applyFont="1" applyFill="1" applyBorder="1" applyAlignment="1" applyProtection="1">
      <alignment horizontal="centerContinuous" vertical="center"/>
      <protection locked="0"/>
    </xf>
    <xf numFmtId="0" fontId="1" fillId="0" borderId="67" xfId="0" applyNumberFormat="1" applyFont="1" applyFill="1" applyBorder="1" applyAlignment="1" applyProtection="1">
      <alignment vertical="center" wrapText="1"/>
      <protection locked="0"/>
    </xf>
    <xf numFmtId="3" fontId="4" fillId="0" borderId="67" xfId="0" applyNumberFormat="1" applyFont="1" applyFill="1" applyBorder="1" applyAlignment="1" applyProtection="1">
      <alignment vertical="center" wrapText="1"/>
      <protection locked="0"/>
    </xf>
    <xf numFmtId="3" fontId="4" fillId="0" borderId="26" xfId="0" applyNumberFormat="1" applyFont="1" applyFill="1" applyBorder="1" applyAlignment="1" applyProtection="1">
      <alignment vertical="center" wrapText="1"/>
      <protection locked="0"/>
    </xf>
    <xf numFmtId="3" fontId="4" fillId="0" borderId="6" xfId="0" applyNumberFormat="1" applyFont="1" applyFill="1" applyBorder="1" applyAlignment="1" applyProtection="1">
      <alignment vertical="center" wrapText="1"/>
      <protection locked="0"/>
    </xf>
    <xf numFmtId="3" fontId="1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67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7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165" fontId="3" fillId="0" borderId="45" xfId="0" applyNumberFormat="1" applyFont="1" applyBorder="1" applyAlignment="1">
      <alignment vertical="center"/>
    </xf>
    <xf numFmtId="3" fontId="1" fillId="0" borderId="58" xfId="0" applyNumberFormat="1" applyFont="1" applyBorder="1" applyAlignment="1">
      <alignment vertical="center"/>
    </xf>
    <xf numFmtId="3" fontId="1" fillId="0" borderId="57" xfId="0" applyNumberFormat="1" applyFont="1" applyBorder="1" applyAlignment="1">
      <alignment vertical="center"/>
    </xf>
    <xf numFmtId="165" fontId="3" fillId="0" borderId="5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3" fontId="1" fillId="0" borderId="52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vertical="center"/>
    </xf>
    <xf numFmtId="165" fontId="3" fillId="0" borderId="53" xfId="0" applyNumberFormat="1" applyFont="1" applyBorder="1" applyAlignment="1">
      <alignment vertical="center"/>
    </xf>
    <xf numFmtId="0" fontId="4" fillId="0" borderId="46" xfId="0" applyNumberFormat="1" applyFont="1" applyFill="1" applyBorder="1" applyAlignment="1" applyProtection="1">
      <alignment vertical="center" wrapText="1"/>
      <protection locked="0"/>
    </xf>
    <xf numFmtId="3" fontId="4" fillId="0" borderId="47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165" fontId="0" fillId="0" borderId="41" xfId="0" applyNumberFormat="1" applyFont="1" applyFill="1" applyBorder="1" applyAlignment="1" applyProtection="1">
      <alignment vertical="center"/>
      <protection locked="0"/>
    </xf>
    <xf numFmtId="0" fontId="3" fillId="0" borderId="45" xfId="0" applyNumberFormat="1" applyFont="1" applyFill="1" applyBorder="1" applyAlignment="1" applyProtection="1">
      <alignment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2" fillId="0" borderId="56" xfId="0" applyNumberFormat="1" applyFont="1" applyFill="1" applyBorder="1" applyAlignment="1" applyProtection="1">
      <alignment vertical="center" wrapText="1"/>
      <protection locked="0"/>
    </xf>
    <xf numFmtId="3" fontId="13" fillId="0" borderId="57" xfId="0" applyNumberFormat="1" applyFont="1" applyFill="1" applyBorder="1" applyAlignment="1" applyProtection="1">
      <alignment vertical="center" wrapText="1"/>
      <protection locked="0"/>
    </xf>
    <xf numFmtId="165" fontId="19" fillId="0" borderId="27" xfId="0" applyNumberFormat="1" applyFont="1" applyFill="1" applyBorder="1" applyAlignment="1" applyProtection="1">
      <alignment vertical="center" wrapText="1"/>
      <protection locked="0"/>
    </xf>
    <xf numFmtId="165" fontId="11" fillId="0" borderId="17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12" fillId="0" borderId="16" xfId="0" applyNumberFormat="1" applyFont="1" applyFill="1" applyBorder="1" applyAlignment="1" applyProtection="1">
      <alignment horizontal="centerContinuous" vertical="center"/>
      <protection locked="0"/>
    </xf>
    <xf numFmtId="165" fontId="12" fillId="0" borderId="27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/>
    </xf>
    <xf numFmtId="165" fontId="12" fillId="0" borderId="17" xfId="0" applyNumberFormat="1" applyFont="1" applyFill="1" applyBorder="1" applyAlignment="1" applyProtection="1">
      <alignment vertical="center" wrapText="1"/>
      <protection locked="0"/>
    </xf>
    <xf numFmtId="165" fontId="1" fillId="0" borderId="27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/>
    </xf>
    <xf numFmtId="165" fontId="1" fillId="0" borderId="51" xfId="0" applyNumberFormat="1" applyFont="1" applyFill="1" applyBorder="1" applyAlignment="1" applyProtection="1">
      <alignment vertical="center" wrapText="1"/>
      <protection locked="0"/>
    </xf>
    <xf numFmtId="165" fontId="1" fillId="0" borderId="53" xfId="0" applyNumberFormat="1" applyFont="1" applyFill="1" applyBorder="1" applyAlignment="1" applyProtection="1">
      <alignment vertical="center" wrapText="1"/>
      <protection locked="0"/>
    </xf>
    <xf numFmtId="0" fontId="12" fillId="0" borderId="4" xfId="0" applyNumberFormat="1" applyFont="1" applyFill="1" applyBorder="1" applyAlignment="1" applyProtection="1">
      <alignment vertical="center" wrapText="1"/>
      <protection locked="0"/>
    </xf>
    <xf numFmtId="165" fontId="12" fillId="0" borderId="17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165" fontId="11" fillId="0" borderId="67" xfId="0" applyNumberFormat="1" applyFont="1" applyFill="1" applyBorder="1" applyAlignment="1" applyProtection="1">
      <alignment vertical="center" wrapText="1"/>
      <protection locked="0"/>
    </xf>
    <xf numFmtId="165" fontId="3" fillId="0" borderId="66" xfId="0" applyNumberFormat="1" applyFont="1" applyFill="1" applyBorder="1" applyAlignment="1" applyProtection="1">
      <alignment vertical="center" wrapText="1"/>
      <protection locked="0"/>
    </xf>
    <xf numFmtId="165" fontId="4" fillId="0" borderId="39" xfId="0" applyNumberFormat="1" applyFont="1" applyFill="1" applyBorder="1" applyAlignment="1" applyProtection="1">
      <alignment vertical="center"/>
      <protection locked="0"/>
    </xf>
    <xf numFmtId="3" fontId="5" fillId="0" borderId="41" xfId="0" applyNumberFormat="1" applyFont="1" applyFill="1" applyBorder="1" applyAlignment="1" applyProtection="1">
      <alignment vertical="center"/>
      <protection locked="0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49" fontId="4" fillId="0" borderId="33" xfId="0" applyNumberFormat="1" applyFont="1" applyFill="1" applyBorder="1" applyAlignment="1" applyProtection="1">
      <alignment horizontal="centerContinuous"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165" fontId="4" fillId="0" borderId="15" xfId="0" applyNumberFormat="1" applyFont="1" applyFill="1" applyBorder="1" applyAlignment="1" applyProtection="1">
      <alignment vertical="center" wrapText="1"/>
      <protection locked="0"/>
    </xf>
    <xf numFmtId="165" fontId="4" fillId="0" borderId="31" xfId="0" applyNumberFormat="1" applyFont="1" applyFill="1" applyBorder="1" applyAlignment="1" applyProtection="1">
      <alignment vertical="center"/>
      <protection locked="0"/>
    </xf>
    <xf numFmtId="3" fontId="11" fillId="0" borderId="34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49" fontId="5" fillId="0" borderId="48" xfId="0" applyNumberFormat="1" applyFont="1" applyFill="1" applyBorder="1" applyAlignment="1" applyProtection="1">
      <alignment horizontal="centerContinuous" vertical="center"/>
      <protection locked="0"/>
    </xf>
    <xf numFmtId="0" fontId="5" fillId="0" borderId="49" xfId="0" applyNumberFormat="1" applyFont="1" applyFill="1" applyBorder="1" applyAlignment="1" applyProtection="1">
      <alignment vertical="center" wrapText="1"/>
      <protection locked="0"/>
    </xf>
    <xf numFmtId="3" fontId="5" fillId="0" borderId="48" xfId="0" applyNumberFormat="1" applyFont="1" applyFill="1" applyBorder="1" applyAlignment="1" applyProtection="1">
      <alignment vertical="center" wrapText="1"/>
      <protection locked="0"/>
    </xf>
    <xf numFmtId="3" fontId="5" fillId="0" borderId="49" xfId="0" applyNumberFormat="1" applyFont="1" applyFill="1" applyBorder="1" applyAlignment="1" applyProtection="1">
      <alignment vertical="center" wrapText="1"/>
      <protection locked="0"/>
    </xf>
    <xf numFmtId="3" fontId="5" fillId="0" borderId="50" xfId="0" applyNumberFormat="1" applyFont="1" applyFill="1" applyBorder="1" applyAlignment="1" applyProtection="1">
      <alignment vertical="center" wrapText="1"/>
      <protection locked="0"/>
    </xf>
    <xf numFmtId="165" fontId="5" fillId="0" borderId="53" xfId="0" applyNumberFormat="1" applyFont="1" applyFill="1" applyBorder="1" applyAlignment="1" applyProtection="1">
      <alignment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3" fontId="5" fillId="0" borderId="50" xfId="0" applyNumberFormat="1" applyFont="1" applyFill="1" applyBorder="1" applyAlignment="1" applyProtection="1">
      <alignment vertical="center"/>
      <protection locked="0"/>
    </xf>
    <xf numFmtId="3" fontId="4" fillId="0" borderId="49" xfId="0" applyNumberFormat="1" applyFont="1" applyFill="1" applyBorder="1" applyAlignment="1" applyProtection="1">
      <alignment vertical="center" wrapText="1"/>
      <protection locked="0"/>
    </xf>
    <xf numFmtId="3" fontId="4" fillId="0" borderId="68" xfId="0" applyNumberFormat="1" applyFont="1" applyFill="1" applyBorder="1" applyAlignment="1" applyProtection="1">
      <alignment vertical="center" wrapText="1"/>
      <protection locked="0"/>
    </xf>
    <xf numFmtId="0" fontId="3" fillId="0" borderId="4" xfId="0" applyNumberFormat="1" applyFont="1" applyFill="1" applyBorder="1" applyAlignment="1" applyProtection="1">
      <alignment vertical="center" wrapText="1"/>
      <protection locked="0"/>
    </xf>
    <xf numFmtId="0" fontId="19" fillId="0" borderId="17" xfId="0" applyNumberFormat="1" applyFont="1" applyFill="1" applyBorder="1" applyAlignment="1" applyProtection="1">
      <alignment vertical="center" wrapText="1"/>
      <protection locked="0"/>
    </xf>
    <xf numFmtId="3" fontId="19" fillId="0" borderId="16" xfId="0" applyNumberFormat="1" applyFont="1" applyFill="1" applyBorder="1" applyAlignment="1" applyProtection="1">
      <alignment vertical="center" wrapText="1"/>
      <protection locked="0"/>
    </xf>
    <xf numFmtId="3" fontId="19" fillId="0" borderId="6" xfId="0" applyNumberFormat="1" applyFont="1" applyFill="1" applyBorder="1" applyAlignment="1" applyProtection="1">
      <alignment vertical="center" wrapText="1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49" fontId="19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9" fillId="0" borderId="4" xfId="0" applyNumberFormat="1" applyFont="1" applyFill="1" applyBorder="1" applyAlignment="1" applyProtection="1">
      <alignment vertical="center" wrapText="1"/>
      <protection locked="0"/>
    </xf>
    <xf numFmtId="3" fontId="19" fillId="0" borderId="6" xfId="0" applyNumberFormat="1" applyFont="1" applyBorder="1" applyAlignment="1">
      <alignment vertical="center"/>
    </xf>
    <xf numFmtId="3" fontId="19" fillId="0" borderId="6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/>
    </xf>
    <xf numFmtId="0" fontId="5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>
      <alignment horizontal="center" vertical="center" wrapText="1"/>
    </xf>
    <xf numFmtId="3" fontId="22" fillId="0" borderId="30" xfId="0" applyNumberFormat="1" applyFont="1" applyFill="1" applyBorder="1" applyAlignment="1" applyProtection="1">
      <alignment vertical="center"/>
      <protection locked="0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6" xfId="0" applyNumberFormat="1" applyFont="1" applyFill="1" applyBorder="1" applyAlignment="1" applyProtection="1">
      <alignment vertical="center" wrapText="1"/>
      <protection locked="0"/>
    </xf>
    <xf numFmtId="165" fontId="11" fillId="0" borderId="17" xfId="0" applyNumberFormat="1" applyFont="1" applyFill="1" applyBorder="1" applyAlignment="1" applyProtection="1">
      <alignment horizontal="right" vertical="center"/>
      <protection locked="0"/>
    </xf>
    <xf numFmtId="3" fontId="11" fillId="0" borderId="6" xfId="0" applyNumberFormat="1" applyFont="1" applyFill="1" applyBorder="1" applyAlignment="1" applyProtection="1">
      <alignment horizontal="right" vertical="center"/>
      <protection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3" fontId="7" fillId="0" borderId="17" xfId="0" applyNumberFormat="1" applyFont="1" applyFill="1" applyBorder="1" applyAlignment="1" applyProtection="1">
      <alignment horizontal="right" vertical="center"/>
      <protection locked="0"/>
    </xf>
    <xf numFmtId="165" fontId="7" fillId="0" borderId="17" xfId="0" applyNumberFormat="1" applyFont="1" applyFill="1" applyBorder="1" applyAlignment="1" applyProtection="1">
      <alignment horizontal="right" vertical="center"/>
      <protection locked="0"/>
    </xf>
    <xf numFmtId="3" fontId="14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>
      <alignment vertical="center" wrapText="1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165" fontId="14" fillId="0" borderId="17" xfId="0" applyNumberFormat="1" applyFont="1" applyFill="1" applyBorder="1" applyAlignment="1" applyProtection="1">
      <alignment horizontal="right" vertical="center"/>
      <protection locked="0"/>
    </xf>
    <xf numFmtId="3" fontId="14" fillId="0" borderId="6" xfId="0" applyNumberFormat="1" applyFont="1" applyFill="1" applyBorder="1" applyAlignment="1" applyProtection="1">
      <alignment horizontal="right" vertical="center"/>
      <protection locked="0"/>
    </xf>
    <xf numFmtId="3" fontId="15" fillId="0" borderId="17" xfId="0" applyNumberFormat="1" applyFont="1" applyFill="1" applyBorder="1" applyAlignment="1" applyProtection="1">
      <alignment horizontal="right" vertical="center"/>
      <protection locked="0"/>
    </xf>
    <xf numFmtId="165" fontId="15" fillId="0" borderId="17" xfId="0" applyNumberFormat="1" applyFont="1" applyFill="1" applyBorder="1" applyAlignment="1" applyProtection="1">
      <alignment horizontal="right" vertical="center"/>
      <protection locked="0"/>
    </xf>
    <xf numFmtId="3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3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vertical="center" wrapText="1"/>
      <protection locked="0"/>
    </xf>
    <xf numFmtId="165" fontId="11" fillId="0" borderId="70" xfId="0" applyNumberFormat="1" applyFont="1" applyFill="1" applyBorder="1" applyAlignment="1" applyProtection="1">
      <alignment horizontal="right" vertical="center"/>
      <protection locked="0"/>
    </xf>
    <xf numFmtId="3" fontId="0" fillId="0" borderId="24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11" fillId="0" borderId="71" xfId="0" applyNumberFormat="1" applyFont="1" applyFill="1" applyBorder="1" applyAlignment="1" applyProtection="1">
      <alignment horizontal="right" vertical="center"/>
      <protection locked="0"/>
    </xf>
    <xf numFmtId="165" fontId="11" fillId="0" borderId="25" xfId="0" applyNumberFormat="1" applyFont="1" applyFill="1" applyBorder="1" applyAlignment="1" applyProtection="1">
      <alignment horizontal="right" vertical="center"/>
      <protection locked="0"/>
    </xf>
    <xf numFmtId="3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>
      <alignment horizontal="center" vertical="center" wrapText="1"/>
    </xf>
    <xf numFmtId="3" fontId="19" fillId="0" borderId="26" xfId="0" applyNumberFormat="1" applyFont="1" applyFill="1" applyBorder="1" applyAlignment="1" applyProtection="1">
      <alignment horizontal="right" vertical="center"/>
      <protection locked="0"/>
    </xf>
    <xf numFmtId="165" fontId="19" fillId="0" borderId="17" xfId="0" applyNumberFormat="1" applyFont="1" applyFill="1" applyBorder="1" applyAlignment="1" applyProtection="1">
      <alignment horizontal="right" vertical="center"/>
      <protection locked="0"/>
    </xf>
    <xf numFmtId="3" fontId="19" fillId="0" borderId="42" xfId="0" applyNumberFormat="1" applyFont="1" applyFill="1" applyBorder="1" applyAlignment="1" applyProtection="1">
      <alignment horizontal="right" vertical="center"/>
      <protection locked="0"/>
    </xf>
    <xf numFmtId="3" fontId="19" fillId="0" borderId="30" xfId="0" applyNumberFormat="1" applyFont="1" applyFill="1" applyBorder="1" applyAlignment="1" applyProtection="1">
      <alignment horizontal="right" vertical="center"/>
      <protection locked="0"/>
    </xf>
    <xf numFmtId="3" fontId="23" fillId="0" borderId="39" xfId="0" applyNumberFormat="1" applyFont="1" applyFill="1" applyBorder="1" applyAlignment="1" applyProtection="1">
      <alignment horizontal="right" vertical="center"/>
      <protection locked="0"/>
    </xf>
    <xf numFmtId="165" fontId="19" fillId="0" borderId="41" xfId="0" applyNumberFormat="1" applyFont="1" applyFill="1" applyBorder="1" applyAlignment="1" applyProtection="1">
      <alignment horizontal="right" vertical="center"/>
      <protection locked="0"/>
    </xf>
    <xf numFmtId="3" fontId="23" fillId="0" borderId="41" xfId="0" applyNumberFormat="1" applyFont="1" applyFill="1" applyBorder="1" applyAlignment="1" applyProtection="1">
      <alignment horizontal="right" vertical="center"/>
      <protection locked="0"/>
    </xf>
    <xf numFmtId="3" fontId="19" fillId="0" borderId="64" xfId="0" applyNumberFormat="1" applyFont="1" applyFill="1" applyBorder="1" applyAlignment="1" applyProtection="1">
      <alignment horizontal="right" vertical="center"/>
      <protection locked="0"/>
    </xf>
    <xf numFmtId="3" fontId="23" fillId="0" borderId="41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3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Border="1" applyAlignment="1">
      <alignment horizontal="center" vertical="center" wrapText="1"/>
    </xf>
    <xf numFmtId="3" fontId="19" fillId="0" borderId="38" xfId="0" applyNumberFormat="1" applyFont="1" applyFill="1" applyBorder="1" applyAlignment="1" applyProtection="1">
      <alignment horizontal="right" vertical="center"/>
      <protection locked="0"/>
    </xf>
    <xf numFmtId="3" fontId="19" fillId="0" borderId="30" xfId="0" applyNumberFormat="1" applyFont="1" applyFill="1" applyBorder="1" applyAlignment="1" applyProtection="1">
      <alignment vertical="center" wrapText="1"/>
      <protection locked="0"/>
    </xf>
    <xf numFmtId="3" fontId="19" fillId="0" borderId="4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5"/>
  <sheetViews>
    <sheetView tabSelected="1" workbookViewId="0" topLeftCell="A340">
      <selection activeCell="D349" sqref="D349"/>
    </sheetView>
  </sheetViews>
  <sheetFormatPr defaultColWidth="9.140625" defaultRowHeight="12.75"/>
  <cols>
    <col min="1" max="1" width="4.7109375" style="7" customWidth="1"/>
    <col min="2" max="2" width="21.57421875" style="7" customWidth="1"/>
    <col min="3" max="3" width="11.28125" style="7" customWidth="1"/>
    <col min="4" max="4" width="10.8515625" style="7" customWidth="1"/>
    <col min="5" max="5" width="11.140625" style="7" customWidth="1"/>
    <col min="6" max="6" width="4.8515625" style="7" customWidth="1"/>
    <col min="7" max="7" width="9.7109375" style="7" customWidth="1"/>
    <col min="8" max="8" width="9.57421875" style="7" customWidth="1"/>
    <col min="9" max="9" width="4.8515625" style="7" customWidth="1"/>
    <col min="10" max="10" width="10.00390625" style="7" customWidth="1"/>
    <col min="11" max="11" width="8.7109375" style="7" customWidth="1"/>
    <col min="12" max="12" width="4.00390625" style="468" customWidth="1"/>
    <col min="13" max="14" width="8.7109375" style="7" customWidth="1"/>
    <col min="15" max="15" width="5.28125" style="7" customWidth="1"/>
    <col min="16" max="16" width="8.7109375" style="7" customWidth="1"/>
    <col min="17" max="17" width="9.57421875" style="7" customWidth="1"/>
    <col min="18" max="18" width="6.140625" style="468" customWidth="1"/>
    <col min="19" max="19" width="0" style="7" hidden="1" customWidth="1"/>
    <col min="20" max="16384" width="9.140625" style="7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5"/>
      <c r="Q1" s="6" t="s">
        <v>0</v>
      </c>
      <c r="R1" s="3"/>
    </row>
    <row r="2" spans="1:18" ht="16.5" customHeight="1">
      <c r="A2" s="8" t="s">
        <v>1</v>
      </c>
      <c r="B2" s="9"/>
      <c r="C2" s="10"/>
      <c r="D2" s="10"/>
      <c r="E2" s="10"/>
      <c r="F2" s="11"/>
      <c r="G2" s="12"/>
      <c r="H2" s="13"/>
      <c r="I2" s="14"/>
      <c r="J2" s="12"/>
      <c r="K2" s="13"/>
      <c r="L2" s="15"/>
      <c r="M2" s="16"/>
      <c r="N2" s="17"/>
      <c r="O2" s="18"/>
      <c r="P2" s="19"/>
      <c r="Q2" s="20"/>
      <c r="R2" s="21"/>
    </row>
    <row r="3" spans="1:18" ht="14.25" customHeight="1" thickBot="1">
      <c r="A3" s="8"/>
      <c r="B3" s="22"/>
      <c r="C3" s="22"/>
      <c r="D3" s="9"/>
      <c r="E3" s="9"/>
      <c r="F3" s="23"/>
      <c r="G3" s="24"/>
      <c r="H3" s="24"/>
      <c r="I3" s="24"/>
      <c r="J3" s="24"/>
      <c r="K3" s="24"/>
      <c r="L3" s="25"/>
      <c r="M3" s="24"/>
      <c r="N3" s="26"/>
      <c r="O3" s="18"/>
      <c r="P3" s="19"/>
      <c r="Q3" s="27" t="s">
        <v>2</v>
      </c>
      <c r="R3" s="28"/>
    </row>
    <row r="4" spans="1:18" ht="15.75" thickTop="1">
      <c r="A4" s="29" t="s">
        <v>3</v>
      </c>
      <c r="B4" s="30" t="s">
        <v>4</v>
      </c>
      <c r="C4" s="31" t="s">
        <v>5</v>
      </c>
      <c r="D4" s="32"/>
      <c r="E4" s="32"/>
      <c r="F4" s="33"/>
      <c r="G4" s="34" t="s">
        <v>6</v>
      </c>
      <c r="H4" s="35"/>
      <c r="I4" s="35"/>
      <c r="J4" s="35"/>
      <c r="K4" s="35"/>
      <c r="L4" s="36"/>
      <c r="M4" s="37" t="s">
        <v>7</v>
      </c>
      <c r="N4" s="38"/>
      <c r="O4" s="38"/>
      <c r="P4" s="38"/>
      <c r="Q4" s="38"/>
      <c r="R4" s="39"/>
    </row>
    <row r="5" spans="1:18" ht="27.75" customHeight="1" thickBot="1">
      <c r="A5" s="40"/>
      <c r="B5" s="41"/>
      <c r="C5" s="42"/>
      <c r="D5" s="43"/>
      <c r="E5" s="43"/>
      <c r="F5" s="44"/>
      <c r="G5" s="45" t="s">
        <v>8</v>
      </c>
      <c r="H5" s="46"/>
      <c r="I5" s="47"/>
      <c r="J5" s="45" t="s">
        <v>9</v>
      </c>
      <c r="K5" s="48"/>
      <c r="L5" s="49"/>
      <c r="M5" s="45" t="s">
        <v>8</v>
      </c>
      <c r="N5" s="46"/>
      <c r="O5" s="47"/>
      <c r="P5" s="45" t="s">
        <v>9</v>
      </c>
      <c r="Q5" s="48"/>
      <c r="R5" s="50"/>
    </row>
    <row r="6" spans="1:18" ht="37.5" thickBot="1" thickTop="1">
      <c r="A6" s="51"/>
      <c r="B6" s="52"/>
      <c r="C6" s="53" t="s">
        <v>10</v>
      </c>
      <c r="D6" s="54" t="s">
        <v>11</v>
      </c>
      <c r="E6" s="54" t="s">
        <v>12</v>
      </c>
      <c r="F6" s="55" t="s">
        <v>13</v>
      </c>
      <c r="G6" s="54" t="s">
        <v>11</v>
      </c>
      <c r="H6" s="56" t="s">
        <v>12</v>
      </c>
      <c r="I6" s="57" t="s">
        <v>13</v>
      </c>
      <c r="J6" s="54" t="s">
        <v>11</v>
      </c>
      <c r="K6" s="56" t="s">
        <v>12</v>
      </c>
      <c r="L6" s="57" t="s">
        <v>13</v>
      </c>
      <c r="M6" s="54" t="s">
        <v>11</v>
      </c>
      <c r="N6" s="56" t="s">
        <v>12</v>
      </c>
      <c r="O6" s="57" t="s">
        <v>13</v>
      </c>
      <c r="P6" s="54" t="s">
        <v>11</v>
      </c>
      <c r="Q6" s="56" t="s">
        <v>12</v>
      </c>
      <c r="R6" s="57" t="s">
        <v>13</v>
      </c>
    </row>
    <row r="7" spans="1:18" ht="11.25" customHeight="1" thickBot="1" thickTop="1">
      <c r="A7" s="58">
        <v>1</v>
      </c>
      <c r="B7" s="59">
        <v>2</v>
      </c>
      <c r="C7" s="58">
        <v>3</v>
      </c>
      <c r="D7" s="60">
        <v>4</v>
      </c>
      <c r="E7" s="60">
        <v>5</v>
      </c>
      <c r="F7" s="61">
        <v>6</v>
      </c>
      <c r="G7" s="62">
        <v>7</v>
      </c>
      <c r="H7" s="60">
        <v>8</v>
      </c>
      <c r="I7" s="63">
        <v>9</v>
      </c>
      <c r="J7" s="62">
        <v>10</v>
      </c>
      <c r="K7" s="60">
        <v>11</v>
      </c>
      <c r="L7" s="64">
        <v>12</v>
      </c>
      <c r="M7" s="62">
        <v>13</v>
      </c>
      <c r="N7" s="60">
        <v>14</v>
      </c>
      <c r="O7" s="63">
        <v>15</v>
      </c>
      <c r="P7" s="62">
        <v>16</v>
      </c>
      <c r="Q7" s="60">
        <v>17</v>
      </c>
      <c r="R7" s="64">
        <v>18</v>
      </c>
    </row>
    <row r="8" spans="1:18" s="76" customFormat="1" ht="19.5" customHeight="1" thickBot="1" thickTop="1">
      <c r="A8" s="65" t="s">
        <v>14</v>
      </c>
      <c r="B8" s="66" t="s">
        <v>15</v>
      </c>
      <c r="C8" s="67"/>
      <c r="D8" s="68">
        <f>G8+J8+M8+P8</f>
        <v>25138</v>
      </c>
      <c r="E8" s="69">
        <f>E9</f>
        <v>25138</v>
      </c>
      <c r="F8" s="70">
        <f>E8/D8*100</f>
        <v>100</v>
      </c>
      <c r="G8" s="71"/>
      <c r="H8" s="72"/>
      <c r="I8" s="73"/>
      <c r="J8" s="74">
        <f>J9</f>
        <v>25138</v>
      </c>
      <c r="K8" s="69">
        <f>K9</f>
        <v>25138</v>
      </c>
      <c r="L8" s="75">
        <f>K8/J8*100</f>
        <v>100</v>
      </c>
      <c r="M8" s="71"/>
      <c r="N8" s="72"/>
      <c r="O8" s="73"/>
      <c r="P8" s="71"/>
      <c r="Q8" s="72"/>
      <c r="R8" s="73"/>
    </row>
    <row r="9" spans="1:18" s="88" customFormat="1" ht="15" customHeight="1" thickTop="1">
      <c r="A9" s="77" t="s">
        <v>16</v>
      </c>
      <c r="B9" s="78" t="s">
        <v>17</v>
      </c>
      <c r="C9" s="79"/>
      <c r="D9" s="80">
        <f>D10</f>
        <v>25138</v>
      </c>
      <c r="E9" s="80">
        <f>E10</f>
        <v>25138</v>
      </c>
      <c r="F9" s="81">
        <f>E9/D9*100</f>
        <v>100</v>
      </c>
      <c r="G9" s="82"/>
      <c r="H9" s="83"/>
      <c r="I9" s="84"/>
      <c r="J9" s="85">
        <f>J10</f>
        <v>25138</v>
      </c>
      <c r="K9" s="80">
        <f>K10</f>
        <v>25138</v>
      </c>
      <c r="L9" s="86">
        <f>K9/J9*100</f>
        <v>100</v>
      </c>
      <c r="M9" s="82"/>
      <c r="N9" s="83"/>
      <c r="O9" s="84"/>
      <c r="P9" s="82"/>
      <c r="Q9" s="83"/>
      <c r="R9" s="87"/>
    </row>
    <row r="10" spans="1:18" ht="60" customHeight="1" thickBot="1">
      <c r="A10" s="89" t="s">
        <v>18</v>
      </c>
      <c r="B10" s="90" t="s">
        <v>19</v>
      </c>
      <c r="C10" s="91"/>
      <c r="D10" s="92">
        <f>G10+J10+M10+P10</f>
        <v>25138</v>
      </c>
      <c r="E10" s="92">
        <f>H10+K10+N10+Q10</f>
        <v>25138</v>
      </c>
      <c r="F10" s="93"/>
      <c r="G10" s="94"/>
      <c r="H10" s="95"/>
      <c r="I10" s="96"/>
      <c r="J10" s="97">
        <v>25138</v>
      </c>
      <c r="K10" s="98">
        <v>25138</v>
      </c>
      <c r="L10" s="99"/>
      <c r="M10" s="94"/>
      <c r="N10" s="95"/>
      <c r="O10" s="96"/>
      <c r="P10" s="94"/>
      <c r="Q10" s="95"/>
      <c r="R10" s="96"/>
    </row>
    <row r="11" spans="1:18" ht="24.75" customHeight="1" thickBot="1" thickTop="1">
      <c r="A11" s="100" t="s">
        <v>20</v>
      </c>
      <c r="B11" s="101" t="s">
        <v>21</v>
      </c>
      <c r="C11" s="102">
        <f>C14+C21+C28</f>
        <v>9318030</v>
      </c>
      <c r="D11" s="68">
        <f>G11+J11+M11+P11</f>
        <v>18030</v>
      </c>
      <c r="E11" s="103">
        <f>E12+E14+E21+E28+E26+E24</f>
        <v>81858</v>
      </c>
      <c r="F11" s="104">
        <f>E11/D11*100</f>
        <v>454.0099833610649</v>
      </c>
      <c r="G11" s="103">
        <f>G14+G21+G26+G28</f>
        <v>14030</v>
      </c>
      <c r="H11" s="103">
        <f>H12+H14+H21+H26+H28+H24</f>
        <v>69411</v>
      </c>
      <c r="I11" s="105">
        <f>H11/G11*100</f>
        <v>494.7327156094084</v>
      </c>
      <c r="J11" s="106"/>
      <c r="K11" s="103"/>
      <c r="L11" s="107"/>
      <c r="M11" s="103">
        <f>M14+M21+M26+M28</f>
        <v>4000</v>
      </c>
      <c r="N11" s="103">
        <f>N14+N21+N26+N28</f>
        <v>12447</v>
      </c>
      <c r="O11" s="108">
        <f>N11/M11*100</f>
        <v>311.17499999999995</v>
      </c>
      <c r="P11" s="106"/>
      <c r="Q11" s="103"/>
      <c r="R11" s="107"/>
    </row>
    <row r="12" spans="1:18" ht="24.75" customHeight="1" thickTop="1">
      <c r="A12" s="109" t="s">
        <v>22</v>
      </c>
      <c r="B12" s="110" t="s">
        <v>23</v>
      </c>
      <c r="C12" s="111"/>
      <c r="D12" s="112"/>
      <c r="E12" s="113">
        <f>E13</f>
        <v>6364</v>
      </c>
      <c r="F12" s="114"/>
      <c r="G12" s="115"/>
      <c r="H12" s="113">
        <f>H13</f>
        <v>6364</v>
      </c>
      <c r="I12" s="116"/>
      <c r="J12" s="117"/>
      <c r="K12" s="113"/>
      <c r="L12" s="118"/>
      <c r="M12" s="115"/>
      <c r="N12" s="113"/>
      <c r="O12" s="119"/>
      <c r="P12" s="117"/>
      <c r="Q12" s="113"/>
      <c r="R12" s="119"/>
    </row>
    <row r="13" spans="1:18" ht="50.25" customHeight="1">
      <c r="A13" s="120" t="s">
        <v>24</v>
      </c>
      <c r="B13" s="121" t="s">
        <v>25</v>
      </c>
      <c r="C13" s="122"/>
      <c r="D13" s="92"/>
      <c r="E13" s="123">
        <f>H13</f>
        <v>6364</v>
      </c>
      <c r="F13" s="124"/>
      <c r="G13" s="125"/>
      <c r="H13" s="123">
        <v>6364</v>
      </c>
      <c r="I13" s="126"/>
      <c r="J13" s="127"/>
      <c r="K13" s="123"/>
      <c r="L13" s="128"/>
      <c r="M13" s="125"/>
      <c r="N13" s="123"/>
      <c r="O13" s="129"/>
      <c r="P13" s="127"/>
      <c r="Q13" s="123"/>
      <c r="R13" s="129"/>
    </row>
    <row r="14" spans="1:18" ht="26.25" customHeight="1">
      <c r="A14" s="130" t="s">
        <v>26</v>
      </c>
      <c r="B14" s="131" t="s">
        <v>27</v>
      </c>
      <c r="C14" s="132">
        <f>SUM(C15:C18)</f>
        <v>9304000</v>
      </c>
      <c r="D14" s="133">
        <f>SUM(D15:D20)</f>
        <v>4000</v>
      </c>
      <c r="E14" s="133">
        <f>SUM(E15:E20)</f>
        <v>12447</v>
      </c>
      <c r="F14" s="134">
        <f>E14/D14*100</f>
        <v>311.17499999999995</v>
      </c>
      <c r="G14" s="135"/>
      <c r="H14" s="136"/>
      <c r="I14" s="134"/>
      <c r="J14" s="135"/>
      <c r="K14" s="136"/>
      <c r="L14" s="137"/>
      <c r="M14" s="138">
        <f>SUM(M15:M20)</f>
        <v>4000</v>
      </c>
      <c r="N14" s="133">
        <f>SUM(N15:N20)</f>
        <v>12447</v>
      </c>
      <c r="O14" s="139">
        <f>N14/M14*100</f>
        <v>311.17499999999995</v>
      </c>
      <c r="P14" s="135"/>
      <c r="Q14" s="136"/>
      <c r="R14" s="139"/>
    </row>
    <row r="15" spans="1:18" ht="33" customHeight="1">
      <c r="A15" s="120" t="s">
        <v>28</v>
      </c>
      <c r="B15" s="90" t="s">
        <v>29</v>
      </c>
      <c r="C15" s="140">
        <v>3000</v>
      </c>
      <c r="D15" s="92">
        <f>G15+J15+M15</f>
        <v>3000</v>
      </c>
      <c r="E15" s="92">
        <f>H15+K15+N15+Q15</f>
        <v>12265</v>
      </c>
      <c r="F15" s="124">
        <f>E15/D15*100</f>
        <v>408.8333333333333</v>
      </c>
      <c r="G15" s="127"/>
      <c r="H15" s="123"/>
      <c r="I15" s="126"/>
      <c r="J15" s="127"/>
      <c r="K15" s="123"/>
      <c r="L15" s="128"/>
      <c r="M15" s="127">
        <v>3000</v>
      </c>
      <c r="N15" s="123">
        <v>12265</v>
      </c>
      <c r="O15" s="129">
        <f>N15/M15*100</f>
        <v>408.8333333333333</v>
      </c>
      <c r="P15" s="127"/>
      <c r="Q15" s="123"/>
      <c r="R15" s="129"/>
    </row>
    <row r="16" spans="1:18" ht="18" customHeight="1">
      <c r="A16" s="120" t="s">
        <v>30</v>
      </c>
      <c r="B16" s="90" t="s">
        <v>31</v>
      </c>
      <c r="C16" s="140">
        <v>1000</v>
      </c>
      <c r="D16" s="92">
        <f>G16+J16+M16</f>
        <v>1000</v>
      </c>
      <c r="E16" s="92">
        <f>H16+K16+N16+Q16</f>
        <v>182</v>
      </c>
      <c r="F16" s="124">
        <f>E16/D16*100</f>
        <v>18.2</v>
      </c>
      <c r="G16" s="127"/>
      <c r="H16" s="123"/>
      <c r="I16" s="126"/>
      <c r="J16" s="127"/>
      <c r="K16" s="123"/>
      <c r="L16" s="128"/>
      <c r="M16" s="127">
        <v>1000</v>
      </c>
      <c r="N16" s="123">
        <v>182</v>
      </c>
      <c r="O16" s="129">
        <f>N16/M16*100</f>
        <v>18.2</v>
      </c>
      <c r="P16" s="127"/>
      <c r="Q16" s="123"/>
      <c r="R16" s="129"/>
    </row>
    <row r="17" spans="1:18" s="141" customFormat="1" ht="53.25" customHeight="1">
      <c r="A17" s="120" t="s">
        <v>32</v>
      </c>
      <c r="B17" s="121" t="s">
        <v>33</v>
      </c>
      <c r="C17" s="140">
        <v>5000000</v>
      </c>
      <c r="D17" s="92"/>
      <c r="E17" s="92"/>
      <c r="F17" s="124"/>
      <c r="G17" s="127"/>
      <c r="H17" s="123"/>
      <c r="I17" s="126"/>
      <c r="J17" s="127"/>
      <c r="K17" s="123"/>
      <c r="L17" s="128"/>
      <c r="M17" s="127"/>
      <c r="N17" s="123"/>
      <c r="O17" s="129"/>
      <c r="P17" s="127"/>
      <c r="Q17" s="123"/>
      <c r="R17" s="129"/>
    </row>
    <row r="18" spans="1:18" s="141" customFormat="1" ht="48" customHeight="1">
      <c r="A18" s="120" t="s">
        <v>34</v>
      </c>
      <c r="B18" s="121" t="s">
        <v>35</v>
      </c>
      <c r="C18" s="140">
        <f>SUM(C19:C20)</f>
        <v>4300000</v>
      </c>
      <c r="D18" s="92"/>
      <c r="E18" s="92"/>
      <c r="F18" s="124"/>
      <c r="G18" s="127"/>
      <c r="H18" s="123"/>
      <c r="I18" s="126"/>
      <c r="J18" s="127"/>
      <c r="K18" s="123"/>
      <c r="L18" s="128"/>
      <c r="M18" s="127"/>
      <c r="N18" s="123"/>
      <c r="O18" s="129"/>
      <c r="P18" s="127"/>
      <c r="Q18" s="123"/>
      <c r="R18" s="129"/>
    </row>
    <row r="19" spans="1:18" s="152" customFormat="1" ht="12.75" customHeight="1">
      <c r="A19" s="142"/>
      <c r="B19" s="143" t="s">
        <v>36</v>
      </c>
      <c r="C19" s="144">
        <v>2350000</v>
      </c>
      <c r="D19" s="145"/>
      <c r="E19" s="145"/>
      <c r="F19" s="146"/>
      <c r="G19" s="147"/>
      <c r="H19" s="148"/>
      <c r="I19" s="149"/>
      <c r="J19" s="147"/>
      <c r="K19" s="148"/>
      <c r="L19" s="150"/>
      <c r="M19" s="147"/>
      <c r="N19" s="148"/>
      <c r="O19" s="151"/>
      <c r="P19" s="147"/>
      <c r="Q19" s="148"/>
      <c r="R19" s="151"/>
    </row>
    <row r="20" spans="1:18" s="152" customFormat="1" ht="12" customHeight="1">
      <c r="A20" s="153"/>
      <c r="B20" s="154" t="s">
        <v>37</v>
      </c>
      <c r="C20" s="155">
        <v>1950000</v>
      </c>
      <c r="D20" s="156"/>
      <c r="E20" s="156"/>
      <c r="F20" s="157"/>
      <c r="G20" s="158"/>
      <c r="H20" s="159"/>
      <c r="I20" s="160"/>
      <c r="J20" s="158"/>
      <c r="K20" s="159"/>
      <c r="L20" s="161"/>
      <c r="M20" s="158"/>
      <c r="N20" s="159"/>
      <c r="O20" s="162"/>
      <c r="P20" s="158"/>
      <c r="Q20" s="159"/>
      <c r="R20" s="162"/>
    </row>
    <row r="21" spans="1:18" ht="17.25" customHeight="1">
      <c r="A21" s="130" t="s">
        <v>38</v>
      </c>
      <c r="B21" s="131" t="s">
        <v>39</v>
      </c>
      <c r="C21" s="132">
        <f>SUM(C22:C23)</f>
        <v>14000</v>
      </c>
      <c r="D21" s="133">
        <f>SUM(D22:D23)</f>
        <v>14000</v>
      </c>
      <c r="E21" s="133">
        <f>SUM(E22:E23)</f>
        <v>38055</v>
      </c>
      <c r="F21" s="163">
        <f aca="true" t="shared" si="0" ref="F21:F76">E21/D21*100</f>
        <v>271.82142857142856</v>
      </c>
      <c r="G21" s="135">
        <f>SUM(G22:G23)</f>
        <v>14000</v>
      </c>
      <c r="H21" s="136">
        <f>SUM(H22:H23)</f>
        <v>38055</v>
      </c>
      <c r="I21" s="134">
        <f aca="true" t="shared" si="1" ref="I21:I32">H21/G21*100</f>
        <v>271.82142857142856</v>
      </c>
      <c r="J21" s="135"/>
      <c r="K21" s="136"/>
      <c r="L21" s="137"/>
      <c r="M21" s="135"/>
      <c r="N21" s="136"/>
      <c r="O21" s="139"/>
      <c r="P21" s="135"/>
      <c r="Q21" s="136"/>
      <c r="R21" s="139"/>
    </row>
    <row r="22" spans="1:18" s="141" customFormat="1" ht="38.25" customHeight="1">
      <c r="A22" s="164" t="s">
        <v>28</v>
      </c>
      <c r="B22" s="165" t="s">
        <v>40</v>
      </c>
      <c r="C22" s="166">
        <v>10000</v>
      </c>
      <c r="D22" s="167">
        <f>G22+J22</f>
        <v>10000</v>
      </c>
      <c r="E22" s="167">
        <f>H22+K22</f>
        <v>36275</v>
      </c>
      <c r="F22" s="168">
        <f t="shared" si="0"/>
        <v>362.75</v>
      </c>
      <c r="G22" s="169">
        <v>10000</v>
      </c>
      <c r="H22" s="170">
        <v>36275</v>
      </c>
      <c r="I22" s="168">
        <f t="shared" si="1"/>
        <v>362.75</v>
      </c>
      <c r="J22" s="169"/>
      <c r="K22" s="170"/>
      <c r="L22" s="171"/>
      <c r="M22" s="169"/>
      <c r="N22" s="170"/>
      <c r="O22" s="172"/>
      <c r="P22" s="169"/>
      <c r="Q22" s="170"/>
      <c r="R22" s="172"/>
    </row>
    <row r="23" spans="1:18" s="141" customFormat="1" ht="21.75" customHeight="1">
      <c r="A23" s="120" t="s">
        <v>30</v>
      </c>
      <c r="B23" s="90" t="s">
        <v>41</v>
      </c>
      <c r="C23" s="140">
        <v>4000</v>
      </c>
      <c r="D23" s="92">
        <f>G23+J23</f>
        <v>4000</v>
      </c>
      <c r="E23" s="92">
        <f>H23+K23</f>
        <v>1780</v>
      </c>
      <c r="F23" s="126">
        <f t="shared" si="0"/>
        <v>44.5</v>
      </c>
      <c r="G23" s="127">
        <v>4000</v>
      </c>
      <c r="H23" s="123">
        <v>1780</v>
      </c>
      <c r="I23" s="126">
        <f t="shared" si="1"/>
        <v>44.5</v>
      </c>
      <c r="J23" s="127"/>
      <c r="K23" s="123"/>
      <c r="L23" s="128"/>
      <c r="M23" s="127"/>
      <c r="N23" s="123"/>
      <c r="O23" s="129"/>
      <c r="P23" s="127"/>
      <c r="Q23" s="123"/>
      <c r="R23" s="129"/>
    </row>
    <row r="24" spans="1:18" ht="18" customHeight="1">
      <c r="A24" s="130" t="s">
        <v>42</v>
      </c>
      <c r="B24" s="131" t="s">
        <v>43</v>
      </c>
      <c r="C24" s="132"/>
      <c r="D24" s="133"/>
      <c r="E24" s="133">
        <f>E25</f>
        <v>8144</v>
      </c>
      <c r="F24" s="134"/>
      <c r="G24" s="135"/>
      <c r="H24" s="136">
        <f>H25</f>
        <v>8144</v>
      </c>
      <c r="I24" s="134"/>
      <c r="J24" s="135"/>
      <c r="K24" s="136"/>
      <c r="L24" s="137"/>
      <c r="M24" s="135"/>
      <c r="N24" s="136"/>
      <c r="O24" s="139"/>
      <c r="P24" s="135"/>
      <c r="Q24" s="136"/>
      <c r="R24" s="139"/>
    </row>
    <row r="25" spans="1:18" ht="40.5" customHeight="1">
      <c r="A25" s="120" t="s">
        <v>28</v>
      </c>
      <c r="B25" s="173" t="s">
        <v>40</v>
      </c>
      <c r="C25" s="140"/>
      <c r="D25" s="92"/>
      <c r="E25" s="92">
        <f>H25</f>
        <v>8144</v>
      </c>
      <c r="F25" s="126"/>
      <c r="G25" s="127"/>
      <c r="H25" s="123">
        <v>8144</v>
      </c>
      <c r="I25" s="126"/>
      <c r="J25" s="127"/>
      <c r="K25" s="123"/>
      <c r="L25" s="128"/>
      <c r="M25" s="127"/>
      <c r="N25" s="123"/>
      <c r="O25" s="129"/>
      <c r="P25" s="127"/>
      <c r="Q25" s="123"/>
      <c r="R25" s="129"/>
    </row>
    <row r="26" spans="1:18" ht="26.25" customHeight="1">
      <c r="A26" s="130" t="s">
        <v>44</v>
      </c>
      <c r="B26" s="131" t="s">
        <v>45</v>
      </c>
      <c r="C26" s="132"/>
      <c r="D26" s="133"/>
      <c r="E26" s="133">
        <f>E27</f>
        <v>16295</v>
      </c>
      <c r="F26" s="174"/>
      <c r="G26" s="135"/>
      <c r="H26" s="136">
        <f>H27</f>
        <v>16295</v>
      </c>
      <c r="I26" s="134"/>
      <c r="J26" s="135"/>
      <c r="K26" s="136"/>
      <c r="L26" s="137"/>
      <c r="M26" s="135"/>
      <c r="N26" s="136"/>
      <c r="O26" s="139"/>
      <c r="P26" s="135"/>
      <c r="Q26" s="136"/>
      <c r="R26" s="139"/>
    </row>
    <row r="27" spans="1:18" ht="34.5" customHeight="1">
      <c r="A27" s="175" t="s">
        <v>28</v>
      </c>
      <c r="B27" s="176" t="s">
        <v>40</v>
      </c>
      <c r="C27" s="140"/>
      <c r="D27" s="92"/>
      <c r="E27" s="92">
        <f>H27+K27</f>
        <v>16295</v>
      </c>
      <c r="F27" s="126"/>
      <c r="G27" s="127"/>
      <c r="H27" s="123">
        <v>16295</v>
      </c>
      <c r="I27" s="126"/>
      <c r="J27" s="127"/>
      <c r="K27" s="123"/>
      <c r="L27" s="128"/>
      <c r="M27" s="127"/>
      <c r="N27" s="123"/>
      <c r="O27" s="129"/>
      <c r="P27" s="127"/>
      <c r="Q27" s="123"/>
      <c r="R27" s="129"/>
    </row>
    <row r="28" spans="1:18" ht="16.5" customHeight="1">
      <c r="A28" s="130" t="s">
        <v>46</v>
      </c>
      <c r="B28" s="131" t="s">
        <v>17</v>
      </c>
      <c r="C28" s="132">
        <f>C29</f>
        <v>30</v>
      </c>
      <c r="D28" s="133">
        <f>D29</f>
        <v>30</v>
      </c>
      <c r="E28" s="133">
        <f>E29</f>
        <v>553</v>
      </c>
      <c r="F28" s="134">
        <f t="shared" si="0"/>
        <v>1843.3333333333333</v>
      </c>
      <c r="G28" s="135">
        <f>G29</f>
        <v>30</v>
      </c>
      <c r="H28" s="136">
        <f>H29</f>
        <v>553</v>
      </c>
      <c r="I28" s="134">
        <f t="shared" si="1"/>
        <v>1843.3333333333333</v>
      </c>
      <c r="J28" s="135"/>
      <c r="K28" s="136"/>
      <c r="L28" s="137"/>
      <c r="M28" s="135"/>
      <c r="N28" s="136"/>
      <c r="O28" s="139"/>
      <c r="P28" s="135"/>
      <c r="Q28" s="136"/>
      <c r="R28" s="139"/>
    </row>
    <row r="29" spans="1:18" ht="14.25" customHeight="1" thickBot="1">
      <c r="A29" s="120" t="s">
        <v>30</v>
      </c>
      <c r="B29" s="90" t="s">
        <v>41</v>
      </c>
      <c r="C29" s="140">
        <v>30</v>
      </c>
      <c r="D29" s="92">
        <f>G29+J29+M29+P29</f>
        <v>30</v>
      </c>
      <c r="E29" s="92">
        <f>H29+K29+N29+Q29</f>
        <v>553</v>
      </c>
      <c r="F29" s="126"/>
      <c r="G29" s="127">
        <v>30</v>
      </c>
      <c r="H29" s="123">
        <v>553</v>
      </c>
      <c r="I29" s="168"/>
      <c r="J29" s="127"/>
      <c r="K29" s="123"/>
      <c r="L29" s="128"/>
      <c r="M29" s="127"/>
      <c r="N29" s="123"/>
      <c r="O29" s="129"/>
      <c r="P29" s="127"/>
      <c r="Q29" s="123"/>
      <c r="R29" s="129"/>
    </row>
    <row r="30" spans="1:18" ht="29.25" customHeight="1" thickBot="1" thickTop="1">
      <c r="A30" s="100" t="s">
        <v>47</v>
      </c>
      <c r="B30" s="177" t="s">
        <v>48</v>
      </c>
      <c r="C30" s="102">
        <f>C31</f>
        <v>27608500</v>
      </c>
      <c r="D30" s="68">
        <f>G30+J30+M30+P30</f>
        <v>30354000</v>
      </c>
      <c r="E30" s="103">
        <f>E31</f>
        <v>22728507</v>
      </c>
      <c r="F30" s="104">
        <f t="shared" si="0"/>
        <v>74.87812808855506</v>
      </c>
      <c r="G30" s="106">
        <f>G31</f>
        <v>29365000</v>
      </c>
      <c r="H30" s="103">
        <f>H31</f>
        <v>21681347</v>
      </c>
      <c r="I30" s="105">
        <f t="shared" si="1"/>
        <v>73.83397582155628</v>
      </c>
      <c r="J30" s="106"/>
      <c r="K30" s="103"/>
      <c r="L30" s="107"/>
      <c r="M30" s="106">
        <f>M31</f>
        <v>950000</v>
      </c>
      <c r="N30" s="103">
        <f>N31</f>
        <v>1008207</v>
      </c>
      <c r="O30" s="105">
        <f>N30/M30*100</f>
        <v>106.12705263157895</v>
      </c>
      <c r="P30" s="106">
        <f>P31</f>
        <v>39000</v>
      </c>
      <c r="Q30" s="103">
        <f>Q31</f>
        <v>38953</v>
      </c>
      <c r="R30" s="105">
        <f>Q30/P30*100</f>
        <v>99.87948717948719</v>
      </c>
    </row>
    <row r="31" spans="1:18" ht="25.5" customHeight="1" thickTop="1">
      <c r="A31" s="178" t="s">
        <v>49</v>
      </c>
      <c r="B31" s="179" t="s">
        <v>50</v>
      </c>
      <c r="C31" s="180">
        <f>C32+C34+C35+C36+C37+C38+C41+C42</f>
        <v>27608500</v>
      </c>
      <c r="D31" s="181">
        <f>G31+J31+M31+P31</f>
        <v>30354000</v>
      </c>
      <c r="E31" s="181">
        <f>H31+K31+N31+Q31</f>
        <v>22728507</v>
      </c>
      <c r="F31" s="182">
        <f t="shared" si="0"/>
        <v>74.87812808855506</v>
      </c>
      <c r="G31" s="183">
        <f>SUM(G32:G38)</f>
        <v>29365000</v>
      </c>
      <c r="H31" s="113">
        <f>SUM(H32:H38)</f>
        <v>21681347</v>
      </c>
      <c r="I31" s="182">
        <f t="shared" si="1"/>
        <v>73.83397582155628</v>
      </c>
      <c r="J31" s="184"/>
      <c r="K31" s="185"/>
      <c r="L31" s="186"/>
      <c r="M31" s="184">
        <f>SUM(M32:M42)</f>
        <v>950000</v>
      </c>
      <c r="N31" s="185">
        <f>SUM(N32:N42)</f>
        <v>1008207</v>
      </c>
      <c r="O31" s="182">
        <f>N31/M31*100</f>
        <v>106.12705263157895</v>
      </c>
      <c r="P31" s="187">
        <f>P41</f>
        <v>39000</v>
      </c>
      <c r="Q31" s="181">
        <f>Q41</f>
        <v>38953</v>
      </c>
      <c r="R31" s="182">
        <f>Q31/P31*100</f>
        <v>99.87948717948719</v>
      </c>
    </row>
    <row r="32" spans="1:18" ht="36.75" customHeight="1">
      <c r="A32" s="164" t="s">
        <v>51</v>
      </c>
      <c r="B32" s="165" t="s">
        <v>52</v>
      </c>
      <c r="C32" s="166">
        <v>5500000</v>
      </c>
      <c r="D32" s="167">
        <f>G32+J32+M32+P32</f>
        <v>5500000</v>
      </c>
      <c r="E32" s="167">
        <f>H32+K32+N32+Q32</f>
        <v>5978848</v>
      </c>
      <c r="F32" s="168">
        <f t="shared" si="0"/>
        <v>108.70632727272726</v>
      </c>
      <c r="G32" s="169">
        <v>5500000</v>
      </c>
      <c r="H32" s="170">
        <v>5978848</v>
      </c>
      <c r="I32" s="168">
        <f t="shared" si="1"/>
        <v>108.70632727272726</v>
      </c>
      <c r="J32" s="169"/>
      <c r="K32" s="170"/>
      <c r="L32" s="171"/>
      <c r="M32" s="169"/>
      <c r="N32" s="170"/>
      <c r="O32" s="168"/>
      <c r="P32" s="169"/>
      <c r="Q32" s="170"/>
      <c r="R32" s="168"/>
    </row>
    <row r="33" spans="1:18" s="141" customFormat="1" ht="42" customHeight="1">
      <c r="A33" s="120" t="s">
        <v>28</v>
      </c>
      <c r="B33" s="90" t="s">
        <v>40</v>
      </c>
      <c r="C33" s="140"/>
      <c r="D33" s="92"/>
      <c r="E33" s="92">
        <f>H33+K33+N33+Q33</f>
        <v>16038</v>
      </c>
      <c r="F33" s="126"/>
      <c r="G33" s="127"/>
      <c r="H33" s="123">
        <v>16038</v>
      </c>
      <c r="I33" s="126"/>
      <c r="J33" s="127"/>
      <c r="K33" s="123"/>
      <c r="L33" s="128"/>
      <c r="M33" s="127"/>
      <c r="N33" s="123"/>
      <c r="O33" s="126"/>
      <c r="P33" s="127"/>
      <c r="Q33" s="123"/>
      <c r="R33" s="126"/>
    </row>
    <row r="34" spans="1:18" ht="57.75" customHeight="1">
      <c r="A34" s="175" t="s">
        <v>53</v>
      </c>
      <c r="B34" s="176" t="s">
        <v>54</v>
      </c>
      <c r="C34" s="188">
        <v>245000</v>
      </c>
      <c r="D34" s="189">
        <f>G34+J34</f>
        <v>245000</v>
      </c>
      <c r="E34" s="189">
        <f aca="true" t="shared" si="2" ref="E34:E42">H34+K34+N34+Q34</f>
        <v>482935</v>
      </c>
      <c r="F34" s="190">
        <f t="shared" si="0"/>
        <v>197.11632653061224</v>
      </c>
      <c r="G34" s="191">
        <v>245000</v>
      </c>
      <c r="H34" s="192">
        <v>482935</v>
      </c>
      <c r="I34" s="190">
        <f aca="true" t="shared" si="3" ref="I34:I40">H34/G34*100</f>
        <v>197.11632653061224</v>
      </c>
      <c r="J34" s="191"/>
      <c r="K34" s="192"/>
      <c r="L34" s="193"/>
      <c r="M34" s="191"/>
      <c r="N34" s="192"/>
      <c r="O34" s="190"/>
      <c r="P34" s="191"/>
      <c r="Q34" s="192"/>
      <c r="R34" s="190"/>
    </row>
    <row r="35" spans="1:18" ht="67.5" customHeight="1">
      <c r="A35" s="120" t="s">
        <v>55</v>
      </c>
      <c r="B35" s="90" t="s">
        <v>56</v>
      </c>
      <c r="C35" s="140">
        <v>850000</v>
      </c>
      <c r="D35" s="92">
        <f>G35+J35+M35+P35</f>
        <v>850000</v>
      </c>
      <c r="E35" s="92">
        <f t="shared" si="2"/>
        <v>959960</v>
      </c>
      <c r="F35" s="126">
        <f t="shared" si="0"/>
        <v>112.93647058823531</v>
      </c>
      <c r="G35" s="127">
        <v>850000</v>
      </c>
      <c r="H35" s="123">
        <v>959960</v>
      </c>
      <c r="I35" s="126">
        <f t="shared" si="3"/>
        <v>112.93647058823531</v>
      </c>
      <c r="J35" s="127"/>
      <c r="K35" s="123"/>
      <c r="L35" s="128"/>
      <c r="M35" s="127"/>
      <c r="N35" s="123"/>
      <c r="O35" s="126"/>
      <c r="P35" s="127"/>
      <c r="Q35" s="123"/>
      <c r="R35" s="126"/>
    </row>
    <row r="36" spans="1:18" s="141" customFormat="1" ht="62.25" customHeight="1">
      <c r="A36" s="120" t="s">
        <v>57</v>
      </c>
      <c r="B36" s="90" t="s">
        <v>58</v>
      </c>
      <c r="C36" s="140">
        <v>900000</v>
      </c>
      <c r="D36" s="92">
        <f>G36+J36</f>
        <v>900000</v>
      </c>
      <c r="E36" s="92">
        <f t="shared" si="2"/>
        <v>725332</v>
      </c>
      <c r="F36" s="126">
        <f t="shared" si="0"/>
        <v>80.59244444444444</v>
      </c>
      <c r="G36" s="127">
        <v>900000</v>
      </c>
      <c r="H36" s="123">
        <v>725332</v>
      </c>
      <c r="I36" s="126">
        <f t="shared" si="3"/>
        <v>80.59244444444444</v>
      </c>
      <c r="J36" s="127"/>
      <c r="K36" s="123"/>
      <c r="L36" s="128"/>
      <c r="M36" s="127"/>
      <c r="N36" s="123"/>
      <c r="O36" s="126"/>
      <c r="P36" s="127"/>
      <c r="Q36" s="123"/>
      <c r="R36" s="126"/>
    </row>
    <row r="37" spans="1:18" s="141" customFormat="1" ht="55.5" customHeight="1">
      <c r="A37" s="120" t="s">
        <v>59</v>
      </c>
      <c r="B37" s="90" t="s">
        <v>60</v>
      </c>
      <c r="C37" s="140">
        <v>19100000</v>
      </c>
      <c r="D37" s="92">
        <f>G37+J37+M37+P37</f>
        <v>21037900</v>
      </c>
      <c r="E37" s="92">
        <f t="shared" si="2"/>
        <v>12765883</v>
      </c>
      <c r="F37" s="126">
        <f t="shared" si="0"/>
        <v>60.680405363653215</v>
      </c>
      <c r="G37" s="127">
        <f>19100000-712100+2650000</f>
        <v>21037900</v>
      </c>
      <c r="H37" s="123">
        <v>12765883</v>
      </c>
      <c r="I37" s="126">
        <f t="shared" si="3"/>
        <v>60.680405363653215</v>
      </c>
      <c r="J37" s="127"/>
      <c r="K37" s="123"/>
      <c r="L37" s="128"/>
      <c r="M37" s="127"/>
      <c r="N37" s="123"/>
      <c r="O37" s="194"/>
      <c r="P37" s="127"/>
      <c r="Q37" s="123"/>
      <c r="R37" s="126"/>
    </row>
    <row r="38" spans="1:18" s="141" customFormat="1" ht="16.5" customHeight="1">
      <c r="A38" s="120" t="s">
        <v>30</v>
      </c>
      <c r="B38" s="90" t="s">
        <v>31</v>
      </c>
      <c r="C38" s="140">
        <v>120000</v>
      </c>
      <c r="D38" s="92">
        <f>G38+J38</f>
        <v>832100</v>
      </c>
      <c r="E38" s="92">
        <f t="shared" si="2"/>
        <v>752351</v>
      </c>
      <c r="F38" s="126">
        <f t="shared" si="0"/>
        <v>90.4159355846653</v>
      </c>
      <c r="G38" s="127">
        <f>SUM(G39:G40)</f>
        <v>832100</v>
      </c>
      <c r="H38" s="123">
        <v>752351</v>
      </c>
      <c r="I38" s="126">
        <f t="shared" si="3"/>
        <v>90.4159355846653</v>
      </c>
      <c r="J38" s="127"/>
      <c r="K38" s="123"/>
      <c r="L38" s="128"/>
      <c r="M38" s="127"/>
      <c r="N38" s="123"/>
      <c r="O38" s="126"/>
      <c r="P38" s="127"/>
      <c r="Q38" s="123"/>
      <c r="R38" s="126"/>
    </row>
    <row r="39" spans="1:18" s="152" customFormat="1" ht="24" customHeight="1">
      <c r="A39" s="142"/>
      <c r="B39" s="195" t="s">
        <v>61</v>
      </c>
      <c r="C39" s="144">
        <v>120000</v>
      </c>
      <c r="D39" s="145">
        <f>G39</f>
        <v>120000</v>
      </c>
      <c r="E39" s="145">
        <f t="shared" si="2"/>
        <v>168682</v>
      </c>
      <c r="F39" s="149">
        <f t="shared" si="0"/>
        <v>140.56833333333333</v>
      </c>
      <c r="G39" s="147">
        <v>120000</v>
      </c>
      <c r="H39" s="148">
        <f>H38-H40</f>
        <v>168682</v>
      </c>
      <c r="I39" s="149">
        <f t="shared" si="3"/>
        <v>140.56833333333333</v>
      </c>
      <c r="J39" s="147"/>
      <c r="K39" s="148"/>
      <c r="L39" s="150"/>
      <c r="M39" s="147"/>
      <c r="N39" s="148"/>
      <c r="O39" s="149"/>
      <c r="P39" s="147"/>
      <c r="Q39" s="148"/>
      <c r="R39" s="149"/>
    </row>
    <row r="40" spans="1:18" s="152" customFormat="1" ht="36.75" customHeight="1">
      <c r="A40" s="142"/>
      <c r="B40" s="195" t="s">
        <v>62</v>
      </c>
      <c r="C40" s="144"/>
      <c r="D40" s="145">
        <f>G40</f>
        <v>712100</v>
      </c>
      <c r="E40" s="145">
        <f t="shared" si="2"/>
        <v>583669</v>
      </c>
      <c r="F40" s="149">
        <f t="shared" si="0"/>
        <v>81.9644712821233</v>
      </c>
      <c r="G40" s="147">
        <v>712100</v>
      </c>
      <c r="H40" s="148">
        <v>583669</v>
      </c>
      <c r="I40" s="149">
        <f t="shared" si="3"/>
        <v>81.9644712821233</v>
      </c>
      <c r="J40" s="147"/>
      <c r="K40" s="148"/>
      <c r="L40" s="150"/>
      <c r="M40" s="147"/>
      <c r="N40" s="148"/>
      <c r="O40" s="149"/>
      <c r="P40" s="147"/>
      <c r="Q40" s="148"/>
      <c r="R40" s="149"/>
    </row>
    <row r="41" spans="1:18" s="141" customFormat="1" ht="76.5" customHeight="1">
      <c r="A41" s="120" t="s">
        <v>63</v>
      </c>
      <c r="B41" s="196" t="s">
        <v>64</v>
      </c>
      <c r="C41" s="140">
        <v>43500</v>
      </c>
      <c r="D41" s="92">
        <f>G41+J41+M41+P41</f>
        <v>39000</v>
      </c>
      <c r="E41" s="92">
        <f t="shared" si="2"/>
        <v>38953</v>
      </c>
      <c r="F41" s="126">
        <f t="shared" si="0"/>
        <v>99.87948717948719</v>
      </c>
      <c r="G41" s="127"/>
      <c r="H41" s="123"/>
      <c r="I41" s="126"/>
      <c r="J41" s="127"/>
      <c r="K41" s="123"/>
      <c r="L41" s="128"/>
      <c r="M41" s="127"/>
      <c r="N41" s="123"/>
      <c r="O41" s="126"/>
      <c r="P41" s="127">
        <f>43500-4500</f>
        <v>39000</v>
      </c>
      <c r="Q41" s="123">
        <v>38953</v>
      </c>
      <c r="R41" s="126">
        <f>Q41/P41*100</f>
        <v>99.87948717948719</v>
      </c>
    </row>
    <row r="42" spans="1:18" ht="78" customHeight="1">
      <c r="A42" s="175" t="s">
        <v>65</v>
      </c>
      <c r="B42" s="197" t="s">
        <v>66</v>
      </c>
      <c r="C42" s="188">
        <v>850000</v>
      </c>
      <c r="D42" s="189">
        <f>G42+J42+M42+P42</f>
        <v>950000</v>
      </c>
      <c r="E42" s="189">
        <f t="shared" si="2"/>
        <v>1008207</v>
      </c>
      <c r="F42" s="190">
        <f t="shared" si="0"/>
        <v>106.12705263157895</v>
      </c>
      <c r="G42" s="191"/>
      <c r="H42" s="192"/>
      <c r="I42" s="190"/>
      <c r="J42" s="191"/>
      <c r="K42" s="192"/>
      <c r="L42" s="193"/>
      <c r="M42" s="191">
        <f>850000+100000</f>
        <v>950000</v>
      </c>
      <c r="N42" s="192">
        <v>1008207</v>
      </c>
      <c r="O42" s="190">
        <f>N42/M42*100</f>
        <v>106.12705263157895</v>
      </c>
      <c r="P42" s="191"/>
      <c r="Q42" s="192"/>
      <c r="R42" s="190"/>
    </row>
    <row r="43" spans="1:18" ht="29.25" customHeight="1" thickBot="1">
      <c r="A43" s="198" t="s">
        <v>67</v>
      </c>
      <c r="B43" s="199" t="s">
        <v>68</v>
      </c>
      <c r="C43" s="200">
        <f>C46+C48+C50+C53+C55</f>
        <v>1843700</v>
      </c>
      <c r="D43" s="201">
        <f>G43+J43+M43+P43</f>
        <v>1944266</v>
      </c>
      <c r="E43" s="201">
        <f>H43+K43+N43+Q43</f>
        <v>2046984</v>
      </c>
      <c r="F43" s="202">
        <f t="shared" si="0"/>
        <v>105.28312483991388</v>
      </c>
      <c r="G43" s="201">
        <f>G46+G48+G50+G53+G55</f>
        <v>1500000</v>
      </c>
      <c r="H43" s="201">
        <f>H44+H46+H48+H50+H53+H55</f>
        <v>1602732</v>
      </c>
      <c r="I43" s="203">
        <f>H43/G43*100</f>
        <v>106.84880000000001</v>
      </c>
      <c r="J43" s="204">
        <f>J53</f>
        <v>16600</v>
      </c>
      <c r="K43" s="205">
        <f>K53</f>
        <v>16595</v>
      </c>
      <c r="L43" s="206">
        <f>K43/J43*100</f>
        <v>99.96987951807229</v>
      </c>
      <c r="M43" s="207"/>
      <c r="N43" s="201"/>
      <c r="O43" s="208"/>
      <c r="P43" s="207">
        <f>P46+P48+P50</f>
        <v>427666</v>
      </c>
      <c r="Q43" s="201">
        <f>Q46+Q48+Q50</f>
        <v>427657</v>
      </c>
      <c r="R43" s="209">
        <f aca="true" t="shared" si="4" ref="R43:R50">Q43/P43*100</f>
        <v>99.9978955540071</v>
      </c>
    </row>
    <row r="44" spans="1:18" s="141" customFormat="1" ht="25.5" customHeight="1" thickTop="1">
      <c r="A44" s="109" t="s">
        <v>69</v>
      </c>
      <c r="B44" s="210" t="s">
        <v>70</v>
      </c>
      <c r="C44" s="211"/>
      <c r="D44" s="112"/>
      <c r="E44" s="112">
        <f>E45</f>
        <v>80813</v>
      </c>
      <c r="F44" s="114"/>
      <c r="G44" s="212"/>
      <c r="H44" s="112">
        <f>H45</f>
        <v>80813</v>
      </c>
      <c r="I44" s="116"/>
      <c r="J44" s="117"/>
      <c r="K44" s="113"/>
      <c r="L44" s="119"/>
      <c r="M44" s="211"/>
      <c r="N44" s="112"/>
      <c r="O44" s="116"/>
      <c r="P44" s="211"/>
      <c r="Q44" s="112"/>
      <c r="R44" s="116"/>
    </row>
    <row r="45" spans="1:18" s="141" customFormat="1" ht="42" customHeight="1">
      <c r="A45" s="120" t="s">
        <v>28</v>
      </c>
      <c r="B45" s="90" t="s">
        <v>40</v>
      </c>
      <c r="C45" s="213"/>
      <c r="D45" s="189"/>
      <c r="E45" s="92">
        <f>H45</f>
        <v>80813</v>
      </c>
      <c r="F45" s="124"/>
      <c r="G45" s="214"/>
      <c r="H45" s="92">
        <v>80813</v>
      </c>
      <c r="I45" s="126"/>
      <c r="J45" s="127"/>
      <c r="K45" s="123"/>
      <c r="L45" s="129"/>
      <c r="M45" s="215"/>
      <c r="N45" s="92"/>
      <c r="O45" s="126"/>
      <c r="P45" s="215"/>
      <c r="Q45" s="92"/>
      <c r="R45" s="126"/>
    </row>
    <row r="46" spans="1:18" ht="27" customHeight="1">
      <c r="A46" s="130" t="s">
        <v>71</v>
      </c>
      <c r="B46" s="131" t="s">
        <v>72</v>
      </c>
      <c r="C46" s="138">
        <f>SUM(C47:C47)</f>
        <v>80000</v>
      </c>
      <c r="D46" s="216">
        <f>D47</f>
        <v>74000</v>
      </c>
      <c r="E46" s="133">
        <f>E47</f>
        <v>74000</v>
      </c>
      <c r="F46" s="163">
        <f t="shared" si="0"/>
        <v>100</v>
      </c>
      <c r="G46" s="135"/>
      <c r="H46" s="136"/>
      <c r="I46" s="174"/>
      <c r="J46" s="135"/>
      <c r="K46" s="136"/>
      <c r="L46" s="137"/>
      <c r="M46" s="135"/>
      <c r="N46" s="136"/>
      <c r="O46" s="134"/>
      <c r="P46" s="138">
        <f>SUM(P47:P47)</f>
        <v>74000</v>
      </c>
      <c r="Q46" s="133">
        <f>SUM(Q47:Q47)</f>
        <v>74000</v>
      </c>
      <c r="R46" s="134">
        <f t="shared" si="4"/>
        <v>100</v>
      </c>
    </row>
    <row r="47" spans="1:18" s="141" customFormat="1" ht="78.75" customHeight="1">
      <c r="A47" s="164" t="s">
        <v>63</v>
      </c>
      <c r="B47" s="217" t="s">
        <v>64</v>
      </c>
      <c r="C47" s="166">
        <v>80000</v>
      </c>
      <c r="D47" s="167">
        <f>G47+J47+M47+P47</f>
        <v>74000</v>
      </c>
      <c r="E47" s="167">
        <f>H47+K47+N47+Q47</f>
        <v>74000</v>
      </c>
      <c r="F47" s="218"/>
      <c r="G47" s="169"/>
      <c r="H47" s="170"/>
      <c r="I47" s="168"/>
      <c r="J47" s="169"/>
      <c r="K47" s="170"/>
      <c r="L47" s="171"/>
      <c r="M47" s="169"/>
      <c r="N47" s="170"/>
      <c r="O47" s="168"/>
      <c r="P47" s="169">
        <f>80000-6000</f>
        <v>74000</v>
      </c>
      <c r="Q47" s="170">
        <v>74000</v>
      </c>
      <c r="R47" s="168"/>
    </row>
    <row r="48" spans="1:18" ht="24.75" customHeight="1">
      <c r="A48" s="130" t="s">
        <v>73</v>
      </c>
      <c r="B48" s="131" t="s">
        <v>74</v>
      </c>
      <c r="C48" s="132">
        <f>SUM(C49)</f>
        <v>20000</v>
      </c>
      <c r="D48" s="133">
        <f>D49</f>
        <v>20000</v>
      </c>
      <c r="E48" s="133">
        <f>E49</f>
        <v>20000</v>
      </c>
      <c r="F48" s="163">
        <f>E48/D48*100</f>
        <v>100</v>
      </c>
      <c r="G48" s="135"/>
      <c r="H48" s="136"/>
      <c r="I48" s="174"/>
      <c r="J48" s="135"/>
      <c r="K48" s="136"/>
      <c r="L48" s="137"/>
      <c r="M48" s="135"/>
      <c r="N48" s="136"/>
      <c r="O48" s="134"/>
      <c r="P48" s="135">
        <f>P49</f>
        <v>20000</v>
      </c>
      <c r="Q48" s="136">
        <f>Q49</f>
        <v>20000</v>
      </c>
      <c r="R48" s="134">
        <f t="shared" si="4"/>
        <v>100</v>
      </c>
    </row>
    <row r="49" spans="1:18" ht="78.75" customHeight="1">
      <c r="A49" s="164" t="s">
        <v>63</v>
      </c>
      <c r="B49" s="217" t="s">
        <v>64</v>
      </c>
      <c r="C49" s="166">
        <v>20000</v>
      </c>
      <c r="D49" s="167">
        <f>G49+J49+M49+P49</f>
        <v>20000</v>
      </c>
      <c r="E49" s="167">
        <f>H49+K49+N49+Q49</f>
        <v>20000</v>
      </c>
      <c r="F49" s="218"/>
      <c r="G49" s="169"/>
      <c r="H49" s="170"/>
      <c r="I49" s="168"/>
      <c r="J49" s="169"/>
      <c r="K49" s="170"/>
      <c r="L49" s="171"/>
      <c r="M49" s="169"/>
      <c r="N49" s="170"/>
      <c r="O49" s="168"/>
      <c r="P49" s="169">
        <v>20000</v>
      </c>
      <c r="Q49" s="170">
        <v>20000</v>
      </c>
      <c r="R49" s="168"/>
    </row>
    <row r="50" spans="1:18" ht="16.5" customHeight="1">
      <c r="A50" s="130" t="s">
        <v>75</v>
      </c>
      <c r="B50" s="131" t="s">
        <v>76</v>
      </c>
      <c r="C50" s="132">
        <f>SUM(C51:C52)</f>
        <v>338100</v>
      </c>
      <c r="D50" s="132">
        <f>SUM(D51:D52)</f>
        <v>333666</v>
      </c>
      <c r="E50" s="133">
        <f>E51</f>
        <v>333657</v>
      </c>
      <c r="F50" s="163">
        <f t="shared" si="0"/>
        <v>99.99730269191348</v>
      </c>
      <c r="G50" s="135"/>
      <c r="H50" s="136"/>
      <c r="I50" s="174"/>
      <c r="J50" s="135"/>
      <c r="K50" s="136"/>
      <c r="L50" s="219"/>
      <c r="M50" s="135"/>
      <c r="N50" s="136"/>
      <c r="O50" s="174"/>
      <c r="P50" s="138">
        <f>SUM(P51:P52)</f>
        <v>333666</v>
      </c>
      <c r="Q50" s="133">
        <f>SUM(Q51:Q52)</f>
        <v>333657</v>
      </c>
      <c r="R50" s="134">
        <f t="shared" si="4"/>
        <v>99.99730269191348</v>
      </c>
    </row>
    <row r="51" spans="1:18" s="141" customFormat="1" ht="80.25" customHeight="1">
      <c r="A51" s="220" t="s">
        <v>63</v>
      </c>
      <c r="B51" s="221" t="s">
        <v>64</v>
      </c>
      <c r="C51" s="222">
        <v>330100</v>
      </c>
      <c r="D51" s="223">
        <f>G51+J51+M51+P51</f>
        <v>333666</v>
      </c>
      <c r="E51" s="223">
        <f>H51+K51+N51+Q51</f>
        <v>333657</v>
      </c>
      <c r="F51" s="224"/>
      <c r="G51" s="225"/>
      <c r="H51" s="226"/>
      <c r="I51" s="174"/>
      <c r="J51" s="225"/>
      <c r="K51" s="226"/>
      <c r="L51" s="219"/>
      <c r="M51" s="225"/>
      <c r="N51" s="226"/>
      <c r="O51" s="174"/>
      <c r="P51" s="225">
        <f>330100-100+3666</f>
        <v>333666</v>
      </c>
      <c r="Q51" s="226">
        <v>333657</v>
      </c>
      <c r="R51" s="174"/>
    </row>
    <row r="52" spans="1:18" s="141" customFormat="1" ht="70.5" customHeight="1">
      <c r="A52" s="175" t="s">
        <v>77</v>
      </c>
      <c r="B52" s="227" t="s">
        <v>78</v>
      </c>
      <c r="C52" s="188">
        <v>8000</v>
      </c>
      <c r="D52" s="189"/>
      <c r="E52" s="189"/>
      <c r="F52" s="228"/>
      <c r="G52" s="191"/>
      <c r="H52" s="192"/>
      <c r="I52" s="190"/>
      <c r="J52" s="191"/>
      <c r="K52" s="192"/>
      <c r="L52" s="229"/>
      <c r="M52" s="191"/>
      <c r="N52" s="192"/>
      <c r="O52" s="190"/>
      <c r="P52" s="191"/>
      <c r="Q52" s="192"/>
      <c r="R52" s="190"/>
    </row>
    <row r="53" spans="1:18" ht="18" customHeight="1">
      <c r="A53" s="130" t="s">
        <v>79</v>
      </c>
      <c r="B53" s="230" t="s">
        <v>80</v>
      </c>
      <c r="C53" s="132">
        <f>SUM(C54:C54)</f>
        <v>16600</v>
      </c>
      <c r="D53" s="133">
        <f>J53</f>
        <v>16600</v>
      </c>
      <c r="E53" s="133">
        <f>K53</f>
        <v>16595</v>
      </c>
      <c r="F53" s="163">
        <f t="shared" si="0"/>
        <v>99.96987951807229</v>
      </c>
      <c r="G53" s="231"/>
      <c r="H53" s="232"/>
      <c r="I53" s="233"/>
      <c r="J53" s="135">
        <f>SUM(J54:J54)</f>
        <v>16600</v>
      </c>
      <c r="K53" s="136">
        <f>SUM(K54:K54)</f>
        <v>16595</v>
      </c>
      <c r="L53" s="134">
        <f>K53/J53*100</f>
        <v>99.96987951807229</v>
      </c>
      <c r="M53" s="135"/>
      <c r="N53" s="136"/>
      <c r="O53" s="134"/>
      <c r="P53" s="135"/>
      <c r="Q53" s="136"/>
      <c r="R53" s="134"/>
    </row>
    <row r="54" spans="1:18" ht="63" customHeight="1">
      <c r="A54" s="220" t="s">
        <v>81</v>
      </c>
      <c r="B54" s="234" t="s">
        <v>82</v>
      </c>
      <c r="C54" s="222">
        <v>16600</v>
      </c>
      <c r="D54" s="223">
        <f>J54</f>
        <v>16600</v>
      </c>
      <c r="E54" s="223">
        <f>K54</f>
        <v>16595</v>
      </c>
      <c r="F54" s="224"/>
      <c r="G54" s="231"/>
      <c r="H54" s="232"/>
      <c r="I54" s="233"/>
      <c r="J54" s="225">
        <v>16600</v>
      </c>
      <c r="K54" s="226">
        <v>16595</v>
      </c>
      <c r="L54" s="174"/>
      <c r="M54" s="225"/>
      <c r="N54" s="226"/>
      <c r="O54" s="174"/>
      <c r="P54" s="225"/>
      <c r="Q54" s="226"/>
      <c r="R54" s="174"/>
    </row>
    <row r="55" spans="1:18" s="235" customFormat="1" ht="16.5" customHeight="1">
      <c r="A55" s="130" t="s">
        <v>83</v>
      </c>
      <c r="B55" s="131" t="s">
        <v>17</v>
      </c>
      <c r="C55" s="132">
        <f>C56</f>
        <v>1389000</v>
      </c>
      <c r="D55" s="133">
        <f>G55+J55+M55+P55</f>
        <v>1500000</v>
      </c>
      <c r="E55" s="133">
        <f>H55+K55+N55+Q55</f>
        <v>1521919</v>
      </c>
      <c r="F55" s="163">
        <f t="shared" si="0"/>
        <v>101.46126666666666</v>
      </c>
      <c r="G55" s="135">
        <f>G56</f>
        <v>1500000</v>
      </c>
      <c r="H55" s="136">
        <f>H56</f>
        <v>1521919</v>
      </c>
      <c r="I55" s="134">
        <f>H55/G55*100</f>
        <v>101.46126666666666</v>
      </c>
      <c r="J55" s="135"/>
      <c r="K55" s="136"/>
      <c r="L55" s="137"/>
      <c r="M55" s="135"/>
      <c r="N55" s="136"/>
      <c r="O55" s="134"/>
      <c r="P55" s="135"/>
      <c r="Q55" s="136"/>
      <c r="R55" s="134"/>
    </row>
    <row r="56" spans="1:18" ht="24" customHeight="1" thickBot="1">
      <c r="A56" s="120" t="s">
        <v>84</v>
      </c>
      <c r="B56" s="90" t="s">
        <v>85</v>
      </c>
      <c r="C56" s="140">
        <v>1389000</v>
      </c>
      <c r="D56" s="92">
        <f>G56+J56+M56+P56</f>
        <v>1500000</v>
      </c>
      <c r="E56" s="92">
        <f>H56+K56+N56+Q56</f>
        <v>1521919</v>
      </c>
      <c r="F56" s="124"/>
      <c r="G56" s="127">
        <f>1389000+111000</f>
        <v>1500000</v>
      </c>
      <c r="H56" s="123">
        <v>1521919</v>
      </c>
      <c r="I56" s="126"/>
      <c r="J56" s="127"/>
      <c r="K56" s="123"/>
      <c r="L56" s="128"/>
      <c r="M56" s="127"/>
      <c r="N56" s="123"/>
      <c r="O56" s="126"/>
      <c r="P56" s="127"/>
      <c r="Q56" s="123"/>
      <c r="R56" s="126"/>
    </row>
    <row r="57" spans="1:18" ht="30" customHeight="1" thickBot="1" thickTop="1">
      <c r="A57" s="100" t="s">
        <v>86</v>
      </c>
      <c r="B57" s="177" t="s">
        <v>87</v>
      </c>
      <c r="C57" s="236">
        <f>C58+C62+C64+C69+C75</f>
        <v>1375600</v>
      </c>
      <c r="D57" s="68">
        <f>D58+D62+D64+D69+D75+D72</f>
        <v>1402275</v>
      </c>
      <c r="E57" s="68">
        <f>E58+E62+E64+E69+E75+E72</f>
        <v>1584091</v>
      </c>
      <c r="F57" s="105">
        <f t="shared" si="0"/>
        <v>112.96578773778324</v>
      </c>
      <c r="G57" s="236">
        <f>G58+G62+G64+G69+G75+G72</f>
        <v>362743</v>
      </c>
      <c r="H57" s="68">
        <f>H58+H62+H64+H69+H75+H72</f>
        <v>543299</v>
      </c>
      <c r="I57" s="105">
        <f>H57/G57*100</f>
        <v>149.77518518620622</v>
      </c>
      <c r="J57" s="236">
        <f>J58+J62+J64+J69+J75</f>
        <v>757900</v>
      </c>
      <c r="K57" s="68">
        <f>K58+K62+K64+K69+K75</f>
        <v>757900</v>
      </c>
      <c r="L57" s="105">
        <f>K57/J57*100</f>
        <v>100</v>
      </c>
      <c r="M57" s="236">
        <f>M58+M62+M69</f>
        <v>2000</v>
      </c>
      <c r="N57" s="68">
        <f>N58+N62+N69</f>
        <v>3260</v>
      </c>
      <c r="O57" s="105">
        <f>N57/M57*100</f>
        <v>163</v>
      </c>
      <c r="P57" s="236">
        <f>P58+P69</f>
        <v>279632</v>
      </c>
      <c r="Q57" s="68">
        <f>Q58+Q69</f>
        <v>279632</v>
      </c>
      <c r="R57" s="105">
        <f>Q57/P57*100</f>
        <v>100</v>
      </c>
    </row>
    <row r="58" spans="1:18" ht="18" customHeight="1" thickTop="1">
      <c r="A58" s="178" t="s">
        <v>88</v>
      </c>
      <c r="B58" s="179" t="s">
        <v>89</v>
      </c>
      <c r="C58" s="187">
        <f>SUM(C59:C61)</f>
        <v>1007100</v>
      </c>
      <c r="D58" s="181">
        <f>SUM(D59:D61)</f>
        <v>1007100</v>
      </c>
      <c r="E58" s="181">
        <f>SUM(E59:E61)</f>
        <v>1009212</v>
      </c>
      <c r="F58" s="237">
        <f t="shared" si="0"/>
        <v>100.20971105153411</v>
      </c>
      <c r="G58" s="184">
        <f>SUM(G59:G61)</f>
        <v>8000</v>
      </c>
      <c r="H58" s="185">
        <f>SUM(H59:H61)</f>
        <v>10112</v>
      </c>
      <c r="I58" s="182">
        <f>H58/G58*100</f>
        <v>126.4</v>
      </c>
      <c r="J58" s="184">
        <f>J59</f>
        <v>757900</v>
      </c>
      <c r="K58" s="185">
        <f>K59</f>
        <v>757900</v>
      </c>
      <c r="L58" s="182">
        <f>K58/J58*100</f>
        <v>100</v>
      </c>
      <c r="M58" s="184"/>
      <c r="N58" s="185"/>
      <c r="O58" s="182"/>
      <c r="P58" s="184">
        <f>P60</f>
        <v>241200</v>
      </c>
      <c r="Q58" s="185">
        <f>SUM(Q59:Q60)</f>
        <v>241200</v>
      </c>
      <c r="R58" s="182">
        <f>Q58/P58*100</f>
        <v>100</v>
      </c>
    </row>
    <row r="59" spans="1:18" ht="57.75" customHeight="1">
      <c r="A59" s="164" t="s">
        <v>18</v>
      </c>
      <c r="B59" s="238" t="s">
        <v>19</v>
      </c>
      <c r="C59" s="166">
        <v>757900</v>
      </c>
      <c r="D59" s="167">
        <f aca="true" t="shared" si="5" ref="D59:E61">G59+J59+M59+P59</f>
        <v>757900</v>
      </c>
      <c r="E59" s="167">
        <f t="shared" si="5"/>
        <v>757900</v>
      </c>
      <c r="F59" s="168">
        <f t="shared" si="0"/>
        <v>100</v>
      </c>
      <c r="G59" s="169"/>
      <c r="H59" s="170"/>
      <c r="I59" s="168"/>
      <c r="J59" s="169">
        <v>757900</v>
      </c>
      <c r="K59" s="170">
        <v>757900</v>
      </c>
      <c r="L59" s="168"/>
      <c r="M59" s="169"/>
      <c r="N59" s="170"/>
      <c r="O59" s="168"/>
      <c r="P59" s="169"/>
      <c r="Q59" s="170"/>
      <c r="R59" s="168"/>
    </row>
    <row r="60" spans="1:18" s="141" customFormat="1" ht="69" customHeight="1">
      <c r="A60" s="120" t="s">
        <v>63</v>
      </c>
      <c r="B60" s="239" t="s">
        <v>64</v>
      </c>
      <c r="C60" s="140">
        <v>241200</v>
      </c>
      <c r="D60" s="92">
        <f t="shared" si="5"/>
        <v>241200</v>
      </c>
      <c r="E60" s="92">
        <f t="shared" si="5"/>
        <v>241200</v>
      </c>
      <c r="F60" s="126">
        <f t="shared" si="0"/>
        <v>100</v>
      </c>
      <c r="G60" s="127"/>
      <c r="H60" s="123"/>
      <c r="I60" s="126"/>
      <c r="J60" s="127"/>
      <c r="K60" s="123"/>
      <c r="L60" s="194"/>
      <c r="M60" s="127"/>
      <c r="N60" s="123"/>
      <c r="O60" s="126"/>
      <c r="P60" s="127">
        <v>241200</v>
      </c>
      <c r="Q60" s="123">
        <v>241200</v>
      </c>
      <c r="R60" s="126"/>
    </row>
    <row r="61" spans="1:18" s="141" customFormat="1" ht="66" customHeight="1">
      <c r="A61" s="175" t="s">
        <v>65</v>
      </c>
      <c r="B61" s="240" t="s">
        <v>90</v>
      </c>
      <c r="C61" s="188">
        <v>8000</v>
      </c>
      <c r="D61" s="189">
        <f t="shared" si="5"/>
        <v>8000</v>
      </c>
      <c r="E61" s="189">
        <f t="shared" si="5"/>
        <v>10112</v>
      </c>
      <c r="F61" s="190">
        <f t="shared" si="0"/>
        <v>126.4</v>
      </c>
      <c r="G61" s="191">
        <v>8000</v>
      </c>
      <c r="H61" s="192">
        <v>10112</v>
      </c>
      <c r="I61" s="190"/>
      <c r="J61" s="191"/>
      <c r="K61" s="192"/>
      <c r="L61" s="229"/>
      <c r="M61" s="191"/>
      <c r="N61" s="192"/>
      <c r="O61" s="190"/>
      <c r="P61" s="191"/>
      <c r="Q61" s="192"/>
      <c r="R61" s="190"/>
    </row>
    <row r="62" spans="1:18" ht="15" customHeight="1">
      <c r="A62" s="178" t="s">
        <v>91</v>
      </c>
      <c r="B62" s="179" t="s">
        <v>92</v>
      </c>
      <c r="C62" s="180">
        <f>SUM(C63:C63)</f>
        <v>2000</v>
      </c>
      <c r="D62" s="181">
        <f>SUM(D63:D63)</f>
        <v>2000</v>
      </c>
      <c r="E62" s="181">
        <f>SUM(E63:E63)</f>
        <v>3260</v>
      </c>
      <c r="F62" s="237">
        <f t="shared" si="0"/>
        <v>163</v>
      </c>
      <c r="G62" s="184"/>
      <c r="H62" s="185"/>
      <c r="I62" s="174"/>
      <c r="J62" s="184"/>
      <c r="K62" s="185"/>
      <c r="L62" s="186"/>
      <c r="M62" s="184">
        <f>M63</f>
        <v>2000</v>
      </c>
      <c r="N62" s="185">
        <f>SUM(N63:N63)</f>
        <v>3260</v>
      </c>
      <c r="O62" s="182">
        <f>N62/M62*100</f>
        <v>163</v>
      </c>
      <c r="P62" s="184"/>
      <c r="Q62" s="185"/>
      <c r="R62" s="182"/>
    </row>
    <row r="63" spans="1:18" ht="25.5" customHeight="1">
      <c r="A63" s="175" t="s">
        <v>53</v>
      </c>
      <c r="B63" s="176" t="s">
        <v>93</v>
      </c>
      <c r="C63" s="188">
        <v>2000</v>
      </c>
      <c r="D63" s="189">
        <f>G63+J63+M63+P63</f>
        <v>2000</v>
      </c>
      <c r="E63" s="189">
        <f>H63+K63+N63+Q63</f>
        <v>3260</v>
      </c>
      <c r="F63" s="228"/>
      <c r="G63" s="191"/>
      <c r="H63" s="192"/>
      <c r="I63" s="190"/>
      <c r="J63" s="191"/>
      <c r="K63" s="192"/>
      <c r="L63" s="193"/>
      <c r="M63" s="191">
        <v>2000</v>
      </c>
      <c r="N63" s="192">
        <v>3260</v>
      </c>
      <c r="O63" s="190"/>
      <c r="P63" s="191"/>
      <c r="Q63" s="192"/>
      <c r="R63" s="190"/>
    </row>
    <row r="64" spans="1:18" ht="16.5" customHeight="1">
      <c r="A64" s="130" t="s">
        <v>94</v>
      </c>
      <c r="B64" s="131" t="s">
        <v>95</v>
      </c>
      <c r="C64" s="132">
        <f>SUM(C66:C68)</f>
        <v>77000</v>
      </c>
      <c r="D64" s="133">
        <f>SUM(D66:D68)</f>
        <v>77000</v>
      </c>
      <c r="E64" s="133">
        <f>SUM(E65:E68)</f>
        <v>68690</v>
      </c>
      <c r="F64" s="163">
        <f t="shared" si="0"/>
        <v>89.20779220779221</v>
      </c>
      <c r="G64" s="136">
        <f>SUM(G65:G68)</f>
        <v>77000</v>
      </c>
      <c r="H64" s="136">
        <f>SUM(H65:H68)</f>
        <v>68690</v>
      </c>
      <c r="I64" s="134">
        <f>H64/G64*100</f>
        <v>89.20779220779221</v>
      </c>
      <c r="J64" s="135"/>
      <c r="K64" s="136"/>
      <c r="L64" s="137"/>
      <c r="M64" s="135"/>
      <c r="N64" s="136"/>
      <c r="O64" s="134"/>
      <c r="P64" s="135"/>
      <c r="Q64" s="136"/>
      <c r="R64" s="134"/>
    </row>
    <row r="65" spans="1:18" s="141" customFormat="1" ht="35.25" customHeight="1">
      <c r="A65" s="164" t="s">
        <v>28</v>
      </c>
      <c r="B65" s="165" t="s">
        <v>40</v>
      </c>
      <c r="C65" s="166"/>
      <c r="D65" s="167"/>
      <c r="E65" s="167">
        <f aca="true" t="shared" si="6" ref="D65:E67">H65+K65+N65+Q65</f>
        <v>17925</v>
      </c>
      <c r="F65" s="168"/>
      <c r="G65" s="169"/>
      <c r="H65" s="170">
        <v>17925</v>
      </c>
      <c r="I65" s="168"/>
      <c r="J65" s="169"/>
      <c r="K65" s="170"/>
      <c r="L65" s="171"/>
      <c r="M65" s="169"/>
      <c r="N65" s="170"/>
      <c r="O65" s="168"/>
      <c r="P65" s="169"/>
      <c r="Q65" s="170"/>
      <c r="R65" s="168"/>
    </row>
    <row r="66" spans="1:18" s="141" customFormat="1" ht="24.75" customHeight="1">
      <c r="A66" s="120" t="s">
        <v>53</v>
      </c>
      <c r="B66" s="90" t="s">
        <v>96</v>
      </c>
      <c r="C66" s="140"/>
      <c r="D66" s="92"/>
      <c r="E66" s="92">
        <f t="shared" si="6"/>
        <v>9075</v>
      </c>
      <c r="F66" s="126"/>
      <c r="G66" s="215"/>
      <c r="H66" s="123">
        <v>9075</v>
      </c>
      <c r="I66" s="126"/>
      <c r="J66" s="127"/>
      <c r="K66" s="123"/>
      <c r="L66" s="128"/>
      <c r="M66" s="127"/>
      <c r="N66" s="123"/>
      <c r="O66" s="126"/>
      <c r="P66" s="127"/>
      <c r="Q66" s="123"/>
      <c r="R66" s="126"/>
    </row>
    <row r="67" spans="1:18" s="141" customFormat="1" ht="60.75" customHeight="1">
      <c r="A67" s="120" t="s">
        <v>55</v>
      </c>
      <c r="B67" s="90" t="s">
        <v>97</v>
      </c>
      <c r="C67" s="140">
        <v>60000</v>
      </c>
      <c r="D67" s="92">
        <f t="shared" si="6"/>
        <v>60000</v>
      </c>
      <c r="E67" s="92">
        <f t="shared" si="6"/>
        <v>32885</v>
      </c>
      <c r="F67" s="126">
        <f t="shared" si="0"/>
        <v>54.80833333333334</v>
      </c>
      <c r="G67" s="215">
        <v>60000</v>
      </c>
      <c r="H67" s="123">
        <v>32885</v>
      </c>
      <c r="I67" s="126">
        <f>H67/G67*100</f>
        <v>54.80833333333334</v>
      </c>
      <c r="J67" s="127"/>
      <c r="K67" s="123"/>
      <c r="L67" s="128"/>
      <c r="M67" s="127"/>
      <c r="N67" s="123"/>
      <c r="O67" s="126"/>
      <c r="P67" s="127"/>
      <c r="Q67" s="123"/>
      <c r="R67" s="126"/>
    </row>
    <row r="68" spans="1:18" ht="34.5" customHeight="1">
      <c r="A68" s="175" t="s">
        <v>30</v>
      </c>
      <c r="B68" s="176" t="s">
        <v>98</v>
      </c>
      <c r="C68" s="188">
        <v>17000</v>
      </c>
      <c r="D68" s="189">
        <f>G68+J68+M68+P68</f>
        <v>17000</v>
      </c>
      <c r="E68" s="189">
        <f>H68+K68+N68+Q68</f>
        <v>8805</v>
      </c>
      <c r="F68" s="190">
        <f t="shared" si="0"/>
        <v>51.794117647058826</v>
      </c>
      <c r="G68" s="213">
        <v>17000</v>
      </c>
      <c r="H68" s="192">
        <v>8805</v>
      </c>
      <c r="I68" s="190">
        <f>H68/G68*100</f>
        <v>51.794117647058826</v>
      </c>
      <c r="J68" s="191"/>
      <c r="K68" s="192"/>
      <c r="L68" s="193"/>
      <c r="M68" s="191"/>
      <c r="N68" s="192"/>
      <c r="O68" s="190"/>
      <c r="P68" s="191"/>
      <c r="Q68" s="192"/>
      <c r="R68" s="190"/>
    </row>
    <row r="69" spans="1:18" ht="16.5" customHeight="1">
      <c r="A69" s="130" t="s">
        <v>99</v>
      </c>
      <c r="B69" s="131" t="s">
        <v>100</v>
      </c>
      <c r="C69" s="132">
        <f>C70+C71</f>
        <v>39500</v>
      </c>
      <c r="D69" s="133">
        <f>SUM(D70:D71)</f>
        <v>38432</v>
      </c>
      <c r="E69" s="133">
        <f>SUM(E70:E71)</f>
        <v>38432</v>
      </c>
      <c r="F69" s="237">
        <f t="shared" si="0"/>
        <v>100</v>
      </c>
      <c r="G69" s="135"/>
      <c r="H69" s="136"/>
      <c r="I69" s="174"/>
      <c r="J69" s="135"/>
      <c r="K69" s="136"/>
      <c r="L69" s="219"/>
      <c r="M69" s="135"/>
      <c r="N69" s="136"/>
      <c r="O69" s="241"/>
      <c r="P69" s="135">
        <f>SUM(P70:P71)</f>
        <v>38432</v>
      </c>
      <c r="Q69" s="136">
        <f>SUM(Q70:Q71)</f>
        <v>38432</v>
      </c>
      <c r="R69" s="134">
        <f>Q69/P69*100</f>
        <v>100</v>
      </c>
    </row>
    <row r="70" spans="1:18" s="141" customFormat="1" ht="74.25" customHeight="1">
      <c r="A70" s="164" t="s">
        <v>63</v>
      </c>
      <c r="B70" s="217" t="s">
        <v>64</v>
      </c>
      <c r="C70" s="166">
        <v>34000</v>
      </c>
      <c r="D70" s="167">
        <f>G70+J70+M70+P70</f>
        <v>33998</v>
      </c>
      <c r="E70" s="167">
        <f>H70+K70+N70+Q70</f>
        <v>33998</v>
      </c>
      <c r="F70" s="218"/>
      <c r="G70" s="169"/>
      <c r="H70" s="170"/>
      <c r="I70" s="168"/>
      <c r="J70" s="169"/>
      <c r="K70" s="170"/>
      <c r="L70" s="171"/>
      <c r="M70" s="169"/>
      <c r="N70" s="170"/>
      <c r="O70" s="168"/>
      <c r="P70" s="169">
        <f>34000-2</f>
        <v>33998</v>
      </c>
      <c r="Q70" s="170">
        <v>33998</v>
      </c>
      <c r="R70" s="168"/>
    </row>
    <row r="71" spans="1:18" s="141" customFormat="1" ht="72.75" customHeight="1">
      <c r="A71" s="175" t="s">
        <v>101</v>
      </c>
      <c r="B71" s="197" t="s">
        <v>102</v>
      </c>
      <c r="C71" s="188">
        <v>5500</v>
      </c>
      <c r="D71" s="189">
        <f>G71+J71+M71+P71</f>
        <v>4434</v>
      </c>
      <c r="E71" s="189">
        <f>H71+K71+N71+Q71</f>
        <v>4434</v>
      </c>
      <c r="F71" s="228"/>
      <c r="G71" s="191"/>
      <c r="H71" s="192"/>
      <c r="I71" s="190"/>
      <c r="J71" s="191"/>
      <c r="K71" s="192"/>
      <c r="L71" s="193"/>
      <c r="M71" s="191"/>
      <c r="N71" s="192"/>
      <c r="O71" s="190"/>
      <c r="P71" s="191">
        <f>5500-1066</f>
        <v>4434</v>
      </c>
      <c r="Q71" s="192">
        <v>4434</v>
      </c>
      <c r="R71" s="190"/>
    </row>
    <row r="72" spans="1:18" s="243" customFormat="1" ht="23.25" customHeight="1">
      <c r="A72" s="178" t="s">
        <v>103</v>
      </c>
      <c r="B72" s="242" t="s">
        <v>104</v>
      </c>
      <c r="C72" s="180"/>
      <c r="D72" s="181">
        <f>D74</f>
        <v>27743</v>
      </c>
      <c r="E72" s="181">
        <f>SUM(E73:E74)</f>
        <v>67743</v>
      </c>
      <c r="F72" s="237">
        <f t="shared" si="0"/>
        <v>244.18051400353244</v>
      </c>
      <c r="G72" s="184">
        <f>G74</f>
        <v>27743</v>
      </c>
      <c r="H72" s="185">
        <f>SUM(H73:H74)</f>
        <v>67743</v>
      </c>
      <c r="I72" s="182">
        <f>H72/G72*100</f>
        <v>244.18051400353244</v>
      </c>
      <c r="J72" s="184"/>
      <c r="K72" s="185"/>
      <c r="L72" s="186"/>
      <c r="M72" s="184"/>
      <c r="N72" s="185"/>
      <c r="O72" s="182"/>
      <c r="P72" s="184"/>
      <c r="Q72" s="185"/>
      <c r="R72" s="134"/>
    </row>
    <row r="73" spans="1:18" s="141" customFormat="1" ht="18" customHeight="1">
      <c r="A73" s="220" t="s">
        <v>84</v>
      </c>
      <c r="B73" s="173" t="s">
        <v>105</v>
      </c>
      <c r="C73" s="222"/>
      <c r="D73" s="223"/>
      <c r="E73" s="223">
        <f>H73</f>
        <v>40000</v>
      </c>
      <c r="F73" s="224"/>
      <c r="G73" s="225"/>
      <c r="H73" s="226">
        <v>40000</v>
      </c>
      <c r="I73" s="174"/>
      <c r="J73" s="225"/>
      <c r="K73" s="226"/>
      <c r="L73" s="219"/>
      <c r="M73" s="225"/>
      <c r="N73" s="226"/>
      <c r="O73" s="174"/>
      <c r="P73" s="225"/>
      <c r="Q73" s="226"/>
      <c r="R73" s="174"/>
    </row>
    <row r="74" spans="1:18" s="141" customFormat="1" ht="61.5" customHeight="1">
      <c r="A74" s="175" t="s">
        <v>106</v>
      </c>
      <c r="B74" s="176" t="s">
        <v>107</v>
      </c>
      <c r="C74" s="188"/>
      <c r="D74" s="189">
        <f>G74</f>
        <v>27743</v>
      </c>
      <c r="E74" s="189">
        <f>H74</f>
        <v>27743</v>
      </c>
      <c r="F74" s="228">
        <f>E74/D74*100</f>
        <v>100</v>
      </c>
      <c r="G74" s="191">
        <v>27743</v>
      </c>
      <c r="H74" s="192">
        <v>27743</v>
      </c>
      <c r="I74" s="190">
        <f>H74/G74*100</f>
        <v>100</v>
      </c>
      <c r="J74" s="191"/>
      <c r="K74" s="192"/>
      <c r="L74" s="193"/>
      <c r="M74" s="191"/>
      <c r="N74" s="192"/>
      <c r="O74" s="190"/>
      <c r="P74" s="191"/>
      <c r="Q74" s="192"/>
      <c r="R74" s="190"/>
    </row>
    <row r="75" spans="1:18" ht="18" customHeight="1">
      <c r="A75" s="130" t="s">
        <v>108</v>
      </c>
      <c r="B75" s="131" t="s">
        <v>17</v>
      </c>
      <c r="C75" s="132">
        <f>SUM(C76:C76)</f>
        <v>250000</v>
      </c>
      <c r="D75" s="133">
        <f>SUM(D76:D76)</f>
        <v>250000</v>
      </c>
      <c r="E75" s="133">
        <f>SUM(E76:E77)</f>
        <v>396754</v>
      </c>
      <c r="F75" s="134">
        <f t="shared" si="0"/>
        <v>158.70159999999998</v>
      </c>
      <c r="G75" s="135">
        <f>SUM(G76:G76)</f>
        <v>250000</v>
      </c>
      <c r="H75" s="136">
        <f>SUM(H76:H77)</f>
        <v>396754</v>
      </c>
      <c r="I75" s="134">
        <f>H75/G75*100</f>
        <v>158.70159999999998</v>
      </c>
      <c r="J75" s="135"/>
      <c r="K75" s="136"/>
      <c r="L75" s="137"/>
      <c r="M75" s="135"/>
      <c r="N75" s="136"/>
      <c r="O75" s="134"/>
      <c r="P75" s="135"/>
      <c r="Q75" s="136"/>
      <c r="R75" s="134"/>
    </row>
    <row r="76" spans="1:18" s="141" customFormat="1" ht="24.75" customHeight="1">
      <c r="A76" s="164" t="s">
        <v>109</v>
      </c>
      <c r="B76" s="165" t="s">
        <v>110</v>
      </c>
      <c r="C76" s="166">
        <v>250000</v>
      </c>
      <c r="D76" s="167">
        <f aca="true" t="shared" si="7" ref="D76:E79">G76+J76+M76+P76</f>
        <v>250000</v>
      </c>
      <c r="E76" s="167">
        <f t="shared" si="7"/>
        <v>328070</v>
      </c>
      <c r="F76" s="168">
        <f t="shared" si="0"/>
        <v>131.22799999999998</v>
      </c>
      <c r="G76" s="244">
        <v>250000</v>
      </c>
      <c r="H76" s="170">
        <v>328070</v>
      </c>
      <c r="I76" s="168">
        <f>H76/G76*100</f>
        <v>131.22799999999998</v>
      </c>
      <c r="J76" s="169"/>
      <c r="K76" s="170"/>
      <c r="L76" s="171"/>
      <c r="M76" s="169"/>
      <c r="N76" s="170"/>
      <c r="O76" s="168"/>
      <c r="P76" s="169"/>
      <c r="Q76" s="170"/>
      <c r="R76" s="168"/>
    </row>
    <row r="77" spans="1:18" s="141" customFormat="1" ht="42" customHeight="1" thickBot="1">
      <c r="A77" s="120" t="s">
        <v>28</v>
      </c>
      <c r="B77" s="90" t="s">
        <v>40</v>
      </c>
      <c r="C77" s="140"/>
      <c r="D77" s="92"/>
      <c r="E77" s="92">
        <f>H77</f>
        <v>68684</v>
      </c>
      <c r="F77" s="126"/>
      <c r="G77" s="215"/>
      <c r="H77" s="123">
        <v>68684</v>
      </c>
      <c r="I77" s="126"/>
      <c r="J77" s="127"/>
      <c r="K77" s="123"/>
      <c r="L77" s="128"/>
      <c r="M77" s="127"/>
      <c r="N77" s="123"/>
      <c r="O77" s="126"/>
      <c r="P77" s="127"/>
      <c r="Q77" s="123"/>
      <c r="R77" s="126"/>
    </row>
    <row r="78" spans="1:18" ht="73.5" customHeight="1" thickBot="1" thickTop="1">
      <c r="A78" s="100" t="s">
        <v>111</v>
      </c>
      <c r="B78" s="177" t="s">
        <v>112</v>
      </c>
      <c r="C78" s="245">
        <f>C79</f>
        <v>17577</v>
      </c>
      <c r="D78" s="68">
        <f>D79+D81</f>
        <v>132897</v>
      </c>
      <c r="E78" s="68">
        <f>E79+E81</f>
        <v>132112</v>
      </c>
      <c r="F78" s="108">
        <f aca="true" t="shared" si="8" ref="F78:F132">E78/D78*100</f>
        <v>99.40931698984929</v>
      </c>
      <c r="G78" s="236"/>
      <c r="H78" s="103"/>
      <c r="I78" s="246"/>
      <c r="J78" s="106">
        <f>J79+J81</f>
        <v>132897</v>
      </c>
      <c r="K78" s="103">
        <f>K79+K81</f>
        <v>132112</v>
      </c>
      <c r="L78" s="108">
        <f>K78/J78*100</f>
        <v>99.40931698984929</v>
      </c>
      <c r="M78" s="106"/>
      <c r="N78" s="103"/>
      <c r="O78" s="246"/>
      <c r="P78" s="106"/>
      <c r="Q78" s="103"/>
      <c r="R78" s="246"/>
    </row>
    <row r="79" spans="1:18" ht="42" customHeight="1" thickTop="1">
      <c r="A79" s="178" t="s">
        <v>113</v>
      </c>
      <c r="B79" s="179" t="s">
        <v>114</v>
      </c>
      <c r="C79" s="180">
        <f>SUM(C80)</f>
        <v>17577</v>
      </c>
      <c r="D79" s="181">
        <f t="shared" si="7"/>
        <v>17577</v>
      </c>
      <c r="E79" s="181">
        <f t="shared" si="7"/>
        <v>16801</v>
      </c>
      <c r="F79" s="247">
        <f t="shared" si="8"/>
        <v>95.58513967116117</v>
      </c>
      <c r="G79" s="187"/>
      <c r="H79" s="185"/>
      <c r="I79" s="248"/>
      <c r="J79" s="184">
        <f>J80</f>
        <v>17577</v>
      </c>
      <c r="K79" s="185">
        <f>K80</f>
        <v>16801</v>
      </c>
      <c r="L79" s="247">
        <f>K79/J79*100</f>
        <v>95.58513967116117</v>
      </c>
      <c r="M79" s="184"/>
      <c r="N79" s="185"/>
      <c r="O79" s="248"/>
      <c r="P79" s="184"/>
      <c r="Q79" s="185"/>
      <c r="R79" s="182"/>
    </row>
    <row r="80" spans="1:18" ht="65.25" customHeight="1">
      <c r="A80" s="220" t="s">
        <v>18</v>
      </c>
      <c r="B80" s="173" t="s">
        <v>19</v>
      </c>
      <c r="C80" s="222">
        <v>17577</v>
      </c>
      <c r="D80" s="223">
        <f>G80+J80+M80+P80</f>
        <v>17577</v>
      </c>
      <c r="E80" s="223">
        <f>H80+K80+N80+Q80</f>
        <v>16801</v>
      </c>
      <c r="F80" s="249"/>
      <c r="G80" s="250"/>
      <c r="H80" s="226"/>
      <c r="I80" s="174"/>
      <c r="J80" s="225">
        <v>17577</v>
      </c>
      <c r="K80" s="226">
        <v>16801</v>
      </c>
      <c r="L80" s="249"/>
      <c r="M80" s="225"/>
      <c r="N80" s="226"/>
      <c r="O80" s="174"/>
      <c r="P80" s="225"/>
      <c r="Q80" s="226"/>
      <c r="R80" s="174"/>
    </row>
    <row r="81" spans="1:18" ht="22.5" customHeight="1">
      <c r="A81" s="251" t="s">
        <v>115</v>
      </c>
      <c r="B81" s="252" t="s">
        <v>116</v>
      </c>
      <c r="C81" s="253"/>
      <c r="D81" s="254">
        <f>D82</f>
        <v>115320</v>
      </c>
      <c r="E81" s="254">
        <f>K81</f>
        <v>115311</v>
      </c>
      <c r="F81" s="255">
        <f>E81/D81*100</f>
        <v>99.99219562955255</v>
      </c>
      <c r="G81" s="256"/>
      <c r="H81" s="257"/>
      <c r="I81" s="258"/>
      <c r="J81" s="259">
        <f>J82</f>
        <v>115320</v>
      </c>
      <c r="K81" s="257">
        <f>K82</f>
        <v>115311</v>
      </c>
      <c r="L81" s="255">
        <f>K81/J81*100</f>
        <v>99.99219562955255</v>
      </c>
      <c r="M81" s="259"/>
      <c r="N81" s="257"/>
      <c r="O81" s="258"/>
      <c r="P81" s="259"/>
      <c r="Q81" s="257"/>
      <c r="R81" s="258"/>
    </row>
    <row r="82" spans="1:18" ht="65.25" customHeight="1">
      <c r="A82" s="220" t="s">
        <v>18</v>
      </c>
      <c r="B82" s="173" t="s">
        <v>19</v>
      </c>
      <c r="C82" s="222"/>
      <c r="D82" s="223">
        <f>J82</f>
        <v>115320</v>
      </c>
      <c r="E82" s="223">
        <f>K82</f>
        <v>115311</v>
      </c>
      <c r="F82" s="249"/>
      <c r="G82" s="250"/>
      <c r="H82" s="226"/>
      <c r="I82" s="174"/>
      <c r="J82" s="225">
        <f>60640+55710-1030</f>
        <v>115320</v>
      </c>
      <c r="K82" s="226">
        <v>115311</v>
      </c>
      <c r="L82" s="260"/>
      <c r="M82" s="225"/>
      <c r="N82" s="226"/>
      <c r="O82" s="174"/>
      <c r="P82" s="225"/>
      <c r="Q82" s="226"/>
      <c r="R82" s="174"/>
    </row>
    <row r="83" spans="1:18" ht="39" customHeight="1" thickBot="1">
      <c r="A83" s="198" t="s">
        <v>117</v>
      </c>
      <c r="B83" s="199" t="s">
        <v>118</v>
      </c>
      <c r="C83" s="200">
        <f>C84+C89</f>
        <v>7379000</v>
      </c>
      <c r="D83" s="201">
        <f>G83+J83+M83+P83</f>
        <v>8634946</v>
      </c>
      <c r="E83" s="201">
        <f>E84+E89+E91</f>
        <v>8635625</v>
      </c>
      <c r="F83" s="203">
        <f t="shared" si="8"/>
        <v>100.00786339601892</v>
      </c>
      <c r="G83" s="204"/>
      <c r="H83" s="205"/>
      <c r="I83" s="261"/>
      <c r="J83" s="204">
        <f>J84+J89</f>
        <v>10000</v>
      </c>
      <c r="K83" s="205">
        <f>K84+K89</f>
        <v>9979</v>
      </c>
      <c r="L83" s="203">
        <f>K83/J83*100</f>
        <v>99.79</v>
      </c>
      <c r="M83" s="204"/>
      <c r="N83" s="205">
        <f>N84</f>
        <v>770</v>
      </c>
      <c r="O83" s="208"/>
      <c r="P83" s="204">
        <f>P84+P91</f>
        <v>8624946</v>
      </c>
      <c r="Q83" s="205">
        <f>Q84+Q91</f>
        <v>8624876</v>
      </c>
      <c r="R83" s="203">
        <f>Q83/P83*100</f>
        <v>99.9991884007158</v>
      </c>
    </row>
    <row r="84" spans="1:18" ht="25.5" customHeight="1" thickTop="1">
      <c r="A84" s="178" t="s">
        <v>119</v>
      </c>
      <c r="B84" s="179" t="s">
        <v>120</v>
      </c>
      <c r="C84" s="180">
        <f>SUM(C86:C88)</f>
        <v>7370000</v>
      </c>
      <c r="D84" s="181">
        <f>SUM(D85:D88)</f>
        <v>8573810</v>
      </c>
      <c r="E84" s="181">
        <f>SUM(E85:E88)</f>
        <v>8574526</v>
      </c>
      <c r="F84" s="237">
        <f t="shared" si="8"/>
        <v>100.00835101314351</v>
      </c>
      <c r="G84" s="184"/>
      <c r="H84" s="185"/>
      <c r="I84" s="190"/>
      <c r="J84" s="184"/>
      <c r="K84" s="185"/>
      <c r="L84" s="262"/>
      <c r="M84" s="184"/>
      <c r="N84" s="185">
        <f>SUM(N85:N88)</f>
        <v>770</v>
      </c>
      <c r="O84" s="182"/>
      <c r="P84" s="184">
        <f>SUM(P86:P88)</f>
        <v>8573810</v>
      </c>
      <c r="Q84" s="185">
        <f>SUM(Q86:Q88)</f>
        <v>8573756</v>
      </c>
      <c r="R84" s="182">
        <f>Q84/P84*100</f>
        <v>99.99937017498638</v>
      </c>
    </row>
    <row r="85" spans="1:18" s="141" customFormat="1" ht="13.5" customHeight="1">
      <c r="A85" s="164" t="s">
        <v>121</v>
      </c>
      <c r="B85" s="165" t="s">
        <v>122</v>
      </c>
      <c r="C85" s="166"/>
      <c r="D85" s="167"/>
      <c r="E85" s="167">
        <f aca="true" t="shared" si="9" ref="D85:E88">H85+K85+N85+Q85</f>
        <v>26</v>
      </c>
      <c r="F85" s="218"/>
      <c r="G85" s="169"/>
      <c r="H85" s="170"/>
      <c r="I85" s="168"/>
      <c r="J85" s="169"/>
      <c r="K85" s="170"/>
      <c r="L85" s="263"/>
      <c r="M85" s="169"/>
      <c r="N85" s="170">
        <v>26</v>
      </c>
      <c r="O85" s="168"/>
      <c r="P85" s="169"/>
      <c r="Q85" s="170"/>
      <c r="R85" s="168"/>
    </row>
    <row r="86" spans="1:18" s="141" customFormat="1" ht="81" customHeight="1">
      <c r="A86" s="120" t="s">
        <v>63</v>
      </c>
      <c r="B86" s="196" t="s">
        <v>64</v>
      </c>
      <c r="C86" s="140">
        <v>7320000</v>
      </c>
      <c r="D86" s="92">
        <f t="shared" si="9"/>
        <v>8035625</v>
      </c>
      <c r="E86" s="92">
        <f t="shared" si="9"/>
        <v>8035571</v>
      </c>
      <c r="F86" s="124">
        <f t="shared" si="8"/>
        <v>99.99932799253325</v>
      </c>
      <c r="G86" s="127"/>
      <c r="H86" s="123"/>
      <c r="I86" s="126"/>
      <c r="J86" s="127"/>
      <c r="K86" s="123"/>
      <c r="L86" s="194"/>
      <c r="M86" s="127"/>
      <c r="N86" s="123"/>
      <c r="O86" s="126"/>
      <c r="P86" s="127">
        <f>7320000+521951+75369+1324+116981</f>
        <v>8035625</v>
      </c>
      <c r="Q86" s="123">
        <v>8035571</v>
      </c>
      <c r="R86" s="126">
        <f>Q86/P86*100</f>
        <v>99.99932799253325</v>
      </c>
    </row>
    <row r="87" spans="1:19" s="141" customFormat="1" ht="58.5" customHeight="1">
      <c r="A87" s="120" t="s">
        <v>65</v>
      </c>
      <c r="B87" s="196" t="s">
        <v>123</v>
      </c>
      <c r="C87" s="140"/>
      <c r="D87" s="92"/>
      <c r="E87" s="92">
        <f>H87+K87+N87+Q87</f>
        <v>744</v>
      </c>
      <c r="F87" s="124"/>
      <c r="G87" s="127"/>
      <c r="H87" s="123"/>
      <c r="I87" s="126"/>
      <c r="J87" s="127"/>
      <c r="K87" s="123"/>
      <c r="L87" s="194"/>
      <c r="M87" s="127"/>
      <c r="N87" s="123">
        <v>744</v>
      </c>
      <c r="O87" s="126"/>
      <c r="P87" s="127"/>
      <c r="Q87" s="123"/>
      <c r="R87" s="126"/>
      <c r="S87" s="264"/>
    </row>
    <row r="88" spans="1:18" s="141" customFormat="1" ht="82.5" customHeight="1">
      <c r="A88" s="175" t="s">
        <v>77</v>
      </c>
      <c r="B88" s="176" t="s">
        <v>78</v>
      </c>
      <c r="C88" s="188">
        <v>50000</v>
      </c>
      <c r="D88" s="189">
        <f t="shared" si="9"/>
        <v>538185</v>
      </c>
      <c r="E88" s="92">
        <f t="shared" si="9"/>
        <v>538185</v>
      </c>
      <c r="F88" s="124">
        <f t="shared" si="8"/>
        <v>100</v>
      </c>
      <c r="G88" s="191"/>
      <c r="H88" s="192"/>
      <c r="I88" s="190"/>
      <c r="J88" s="191"/>
      <c r="K88" s="192"/>
      <c r="L88" s="229"/>
      <c r="M88" s="191"/>
      <c r="N88" s="192"/>
      <c r="O88" s="190"/>
      <c r="P88" s="191">
        <f>50000-50000+176185+362000</f>
        <v>538185</v>
      </c>
      <c r="Q88" s="192">
        <v>538185</v>
      </c>
      <c r="R88" s="126">
        <f>Q88/P88*100</f>
        <v>100</v>
      </c>
    </row>
    <row r="89" spans="1:18" ht="15.75" customHeight="1">
      <c r="A89" s="130" t="s">
        <v>124</v>
      </c>
      <c r="B89" s="131" t="s">
        <v>125</v>
      </c>
      <c r="C89" s="132">
        <f>C90</f>
        <v>9000</v>
      </c>
      <c r="D89" s="133">
        <f>D90</f>
        <v>10000</v>
      </c>
      <c r="E89" s="133">
        <f>E90</f>
        <v>9979</v>
      </c>
      <c r="F89" s="134">
        <f t="shared" si="8"/>
        <v>99.79</v>
      </c>
      <c r="G89" s="135"/>
      <c r="H89" s="136"/>
      <c r="I89" s="134"/>
      <c r="J89" s="135">
        <f>J90</f>
        <v>10000</v>
      </c>
      <c r="K89" s="136">
        <f>K90</f>
        <v>9979</v>
      </c>
      <c r="L89" s="134">
        <f>K89/J89*100</f>
        <v>99.79</v>
      </c>
      <c r="M89" s="135"/>
      <c r="N89" s="136"/>
      <c r="O89" s="134"/>
      <c r="P89" s="135"/>
      <c r="Q89" s="136"/>
      <c r="R89" s="134"/>
    </row>
    <row r="90" spans="1:18" ht="72" customHeight="1">
      <c r="A90" s="164" t="s">
        <v>18</v>
      </c>
      <c r="B90" s="217" t="s">
        <v>126</v>
      </c>
      <c r="C90" s="166">
        <v>9000</v>
      </c>
      <c r="D90" s="167">
        <f>J90</f>
        <v>10000</v>
      </c>
      <c r="E90" s="167">
        <f>K90</f>
        <v>9979</v>
      </c>
      <c r="F90" s="218"/>
      <c r="G90" s="169"/>
      <c r="H90" s="170"/>
      <c r="I90" s="168"/>
      <c r="J90" s="169">
        <f>9000+1000</f>
        <v>10000</v>
      </c>
      <c r="K90" s="170">
        <v>9979</v>
      </c>
      <c r="L90" s="168"/>
      <c r="M90" s="169"/>
      <c r="N90" s="170"/>
      <c r="O90" s="168"/>
      <c r="P90" s="169"/>
      <c r="Q90" s="170"/>
      <c r="R90" s="168"/>
    </row>
    <row r="91" spans="1:18" s="235" customFormat="1" ht="16.5" customHeight="1">
      <c r="A91" s="130" t="s">
        <v>127</v>
      </c>
      <c r="B91" s="230" t="s">
        <v>17</v>
      </c>
      <c r="C91" s="132"/>
      <c r="D91" s="133">
        <f>D92</f>
        <v>51136</v>
      </c>
      <c r="E91" s="133">
        <f>E92</f>
        <v>51120</v>
      </c>
      <c r="F91" s="163"/>
      <c r="G91" s="265"/>
      <c r="H91" s="265"/>
      <c r="I91" s="134"/>
      <c r="J91" s="135"/>
      <c r="K91" s="136"/>
      <c r="L91" s="134"/>
      <c r="M91" s="135"/>
      <c r="N91" s="136"/>
      <c r="O91" s="134"/>
      <c r="P91" s="135">
        <f>P92</f>
        <v>51136</v>
      </c>
      <c r="Q91" s="136">
        <f>Q92</f>
        <v>51120</v>
      </c>
      <c r="R91" s="182">
        <f>Q91/P91*100</f>
        <v>99.96871088861077</v>
      </c>
    </row>
    <row r="92" spans="1:18" ht="84.75" customHeight="1" thickBot="1">
      <c r="A92" s="164" t="s">
        <v>101</v>
      </c>
      <c r="B92" s="217" t="s">
        <v>128</v>
      </c>
      <c r="C92" s="166"/>
      <c r="D92" s="167">
        <f>G92+J92+M92+P92</f>
        <v>51136</v>
      </c>
      <c r="E92" s="167">
        <f>H92+K92+N92+Q92</f>
        <v>51120</v>
      </c>
      <c r="F92" s="218"/>
      <c r="G92" s="266"/>
      <c r="H92" s="266"/>
      <c r="I92" s="168"/>
      <c r="J92" s="169"/>
      <c r="K92" s="170"/>
      <c r="L92" s="168"/>
      <c r="M92" s="169"/>
      <c r="N92" s="170"/>
      <c r="O92" s="168"/>
      <c r="P92" s="169">
        <v>51136</v>
      </c>
      <c r="Q92" s="170">
        <v>51120</v>
      </c>
      <c r="R92" s="168"/>
    </row>
    <row r="93" spans="1:18" ht="93" customHeight="1" thickBot="1" thickTop="1">
      <c r="A93" s="100" t="s">
        <v>129</v>
      </c>
      <c r="B93" s="267" t="s">
        <v>130</v>
      </c>
      <c r="C93" s="106">
        <f>C94+C96+C104+C114+C127+C130+C133+C135</f>
        <v>169025968</v>
      </c>
      <c r="D93" s="103">
        <f>D94+D96+D104+D114+D127+D130+D133+D135</f>
        <v>170953575</v>
      </c>
      <c r="E93" s="103">
        <f>E94+E96+E104+E114+E125+E127+E130+E133+E135</f>
        <v>163933270</v>
      </c>
      <c r="F93" s="105">
        <f t="shared" si="8"/>
        <v>95.89344358548804</v>
      </c>
      <c r="G93" s="268">
        <f>G94+G96+G104+G114+G125+G127+G133+G135</f>
        <v>144794869</v>
      </c>
      <c r="H93" s="268">
        <f>H94+H96+H104+H114+H125+H127+H133+H135</f>
        <v>139887201</v>
      </c>
      <c r="I93" s="269">
        <f aca="true" t="shared" si="10" ref="I93:I156">H93/G93*100</f>
        <v>96.61060641589447</v>
      </c>
      <c r="J93" s="270"/>
      <c r="K93" s="271"/>
      <c r="L93" s="272"/>
      <c r="M93" s="270">
        <f>M94+M96+M104+M114+M127+M130</f>
        <v>26158706</v>
      </c>
      <c r="N93" s="271">
        <f>N114+N130</f>
        <v>24046069</v>
      </c>
      <c r="O93" s="105">
        <f>N93/M93*100</f>
        <v>91.92377099998754</v>
      </c>
      <c r="P93" s="106"/>
      <c r="Q93" s="103"/>
      <c r="R93" s="246"/>
    </row>
    <row r="94" spans="1:18" ht="36.75" thickTop="1">
      <c r="A94" s="178" t="s">
        <v>131</v>
      </c>
      <c r="B94" s="179" t="s">
        <v>132</v>
      </c>
      <c r="C94" s="180">
        <f>SUM(C95)</f>
        <v>460000</v>
      </c>
      <c r="D94" s="181">
        <f>D95</f>
        <v>460000</v>
      </c>
      <c r="E94" s="181">
        <f>SUM(E95:E95)</f>
        <v>455701</v>
      </c>
      <c r="F94" s="182">
        <f t="shared" si="8"/>
        <v>99.06543478260869</v>
      </c>
      <c r="G94" s="184">
        <f>G95</f>
        <v>460000</v>
      </c>
      <c r="H94" s="185">
        <f>SUM(H95:H95)</f>
        <v>455701</v>
      </c>
      <c r="I94" s="182">
        <f t="shared" si="10"/>
        <v>99.06543478260869</v>
      </c>
      <c r="J94" s="184"/>
      <c r="K94" s="185"/>
      <c r="L94" s="273"/>
      <c r="M94" s="184"/>
      <c r="N94" s="185"/>
      <c r="O94" s="182"/>
      <c r="P94" s="184"/>
      <c r="Q94" s="185"/>
      <c r="R94" s="182"/>
    </row>
    <row r="95" spans="1:18" s="141" customFormat="1" ht="47.25" customHeight="1">
      <c r="A95" s="164" t="s">
        <v>133</v>
      </c>
      <c r="B95" s="165" t="s">
        <v>134</v>
      </c>
      <c r="C95" s="166">
        <v>460000</v>
      </c>
      <c r="D95" s="167">
        <f>G95+J95+M95+P95</f>
        <v>460000</v>
      </c>
      <c r="E95" s="167">
        <f>H95+K95+N95+Q95</f>
        <v>455701</v>
      </c>
      <c r="F95" s="168"/>
      <c r="G95" s="169">
        <v>460000</v>
      </c>
      <c r="H95" s="170">
        <v>455701</v>
      </c>
      <c r="I95" s="168"/>
      <c r="J95" s="169"/>
      <c r="K95" s="170"/>
      <c r="L95" s="172"/>
      <c r="M95" s="169"/>
      <c r="N95" s="170"/>
      <c r="O95" s="168"/>
      <c r="P95" s="169"/>
      <c r="Q95" s="170"/>
      <c r="R95" s="168"/>
    </row>
    <row r="96" spans="1:18" ht="68.25" customHeight="1">
      <c r="A96" s="130" t="s">
        <v>135</v>
      </c>
      <c r="B96" s="274" t="s">
        <v>136</v>
      </c>
      <c r="C96" s="132">
        <f>SUM(C97:C102)</f>
        <v>31534898</v>
      </c>
      <c r="D96" s="133">
        <f>SUM(D97:D102)</f>
        <v>33634898</v>
      </c>
      <c r="E96" s="133">
        <f>SUM(E97:E103)</f>
        <v>35714012</v>
      </c>
      <c r="F96" s="134">
        <f t="shared" si="8"/>
        <v>106.1814190725359</v>
      </c>
      <c r="G96" s="135">
        <f>SUM(G97:G102)</f>
        <v>33634898</v>
      </c>
      <c r="H96" s="136">
        <f>SUM(H97:H103)</f>
        <v>35714012</v>
      </c>
      <c r="I96" s="134">
        <f t="shared" si="10"/>
        <v>106.1814190725359</v>
      </c>
      <c r="J96" s="135"/>
      <c r="K96" s="136"/>
      <c r="L96" s="139"/>
      <c r="M96" s="135"/>
      <c r="N96" s="136"/>
      <c r="O96" s="134"/>
      <c r="P96" s="135"/>
      <c r="Q96" s="136"/>
      <c r="R96" s="134"/>
    </row>
    <row r="97" spans="1:18" ht="15" customHeight="1">
      <c r="A97" s="164" t="s">
        <v>137</v>
      </c>
      <c r="B97" s="165" t="s">
        <v>138</v>
      </c>
      <c r="C97" s="166">
        <v>28959207</v>
      </c>
      <c r="D97" s="167">
        <f aca="true" t="shared" si="11" ref="D97:E103">G97+J97+M97+P97</f>
        <v>30959207</v>
      </c>
      <c r="E97" s="167">
        <f t="shared" si="11"/>
        <v>33038211</v>
      </c>
      <c r="F97" s="168">
        <f t="shared" si="8"/>
        <v>106.71530120264386</v>
      </c>
      <c r="G97" s="244">
        <f>28959207+2000000</f>
        <v>30959207</v>
      </c>
      <c r="H97" s="170">
        <v>33038211</v>
      </c>
      <c r="I97" s="168">
        <f t="shared" si="10"/>
        <v>106.71530120264386</v>
      </c>
      <c r="J97" s="169"/>
      <c r="K97" s="170"/>
      <c r="L97" s="172"/>
      <c r="M97" s="169"/>
      <c r="N97" s="170"/>
      <c r="O97" s="168"/>
      <c r="P97" s="169"/>
      <c r="Q97" s="170"/>
      <c r="R97" s="168"/>
    </row>
    <row r="98" spans="1:18" ht="14.25" customHeight="1">
      <c r="A98" s="120" t="s">
        <v>139</v>
      </c>
      <c r="B98" s="90" t="s">
        <v>140</v>
      </c>
      <c r="C98" s="140">
        <v>36376</v>
      </c>
      <c r="D98" s="92">
        <f t="shared" si="11"/>
        <v>36376</v>
      </c>
      <c r="E98" s="92">
        <f t="shared" si="11"/>
        <v>42481</v>
      </c>
      <c r="F98" s="126">
        <f t="shared" si="8"/>
        <v>116.78304376511986</v>
      </c>
      <c r="G98" s="215">
        <v>36376</v>
      </c>
      <c r="H98" s="123">
        <v>42481</v>
      </c>
      <c r="I98" s="126">
        <f t="shared" si="10"/>
        <v>116.78304376511986</v>
      </c>
      <c r="J98" s="127"/>
      <c r="K98" s="123"/>
      <c r="L98" s="129"/>
      <c r="M98" s="127"/>
      <c r="N98" s="123"/>
      <c r="O98" s="126"/>
      <c r="P98" s="127"/>
      <c r="Q98" s="123"/>
      <c r="R98" s="126"/>
    </row>
    <row r="99" spans="1:18" ht="14.25" customHeight="1">
      <c r="A99" s="120" t="s">
        <v>141</v>
      </c>
      <c r="B99" s="90" t="s">
        <v>142</v>
      </c>
      <c r="C99" s="140">
        <v>44865</v>
      </c>
      <c r="D99" s="92">
        <f t="shared" si="11"/>
        <v>44865</v>
      </c>
      <c r="E99" s="92">
        <f t="shared" si="11"/>
        <v>47415</v>
      </c>
      <c r="F99" s="126">
        <f t="shared" si="8"/>
        <v>105.68371782012704</v>
      </c>
      <c r="G99" s="215">
        <v>44865</v>
      </c>
      <c r="H99" s="123">
        <v>47415</v>
      </c>
      <c r="I99" s="126">
        <f t="shared" si="10"/>
        <v>105.68371782012704</v>
      </c>
      <c r="J99" s="127"/>
      <c r="K99" s="123"/>
      <c r="L99" s="129"/>
      <c r="M99" s="127"/>
      <c r="N99" s="123"/>
      <c r="O99" s="126"/>
      <c r="P99" s="127"/>
      <c r="Q99" s="123"/>
      <c r="R99" s="126"/>
    </row>
    <row r="100" spans="1:18" ht="24">
      <c r="A100" s="120" t="s">
        <v>143</v>
      </c>
      <c r="B100" s="90" t="s">
        <v>144</v>
      </c>
      <c r="C100" s="140">
        <v>1494450</v>
      </c>
      <c r="D100" s="92">
        <f t="shared" si="11"/>
        <v>1494450</v>
      </c>
      <c r="E100" s="92">
        <f t="shared" si="11"/>
        <v>1596479</v>
      </c>
      <c r="F100" s="126">
        <f t="shared" si="8"/>
        <v>106.82719395095187</v>
      </c>
      <c r="G100" s="215">
        <v>1494450</v>
      </c>
      <c r="H100" s="123">
        <v>1596479</v>
      </c>
      <c r="I100" s="126">
        <f t="shared" si="10"/>
        <v>106.82719395095187</v>
      </c>
      <c r="J100" s="127"/>
      <c r="K100" s="123"/>
      <c r="L100" s="129"/>
      <c r="M100" s="127"/>
      <c r="N100" s="123"/>
      <c r="O100" s="126"/>
      <c r="P100" s="127"/>
      <c r="Q100" s="123"/>
      <c r="R100" s="126"/>
    </row>
    <row r="101" spans="1:18" s="141" customFormat="1" ht="13.5" customHeight="1">
      <c r="A101" s="120" t="s">
        <v>145</v>
      </c>
      <c r="B101" s="90" t="s">
        <v>146</v>
      </c>
      <c r="C101" s="140">
        <v>600000</v>
      </c>
      <c r="D101" s="92">
        <f t="shared" si="11"/>
        <v>700000</v>
      </c>
      <c r="E101" s="92">
        <f t="shared" si="11"/>
        <v>619731</v>
      </c>
      <c r="F101" s="126">
        <f t="shared" si="8"/>
        <v>88.533</v>
      </c>
      <c r="G101" s="215">
        <f>600000+100000</f>
        <v>700000</v>
      </c>
      <c r="H101" s="123">
        <v>619731</v>
      </c>
      <c r="I101" s="126">
        <f t="shared" si="10"/>
        <v>88.533</v>
      </c>
      <c r="J101" s="127"/>
      <c r="K101" s="123"/>
      <c r="L101" s="129"/>
      <c r="M101" s="127"/>
      <c r="N101" s="123"/>
      <c r="O101" s="126"/>
      <c r="P101" s="127"/>
      <c r="Q101" s="123"/>
      <c r="R101" s="126"/>
    </row>
    <row r="102" spans="1:18" s="141" customFormat="1" ht="24" customHeight="1">
      <c r="A102" s="175" t="s">
        <v>147</v>
      </c>
      <c r="B102" s="176" t="s">
        <v>148</v>
      </c>
      <c r="C102" s="188">
        <v>400000</v>
      </c>
      <c r="D102" s="189">
        <f t="shared" si="11"/>
        <v>400000</v>
      </c>
      <c r="E102" s="189">
        <f t="shared" si="11"/>
        <v>369336</v>
      </c>
      <c r="F102" s="190">
        <f t="shared" si="8"/>
        <v>92.334</v>
      </c>
      <c r="G102" s="213">
        <v>400000</v>
      </c>
      <c r="H102" s="192">
        <v>369336</v>
      </c>
      <c r="I102" s="190">
        <f t="shared" si="10"/>
        <v>92.334</v>
      </c>
      <c r="J102" s="191"/>
      <c r="K102" s="192"/>
      <c r="L102" s="275"/>
      <c r="M102" s="191"/>
      <c r="N102" s="192"/>
      <c r="O102" s="190"/>
      <c r="P102" s="191"/>
      <c r="Q102" s="192"/>
      <c r="R102" s="190"/>
    </row>
    <row r="103" spans="1:18" s="141" customFormat="1" ht="15.75" customHeight="1">
      <c r="A103" s="175" t="s">
        <v>30</v>
      </c>
      <c r="B103" s="176" t="s">
        <v>31</v>
      </c>
      <c r="C103" s="188"/>
      <c r="D103" s="189"/>
      <c r="E103" s="189">
        <f t="shared" si="11"/>
        <v>359</v>
      </c>
      <c r="F103" s="190"/>
      <c r="G103" s="213"/>
      <c r="H103" s="192">
        <v>359</v>
      </c>
      <c r="I103" s="190"/>
      <c r="J103" s="191"/>
      <c r="K103" s="192"/>
      <c r="L103" s="275"/>
      <c r="M103" s="191"/>
      <c r="N103" s="192"/>
      <c r="O103" s="190"/>
      <c r="P103" s="191"/>
      <c r="Q103" s="192"/>
      <c r="R103" s="190"/>
    </row>
    <row r="104" spans="1:18" ht="64.5" customHeight="1">
      <c r="A104" s="130" t="s">
        <v>149</v>
      </c>
      <c r="B104" s="274" t="s">
        <v>150</v>
      </c>
      <c r="C104" s="132">
        <f>SUM(C105:C113)</f>
        <v>17725063</v>
      </c>
      <c r="D104" s="133">
        <f>SUM(D105:D113)</f>
        <v>16875063</v>
      </c>
      <c r="E104" s="133">
        <f>SUM(E105:E113)</f>
        <v>16818100</v>
      </c>
      <c r="F104" s="134">
        <f t="shared" si="8"/>
        <v>99.66244274169524</v>
      </c>
      <c r="G104" s="135">
        <f>SUM(G105:G113)</f>
        <v>16875063</v>
      </c>
      <c r="H104" s="136">
        <f>SUM(H105:H113)</f>
        <v>16818100</v>
      </c>
      <c r="I104" s="134">
        <f t="shared" si="10"/>
        <v>99.66244274169524</v>
      </c>
      <c r="J104" s="135"/>
      <c r="K104" s="136"/>
      <c r="L104" s="139"/>
      <c r="M104" s="135"/>
      <c r="N104" s="136"/>
      <c r="O104" s="134"/>
      <c r="P104" s="135"/>
      <c r="Q104" s="136"/>
      <c r="R104" s="134"/>
    </row>
    <row r="105" spans="1:18" ht="15" customHeight="1">
      <c r="A105" s="164" t="s">
        <v>137</v>
      </c>
      <c r="B105" s="165" t="s">
        <v>138</v>
      </c>
      <c r="C105" s="166">
        <v>8668999</v>
      </c>
      <c r="D105" s="167">
        <f aca="true" t="shared" si="12" ref="D105:E113">G105+J105+M105+P105</f>
        <v>8668999</v>
      </c>
      <c r="E105" s="167">
        <f t="shared" si="12"/>
        <v>8630711</v>
      </c>
      <c r="F105" s="168">
        <f t="shared" si="8"/>
        <v>99.55833424366527</v>
      </c>
      <c r="G105" s="169">
        <v>8668999</v>
      </c>
      <c r="H105" s="170">
        <v>8630711</v>
      </c>
      <c r="I105" s="126">
        <f t="shared" si="10"/>
        <v>99.55833424366527</v>
      </c>
      <c r="J105" s="169"/>
      <c r="K105" s="170"/>
      <c r="L105" s="172"/>
      <c r="M105" s="169"/>
      <c r="N105" s="170"/>
      <c r="O105" s="168"/>
      <c r="P105" s="169"/>
      <c r="Q105" s="170"/>
      <c r="R105" s="168"/>
    </row>
    <row r="106" spans="1:18" ht="15" customHeight="1">
      <c r="A106" s="120" t="s">
        <v>139</v>
      </c>
      <c r="B106" s="90" t="s">
        <v>140</v>
      </c>
      <c r="C106" s="140">
        <v>689930</v>
      </c>
      <c r="D106" s="92">
        <f t="shared" si="12"/>
        <v>689930</v>
      </c>
      <c r="E106" s="92">
        <f t="shared" si="12"/>
        <v>728634</v>
      </c>
      <c r="F106" s="126">
        <f t="shared" si="8"/>
        <v>105.60984447697592</v>
      </c>
      <c r="G106" s="127">
        <v>689930</v>
      </c>
      <c r="H106" s="123">
        <v>728634</v>
      </c>
      <c r="I106" s="126">
        <f t="shared" si="10"/>
        <v>105.60984447697592</v>
      </c>
      <c r="J106" s="127"/>
      <c r="K106" s="123"/>
      <c r="L106" s="129"/>
      <c r="M106" s="127"/>
      <c r="N106" s="123"/>
      <c r="O106" s="126"/>
      <c r="P106" s="127"/>
      <c r="Q106" s="123"/>
      <c r="R106" s="126"/>
    </row>
    <row r="107" spans="1:18" s="141" customFormat="1" ht="14.25" customHeight="1">
      <c r="A107" s="120" t="s">
        <v>141</v>
      </c>
      <c r="B107" s="90" t="s">
        <v>142</v>
      </c>
      <c r="C107" s="140">
        <v>262</v>
      </c>
      <c r="D107" s="92">
        <f t="shared" si="12"/>
        <v>262</v>
      </c>
      <c r="E107" s="92">
        <f t="shared" si="12"/>
        <v>236</v>
      </c>
      <c r="F107" s="126">
        <f t="shared" si="8"/>
        <v>90.07633587786259</v>
      </c>
      <c r="G107" s="127">
        <v>262</v>
      </c>
      <c r="H107" s="123">
        <v>236</v>
      </c>
      <c r="I107" s="126">
        <f t="shared" si="10"/>
        <v>90.07633587786259</v>
      </c>
      <c r="J107" s="127"/>
      <c r="K107" s="123"/>
      <c r="L107" s="129"/>
      <c r="M107" s="127"/>
      <c r="N107" s="123"/>
      <c r="O107" s="126"/>
      <c r="P107" s="127"/>
      <c r="Q107" s="123"/>
      <c r="R107" s="126"/>
    </row>
    <row r="108" spans="1:18" s="141" customFormat="1" ht="21" customHeight="1">
      <c r="A108" s="120" t="s">
        <v>143</v>
      </c>
      <c r="B108" s="90" t="s">
        <v>144</v>
      </c>
      <c r="C108" s="140">
        <v>749100</v>
      </c>
      <c r="D108" s="92">
        <f t="shared" si="12"/>
        <v>749100</v>
      </c>
      <c r="E108" s="92">
        <f t="shared" si="12"/>
        <v>723859</v>
      </c>
      <c r="F108" s="126">
        <f t="shared" si="8"/>
        <v>96.63048992123882</v>
      </c>
      <c r="G108" s="127">
        <v>749100</v>
      </c>
      <c r="H108" s="123">
        <v>723859</v>
      </c>
      <c r="I108" s="126">
        <f t="shared" si="10"/>
        <v>96.63048992123882</v>
      </c>
      <c r="J108" s="127"/>
      <c r="K108" s="123"/>
      <c r="L108" s="129"/>
      <c r="M108" s="127"/>
      <c r="N108" s="123"/>
      <c r="O108" s="126"/>
      <c r="P108" s="127"/>
      <c r="Q108" s="123"/>
      <c r="R108" s="126"/>
    </row>
    <row r="109" spans="1:18" s="141" customFormat="1" ht="19.5" customHeight="1">
      <c r="A109" s="120" t="s">
        <v>151</v>
      </c>
      <c r="B109" s="90" t="s">
        <v>152</v>
      </c>
      <c r="C109" s="140">
        <v>450000</v>
      </c>
      <c r="D109" s="92">
        <f t="shared" si="12"/>
        <v>600000</v>
      </c>
      <c r="E109" s="92">
        <f t="shared" si="12"/>
        <v>1061441</v>
      </c>
      <c r="F109" s="126">
        <f t="shared" si="8"/>
        <v>176.90683333333334</v>
      </c>
      <c r="G109" s="127">
        <f>450000+150000</f>
        <v>600000</v>
      </c>
      <c r="H109" s="123">
        <v>1061441</v>
      </c>
      <c r="I109" s="126">
        <f t="shared" si="10"/>
        <v>176.90683333333334</v>
      </c>
      <c r="J109" s="127"/>
      <c r="K109" s="123"/>
      <c r="L109" s="129"/>
      <c r="M109" s="127"/>
      <c r="N109" s="123"/>
      <c r="O109" s="126"/>
      <c r="P109" s="127"/>
      <c r="Q109" s="123"/>
      <c r="R109" s="126"/>
    </row>
    <row r="110" spans="1:18" s="141" customFormat="1" ht="15" customHeight="1">
      <c r="A110" s="120" t="s">
        <v>145</v>
      </c>
      <c r="B110" s="90" t="s">
        <v>146</v>
      </c>
      <c r="C110" s="140">
        <v>200000</v>
      </c>
      <c r="D110" s="92">
        <f t="shared" si="12"/>
        <v>200000</v>
      </c>
      <c r="E110" s="92">
        <f t="shared" si="12"/>
        <v>145238</v>
      </c>
      <c r="F110" s="126">
        <f t="shared" si="8"/>
        <v>72.619</v>
      </c>
      <c r="G110" s="127">
        <v>200000</v>
      </c>
      <c r="H110" s="123">
        <v>145238</v>
      </c>
      <c r="I110" s="126">
        <f t="shared" si="10"/>
        <v>72.619</v>
      </c>
      <c r="J110" s="127"/>
      <c r="K110" s="123"/>
      <c r="L110" s="129"/>
      <c r="M110" s="127"/>
      <c r="N110" s="123"/>
      <c r="O110" s="126"/>
      <c r="P110" s="127"/>
      <c r="Q110" s="123"/>
      <c r="R110" s="126"/>
    </row>
    <row r="111" spans="1:18" s="141" customFormat="1" ht="24">
      <c r="A111" s="120" t="s">
        <v>147</v>
      </c>
      <c r="B111" s="90" t="s">
        <v>148</v>
      </c>
      <c r="C111" s="140">
        <v>6400000</v>
      </c>
      <c r="D111" s="92">
        <f t="shared" si="12"/>
        <v>5400000</v>
      </c>
      <c r="E111" s="92">
        <f t="shared" si="12"/>
        <v>5112031</v>
      </c>
      <c r="F111" s="126">
        <f t="shared" si="8"/>
        <v>94.66724074074074</v>
      </c>
      <c r="G111" s="127">
        <f>6400000-1000000</f>
        <v>5400000</v>
      </c>
      <c r="H111" s="123">
        <v>5112031</v>
      </c>
      <c r="I111" s="126">
        <f t="shared" si="10"/>
        <v>94.66724074074074</v>
      </c>
      <c r="J111" s="127"/>
      <c r="K111" s="123"/>
      <c r="L111" s="129"/>
      <c r="M111" s="127"/>
      <c r="N111" s="123"/>
      <c r="O111" s="126"/>
      <c r="P111" s="127"/>
      <c r="Q111" s="123"/>
      <c r="R111" s="126"/>
    </row>
    <row r="112" spans="1:18" s="141" customFormat="1" ht="26.25" customHeight="1">
      <c r="A112" s="120" t="s">
        <v>153</v>
      </c>
      <c r="B112" s="90" t="s">
        <v>154</v>
      </c>
      <c r="C112" s="140"/>
      <c r="D112" s="92"/>
      <c r="E112" s="92">
        <f t="shared" si="12"/>
        <v>70</v>
      </c>
      <c r="F112" s="126"/>
      <c r="G112" s="127"/>
      <c r="H112" s="123">
        <v>70</v>
      </c>
      <c r="I112" s="126"/>
      <c r="J112" s="127"/>
      <c r="K112" s="123"/>
      <c r="L112" s="129"/>
      <c r="M112" s="127"/>
      <c r="N112" s="123"/>
      <c r="O112" s="126"/>
      <c r="P112" s="127"/>
      <c r="Q112" s="123"/>
      <c r="R112" s="126"/>
    </row>
    <row r="113" spans="1:18" ht="50.25" customHeight="1">
      <c r="A113" s="175" t="s">
        <v>155</v>
      </c>
      <c r="B113" s="176" t="s">
        <v>156</v>
      </c>
      <c r="C113" s="188">
        <v>566772</v>
      </c>
      <c r="D113" s="92">
        <f t="shared" si="12"/>
        <v>566772</v>
      </c>
      <c r="E113" s="189">
        <f>H113+K113+N113+Q113</f>
        <v>415880</v>
      </c>
      <c r="F113" s="190">
        <f t="shared" si="8"/>
        <v>73.37694875540782</v>
      </c>
      <c r="G113" s="191">
        <v>566772</v>
      </c>
      <c r="H113" s="192">
        <v>415880</v>
      </c>
      <c r="I113" s="190">
        <f t="shared" si="10"/>
        <v>73.37694875540782</v>
      </c>
      <c r="J113" s="191"/>
      <c r="K113" s="192"/>
      <c r="L113" s="275"/>
      <c r="M113" s="191"/>
      <c r="N113" s="192"/>
      <c r="O113" s="190"/>
      <c r="P113" s="191"/>
      <c r="Q113" s="192"/>
      <c r="R113" s="190"/>
    </row>
    <row r="114" spans="1:18" ht="36.75" customHeight="1">
      <c r="A114" s="130" t="s">
        <v>157</v>
      </c>
      <c r="B114" s="131" t="s">
        <v>158</v>
      </c>
      <c r="C114" s="276">
        <f>SUM(C115:C119)</f>
        <v>8064000</v>
      </c>
      <c r="D114" s="136">
        <f>SUM(D115:D119)</f>
        <v>7864000</v>
      </c>
      <c r="E114" s="136">
        <f>SUM(E115:E119)</f>
        <v>7981359</v>
      </c>
      <c r="F114" s="134">
        <f t="shared" si="8"/>
        <v>101.49235757884027</v>
      </c>
      <c r="G114" s="135">
        <f>SUM(G115:G119)</f>
        <v>5434000</v>
      </c>
      <c r="H114" s="136">
        <f>SUM(H115:H119)</f>
        <v>5912095</v>
      </c>
      <c r="I114" s="134">
        <f t="shared" si="10"/>
        <v>108.79821494295179</v>
      </c>
      <c r="J114" s="135"/>
      <c r="K114" s="136"/>
      <c r="L114" s="139"/>
      <c r="M114" s="135">
        <f>SUM(M115:M119)</f>
        <v>2430000</v>
      </c>
      <c r="N114" s="136">
        <f>SUM(N115:N119)</f>
        <v>2069264</v>
      </c>
      <c r="O114" s="134">
        <f>N114/M114*100</f>
        <v>85.15489711934157</v>
      </c>
      <c r="P114" s="135"/>
      <c r="Q114" s="136"/>
      <c r="R114" s="134"/>
    </row>
    <row r="115" spans="1:18" ht="14.25" customHeight="1">
      <c r="A115" s="164" t="s">
        <v>159</v>
      </c>
      <c r="B115" s="165" t="s">
        <v>160</v>
      </c>
      <c r="C115" s="166">
        <v>3100000</v>
      </c>
      <c r="D115" s="167">
        <f>G115+J115+M115+P115</f>
        <v>2900000</v>
      </c>
      <c r="E115" s="167">
        <f>H115+K115+N115+Q115</f>
        <v>2751142</v>
      </c>
      <c r="F115" s="168">
        <f t="shared" si="8"/>
        <v>94.86696551724137</v>
      </c>
      <c r="G115" s="169">
        <f>3100000-200000</f>
        <v>2900000</v>
      </c>
      <c r="H115" s="170">
        <v>2751142</v>
      </c>
      <c r="I115" s="168">
        <f t="shared" si="10"/>
        <v>94.86696551724137</v>
      </c>
      <c r="J115" s="169"/>
      <c r="K115" s="170"/>
      <c r="L115" s="172"/>
      <c r="M115" s="169"/>
      <c r="N115" s="170"/>
      <c r="O115" s="168"/>
      <c r="P115" s="169"/>
      <c r="Q115" s="170"/>
      <c r="R115" s="168"/>
    </row>
    <row r="116" spans="1:18" ht="26.25" customHeight="1">
      <c r="A116" s="120" t="s">
        <v>161</v>
      </c>
      <c r="B116" s="90" t="s">
        <v>162</v>
      </c>
      <c r="C116" s="140">
        <v>2400000</v>
      </c>
      <c r="D116" s="92">
        <f>G116+J116+M116+P116</f>
        <v>2400000</v>
      </c>
      <c r="E116" s="92">
        <f>H116+K116+N116+Q116</f>
        <v>1999795</v>
      </c>
      <c r="F116" s="126">
        <f>E116/D116*100</f>
        <v>83.32479166666667</v>
      </c>
      <c r="G116" s="127"/>
      <c r="H116" s="123"/>
      <c r="I116" s="126"/>
      <c r="J116" s="127"/>
      <c r="K116" s="123"/>
      <c r="L116" s="129"/>
      <c r="M116" s="127">
        <v>2400000</v>
      </c>
      <c r="N116" s="123">
        <v>1999795</v>
      </c>
      <c r="O116" s="126">
        <f>N116/M116*100</f>
        <v>83.32479166666667</v>
      </c>
      <c r="P116" s="127"/>
      <c r="Q116" s="123"/>
      <c r="R116" s="126"/>
    </row>
    <row r="117" spans="1:18" s="141" customFormat="1" ht="26.25" customHeight="1">
      <c r="A117" s="120" t="s">
        <v>163</v>
      </c>
      <c r="B117" s="90" t="s">
        <v>164</v>
      </c>
      <c r="C117" s="140"/>
      <c r="D117" s="92"/>
      <c r="E117" s="92">
        <f>H117</f>
        <v>653</v>
      </c>
      <c r="F117" s="126"/>
      <c r="G117" s="127"/>
      <c r="H117" s="123">
        <v>653</v>
      </c>
      <c r="I117" s="126"/>
      <c r="J117" s="127"/>
      <c r="K117" s="123"/>
      <c r="L117" s="129"/>
      <c r="M117" s="127"/>
      <c r="N117" s="123"/>
      <c r="O117" s="126"/>
      <c r="P117" s="127"/>
      <c r="Q117" s="123"/>
      <c r="R117" s="126"/>
    </row>
    <row r="118" spans="1:18" s="141" customFormat="1" ht="27" customHeight="1">
      <c r="A118" s="175" t="s">
        <v>165</v>
      </c>
      <c r="B118" s="176" t="s">
        <v>166</v>
      </c>
      <c r="C118" s="188">
        <v>2000000</v>
      </c>
      <c r="D118" s="189">
        <f aca="true" t="shared" si="13" ref="D118:E120">G118+J118+M118+P118</f>
        <v>2000000</v>
      </c>
      <c r="E118" s="189">
        <f t="shared" si="13"/>
        <v>2432738</v>
      </c>
      <c r="F118" s="190">
        <f t="shared" si="8"/>
        <v>121.6369</v>
      </c>
      <c r="G118" s="191">
        <v>2000000</v>
      </c>
      <c r="H118" s="192">
        <v>2432738</v>
      </c>
      <c r="I118" s="190">
        <f t="shared" si="10"/>
        <v>121.6369</v>
      </c>
      <c r="J118" s="191"/>
      <c r="K118" s="192"/>
      <c r="L118" s="275"/>
      <c r="M118" s="191"/>
      <c r="N118" s="192"/>
      <c r="O118" s="190"/>
      <c r="P118" s="191"/>
      <c r="Q118" s="192"/>
      <c r="R118" s="190"/>
    </row>
    <row r="119" spans="1:18" s="141" customFormat="1" ht="61.5" customHeight="1">
      <c r="A119" s="120" t="s">
        <v>167</v>
      </c>
      <c r="B119" s="90" t="s">
        <v>168</v>
      </c>
      <c r="C119" s="140">
        <f>SUM(C120:C124)</f>
        <v>564000</v>
      </c>
      <c r="D119" s="92">
        <f t="shared" si="13"/>
        <v>564000</v>
      </c>
      <c r="E119" s="92">
        <f t="shared" si="13"/>
        <v>797031</v>
      </c>
      <c r="F119" s="126">
        <f t="shared" si="8"/>
        <v>141.31755319148937</v>
      </c>
      <c r="G119" s="127">
        <f>SUM(G120:G124)</f>
        <v>534000</v>
      </c>
      <c r="H119" s="123">
        <v>727562</v>
      </c>
      <c r="I119" s="126">
        <f t="shared" si="10"/>
        <v>136.24756554307115</v>
      </c>
      <c r="J119" s="127"/>
      <c r="K119" s="123"/>
      <c r="L119" s="129"/>
      <c r="M119" s="127">
        <f>M120</f>
        <v>30000</v>
      </c>
      <c r="N119" s="123">
        <v>69469</v>
      </c>
      <c r="O119" s="126">
        <f>N119/M119*100</f>
        <v>231.56333333333333</v>
      </c>
      <c r="P119" s="127"/>
      <c r="Q119" s="123"/>
      <c r="R119" s="126"/>
    </row>
    <row r="120" spans="1:18" s="283" customFormat="1" ht="48" customHeight="1" hidden="1">
      <c r="A120" s="277"/>
      <c r="B120" s="278" t="s">
        <v>169</v>
      </c>
      <c r="C120" s="279">
        <v>32000</v>
      </c>
      <c r="D120" s="280">
        <f t="shared" si="13"/>
        <v>32000</v>
      </c>
      <c r="E120" s="280">
        <f t="shared" si="13"/>
        <v>84261</v>
      </c>
      <c r="F120" s="149">
        <f t="shared" si="8"/>
        <v>263.315625</v>
      </c>
      <c r="G120" s="281">
        <v>2000</v>
      </c>
      <c r="H120" s="282">
        <f>6785+8007</f>
        <v>14792</v>
      </c>
      <c r="I120" s="149">
        <f t="shared" si="10"/>
        <v>739.6</v>
      </c>
      <c r="J120" s="281"/>
      <c r="K120" s="282"/>
      <c r="L120" s="151"/>
      <c r="M120" s="281">
        <v>30000</v>
      </c>
      <c r="N120" s="282">
        <v>69469</v>
      </c>
      <c r="O120" s="149"/>
      <c r="P120" s="281"/>
      <c r="Q120" s="282"/>
      <c r="R120" s="149"/>
    </row>
    <row r="121" spans="1:18" s="283" customFormat="1" ht="27" customHeight="1" hidden="1">
      <c r="A121" s="277"/>
      <c r="B121" s="278" t="s">
        <v>170</v>
      </c>
      <c r="C121" s="279">
        <v>180000</v>
      </c>
      <c r="D121" s="280">
        <f aca="true" t="shared" si="14" ref="D121:E124">G121</f>
        <v>180000</v>
      </c>
      <c r="E121" s="280">
        <f t="shared" si="14"/>
        <v>28500</v>
      </c>
      <c r="F121" s="149">
        <f t="shared" si="8"/>
        <v>15.833333333333332</v>
      </c>
      <c r="G121" s="281">
        <v>180000</v>
      </c>
      <c r="H121" s="282">
        <v>28500</v>
      </c>
      <c r="I121" s="149">
        <f t="shared" si="10"/>
        <v>15.833333333333332</v>
      </c>
      <c r="J121" s="281"/>
      <c r="K121" s="282"/>
      <c r="L121" s="151"/>
      <c r="M121" s="281"/>
      <c r="N121" s="282"/>
      <c r="O121" s="149"/>
      <c r="P121" s="281"/>
      <c r="Q121" s="282"/>
      <c r="R121" s="149"/>
    </row>
    <row r="122" spans="1:18" s="283" customFormat="1" ht="14.25" customHeight="1" hidden="1">
      <c r="A122" s="277"/>
      <c r="B122" s="278" t="s">
        <v>171</v>
      </c>
      <c r="C122" s="279">
        <v>2000</v>
      </c>
      <c r="D122" s="280">
        <f t="shared" si="14"/>
        <v>2000</v>
      </c>
      <c r="E122" s="280">
        <f t="shared" si="14"/>
        <v>18578</v>
      </c>
      <c r="F122" s="149">
        <f t="shared" si="8"/>
        <v>928.9</v>
      </c>
      <c r="G122" s="281">
        <v>2000</v>
      </c>
      <c r="H122" s="282">
        <v>18578</v>
      </c>
      <c r="I122" s="149">
        <f t="shared" si="10"/>
        <v>928.9</v>
      </c>
      <c r="J122" s="281"/>
      <c r="K122" s="282"/>
      <c r="L122" s="151"/>
      <c r="M122" s="281"/>
      <c r="N122" s="282"/>
      <c r="O122" s="149"/>
      <c r="P122" s="281"/>
      <c r="Q122" s="282"/>
      <c r="R122" s="149"/>
    </row>
    <row r="123" spans="1:18" s="283" customFormat="1" ht="14.25" customHeight="1" hidden="1">
      <c r="A123" s="277"/>
      <c r="B123" s="278" t="s">
        <v>172</v>
      </c>
      <c r="C123" s="279">
        <v>150000</v>
      </c>
      <c r="D123" s="280">
        <f t="shared" si="14"/>
        <v>150000</v>
      </c>
      <c r="E123" s="280">
        <f t="shared" si="14"/>
        <v>494397</v>
      </c>
      <c r="F123" s="149">
        <f t="shared" si="8"/>
        <v>329.598</v>
      </c>
      <c r="G123" s="281">
        <v>150000</v>
      </c>
      <c r="H123" s="282">
        <f>363758+130639</f>
        <v>494397</v>
      </c>
      <c r="I123" s="149">
        <f t="shared" si="10"/>
        <v>329.598</v>
      </c>
      <c r="J123" s="281"/>
      <c r="K123" s="282"/>
      <c r="L123" s="151"/>
      <c r="M123" s="281"/>
      <c r="N123" s="282"/>
      <c r="O123" s="149"/>
      <c r="P123" s="281"/>
      <c r="Q123" s="282"/>
      <c r="R123" s="149"/>
    </row>
    <row r="124" spans="1:18" s="283" customFormat="1" ht="17.25" customHeight="1" hidden="1">
      <c r="A124" s="284"/>
      <c r="B124" s="285" t="s">
        <v>173</v>
      </c>
      <c r="C124" s="286">
        <v>200000</v>
      </c>
      <c r="D124" s="287">
        <f t="shared" si="14"/>
        <v>200000</v>
      </c>
      <c r="E124" s="287">
        <f t="shared" si="14"/>
        <v>171295</v>
      </c>
      <c r="F124" s="160">
        <f t="shared" si="8"/>
        <v>85.6475</v>
      </c>
      <c r="G124" s="288">
        <v>200000</v>
      </c>
      <c r="H124" s="289">
        <f>141295+30000</f>
        <v>171295</v>
      </c>
      <c r="I124" s="160">
        <f t="shared" si="10"/>
        <v>85.6475</v>
      </c>
      <c r="J124" s="288"/>
      <c r="K124" s="289"/>
      <c r="L124" s="162"/>
      <c r="M124" s="288"/>
      <c r="N124" s="289"/>
      <c r="O124" s="160"/>
      <c r="P124" s="288"/>
      <c r="Q124" s="289"/>
      <c r="R124" s="160"/>
    </row>
    <row r="125" spans="1:18" s="235" customFormat="1" ht="20.25" customHeight="1">
      <c r="A125" s="130" t="s">
        <v>174</v>
      </c>
      <c r="B125" s="131" t="s">
        <v>175</v>
      </c>
      <c r="C125" s="132"/>
      <c r="D125" s="133"/>
      <c r="E125" s="133">
        <f>H125+K125+N125+Q125</f>
        <v>63109</v>
      </c>
      <c r="F125" s="134"/>
      <c r="G125" s="135"/>
      <c r="H125" s="136">
        <f>H126</f>
        <v>63109</v>
      </c>
      <c r="I125" s="134"/>
      <c r="J125" s="135"/>
      <c r="K125" s="136"/>
      <c r="L125" s="139"/>
      <c r="M125" s="135"/>
      <c r="N125" s="136"/>
      <c r="O125" s="134"/>
      <c r="P125" s="135"/>
      <c r="Q125" s="136"/>
      <c r="R125" s="134"/>
    </row>
    <row r="126" spans="1:18" ht="28.5" customHeight="1">
      <c r="A126" s="175" t="s">
        <v>176</v>
      </c>
      <c r="B126" s="176" t="s">
        <v>177</v>
      </c>
      <c r="C126" s="188"/>
      <c r="D126" s="189"/>
      <c r="E126" s="189">
        <f>H126+K126+N126+Q126</f>
        <v>63109</v>
      </c>
      <c r="F126" s="190"/>
      <c r="G126" s="191"/>
      <c r="H126" s="192">
        <v>63109</v>
      </c>
      <c r="I126" s="190"/>
      <c r="J126" s="191"/>
      <c r="K126" s="192"/>
      <c r="L126" s="275"/>
      <c r="M126" s="191"/>
      <c r="N126" s="192"/>
      <c r="O126" s="190"/>
      <c r="P126" s="191"/>
      <c r="Q126" s="192"/>
      <c r="R126" s="190"/>
    </row>
    <row r="127" spans="1:18" ht="40.5" customHeight="1">
      <c r="A127" s="130" t="s">
        <v>178</v>
      </c>
      <c r="B127" s="131" t="s">
        <v>179</v>
      </c>
      <c r="C127" s="276">
        <f>SUM(C128:C129)</f>
        <v>87455543</v>
      </c>
      <c r="D127" s="136">
        <f>SUM(D128:D129)</f>
        <v>87452828</v>
      </c>
      <c r="E127" s="136">
        <f>SUM(E128:E129)</f>
        <v>79861267</v>
      </c>
      <c r="F127" s="134">
        <f t="shared" si="8"/>
        <v>91.31925041920886</v>
      </c>
      <c r="G127" s="135">
        <f>G128+G129</f>
        <v>87452828</v>
      </c>
      <c r="H127" s="136">
        <f>SUM(H128:H129)</f>
        <v>79861267</v>
      </c>
      <c r="I127" s="134">
        <f t="shared" si="10"/>
        <v>91.31925041920886</v>
      </c>
      <c r="J127" s="135"/>
      <c r="K127" s="136"/>
      <c r="L127" s="139"/>
      <c r="M127" s="135"/>
      <c r="N127" s="136"/>
      <c r="O127" s="134"/>
      <c r="P127" s="135"/>
      <c r="Q127" s="136"/>
      <c r="R127" s="134"/>
    </row>
    <row r="128" spans="1:18" s="141" customFormat="1" ht="28.5" customHeight="1">
      <c r="A128" s="164" t="s">
        <v>180</v>
      </c>
      <c r="B128" s="165" t="s">
        <v>181</v>
      </c>
      <c r="C128" s="166">
        <v>82931543</v>
      </c>
      <c r="D128" s="167">
        <f>G128+J128+M128+P128</f>
        <v>82928828</v>
      </c>
      <c r="E128" s="167">
        <f>H128+K128+N128+Q128</f>
        <v>75382641</v>
      </c>
      <c r="F128" s="168">
        <f t="shared" si="8"/>
        <v>90.90040558634206</v>
      </c>
      <c r="G128" s="244">
        <f>82931543-2715</f>
        <v>82928828</v>
      </c>
      <c r="H128" s="170">
        <v>75382641</v>
      </c>
      <c r="I128" s="168">
        <f t="shared" si="10"/>
        <v>90.90040558634206</v>
      </c>
      <c r="J128" s="169"/>
      <c r="K128" s="170"/>
      <c r="L128" s="172"/>
      <c r="M128" s="169"/>
      <c r="N128" s="170"/>
      <c r="O128" s="168"/>
      <c r="P128" s="169"/>
      <c r="Q128" s="170"/>
      <c r="R128" s="168"/>
    </row>
    <row r="129" spans="1:18" ht="24">
      <c r="A129" s="175" t="s">
        <v>182</v>
      </c>
      <c r="B129" s="176" t="s">
        <v>183</v>
      </c>
      <c r="C129" s="188">
        <v>4524000</v>
      </c>
      <c r="D129" s="189">
        <f>G129+J129+M129+P129</f>
        <v>4524000</v>
      </c>
      <c r="E129" s="189">
        <f>H129+K129+N129+Q129</f>
        <v>4478626</v>
      </c>
      <c r="F129" s="190">
        <f t="shared" si="8"/>
        <v>98.99703801945181</v>
      </c>
      <c r="G129" s="213">
        <v>4524000</v>
      </c>
      <c r="H129" s="192">
        <v>4478626</v>
      </c>
      <c r="I129" s="190">
        <f t="shared" si="10"/>
        <v>98.99703801945181</v>
      </c>
      <c r="J129" s="191"/>
      <c r="K129" s="192"/>
      <c r="L129" s="275"/>
      <c r="M129" s="191"/>
      <c r="N129" s="192"/>
      <c r="O129" s="190"/>
      <c r="P129" s="191"/>
      <c r="Q129" s="192"/>
      <c r="R129" s="190"/>
    </row>
    <row r="130" spans="1:18" ht="39.75" customHeight="1">
      <c r="A130" s="130" t="s">
        <v>184</v>
      </c>
      <c r="B130" s="131" t="s">
        <v>185</v>
      </c>
      <c r="C130" s="276">
        <f>SUM(C131:C132)</f>
        <v>23729464</v>
      </c>
      <c r="D130" s="136">
        <f>SUM(D131:D132)</f>
        <v>23728706</v>
      </c>
      <c r="E130" s="136">
        <f>SUM(E131:E132)</f>
        <v>21976805</v>
      </c>
      <c r="F130" s="134">
        <f t="shared" si="8"/>
        <v>92.61695517656968</v>
      </c>
      <c r="G130" s="135"/>
      <c r="H130" s="136"/>
      <c r="I130" s="174"/>
      <c r="J130" s="135"/>
      <c r="K130" s="136"/>
      <c r="L130" s="139"/>
      <c r="M130" s="135">
        <f>M131+M132</f>
        <v>23728706</v>
      </c>
      <c r="N130" s="136">
        <f>SUM(N131:N132)</f>
        <v>21976805</v>
      </c>
      <c r="O130" s="134">
        <f aca="true" t="shared" si="15" ref="O130:O139">N130/M130*100</f>
        <v>92.61695517656968</v>
      </c>
      <c r="P130" s="135"/>
      <c r="Q130" s="136"/>
      <c r="R130" s="134"/>
    </row>
    <row r="131" spans="1:18" s="141" customFormat="1" ht="28.5" customHeight="1">
      <c r="A131" s="290" t="s">
        <v>180</v>
      </c>
      <c r="B131" s="165" t="s">
        <v>186</v>
      </c>
      <c r="C131" s="166">
        <v>23149464</v>
      </c>
      <c r="D131" s="167">
        <f aca="true" t="shared" si="16" ref="D131:E134">G131+J131+M131+P131</f>
        <v>23148706</v>
      </c>
      <c r="E131" s="167">
        <f t="shared" si="16"/>
        <v>21042266</v>
      </c>
      <c r="F131" s="168">
        <f t="shared" si="8"/>
        <v>90.90039849311663</v>
      </c>
      <c r="G131" s="169"/>
      <c r="H131" s="170"/>
      <c r="I131" s="168"/>
      <c r="J131" s="169"/>
      <c r="K131" s="170"/>
      <c r="L131" s="172"/>
      <c r="M131" s="169">
        <f>23149464-758</f>
        <v>23148706</v>
      </c>
      <c r="N131" s="170">
        <v>21042266</v>
      </c>
      <c r="O131" s="168">
        <f t="shared" si="15"/>
        <v>90.90039849311663</v>
      </c>
      <c r="P131" s="169"/>
      <c r="Q131" s="170"/>
      <c r="R131" s="168"/>
    </row>
    <row r="132" spans="1:18" ht="24">
      <c r="A132" s="175" t="s">
        <v>182</v>
      </c>
      <c r="B132" s="176" t="s">
        <v>183</v>
      </c>
      <c r="C132" s="188">
        <v>580000</v>
      </c>
      <c r="D132" s="189">
        <f t="shared" si="16"/>
        <v>580000</v>
      </c>
      <c r="E132" s="189">
        <f t="shared" si="16"/>
        <v>934539</v>
      </c>
      <c r="F132" s="190">
        <f t="shared" si="8"/>
        <v>161.12741379310344</v>
      </c>
      <c r="G132" s="191"/>
      <c r="H132" s="192"/>
      <c r="I132" s="190"/>
      <c r="J132" s="191"/>
      <c r="K132" s="192"/>
      <c r="L132" s="275"/>
      <c r="M132" s="191">
        <v>580000</v>
      </c>
      <c r="N132" s="192">
        <v>934539</v>
      </c>
      <c r="O132" s="190">
        <f t="shared" si="15"/>
        <v>161.12741379310344</v>
      </c>
      <c r="P132" s="191"/>
      <c r="Q132" s="192"/>
      <c r="R132" s="190"/>
    </row>
    <row r="133" spans="1:18" s="235" customFormat="1" ht="18.75" customHeight="1">
      <c r="A133" s="130" t="s">
        <v>187</v>
      </c>
      <c r="B133" s="131" t="s">
        <v>188</v>
      </c>
      <c r="C133" s="132"/>
      <c r="D133" s="181">
        <f t="shared" si="16"/>
        <v>811080</v>
      </c>
      <c r="E133" s="133">
        <f t="shared" si="16"/>
        <v>843080</v>
      </c>
      <c r="F133" s="182">
        <f>E133/D133*100</f>
        <v>103.94535680820634</v>
      </c>
      <c r="G133" s="135">
        <f>G134</f>
        <v>811080</v>
      </c>
      <c r="H133" s="136">
        <f>H134</f>
        <v>843080</v>
      </c>
      <c r="I133" s="134">
        <f>H133/G133*100</f>
        <v>103.94535680820634</v>
      </c>
      <c r="J133" s="135"/>
      <c r="K133" s="136"/>
      <c r="L133" s="139"/>
      <c r="M133" s="135"/>
      <c r="N133" s="136"/>
      <c r="O133" s="134"/>
      <c r="P133" s="135"/>
      <c r="Q133" s="136"/>
      <c r="R133" s="134"/>
    </row>
    <row r="134" spans="1:18" ht="17.25" customHeight="1">
      <c r="A134" s="220" t="s">
        <v>189</v>
      </c>
      <c r="B134" s="173" t="s">
        <v>190</v>
      </c>
      <c r="C134" s="222"/>
      <c r="D134" s="223">
        <f t="shared" si="16"/>
        <v>811080</v>
      </c>
      <c r="E134" s="223">
        <f t="shared" si="16"/>
        <v>843080</v>
      </c>
      <c r="F134" s="174"/>
      <c r="G134" s="225">
        <v>811080</v>
      </c>
      <c r="H134" s="226">
        <v>843080</v>
      </c>
      <c r="I134" s="174"/>
      <c r="J134" s="225"/>
      <c r="K134" s="226"/>
      <c r="L134" s="249"/>
      <c r="M134" s="225"/>
      <c r="N134" s="226"/>
      <c r="O134" s="174"/>
      <c r="P134" s="225"/>
      <c r="Q134" s="226"/>
      <c r="R134" s="174"/>
    </row>
    <row r="135" spans="1:18" s="235" customFormat="1" ht="36.75" customHeight="1">
      <c r="A135" s="130" t="s">
        <v>191</v>
      </c>
      <c r="B135" s="131" t="s">
        <v>192</v>
      </c>
      <c r="C135" s="132">
        <f>SUM(C136:C137)</f>
        <v>57000</v>
      </c>
      <c r="D135" s="181">
        <f>G135+J135+M135+P135</f>
        <v>127000</v>
      </c>
      <c r="E135" s="133">
        <f>H135+K135+N135+Q135</f>
        <v>219837</v>
      </c>
      <c r="F135" s="182">
        <f>E135/D135*100</f>
        <v>173.10000000000002</v>
      </c>
      <c r="G135" s="135">
        <f>SUM(G136:G137)</f>
        <v>127000</v>
      </c>
      <c r="H135" s="136">
        <f>SUM(H136:H137)</f>
        <v>219837</v>
      </c>
      <c r="I135" s="134">
        <f>H135/G135*100</f>
        <v>173.10000000000002</v>
      </c>
      <c r="J135" s="135"/>
      <c r="K135" s="136"/>
      <c r="L135" s="139"/>
      <c r="M135" s="135"/>
      <c r="N135" s="136"/>
      <c r="O135" s="134"/>
      <c r="P135" s="135"/>
      <c r="Q135" s="136"/>
      <c r="R135" s="134"/>
    </row>
    <row r="136" spans="1:18" s="141" customFormat="1" ht="15" customHeight="1">
      <c r="A136" s="164" t="s">
        <v>53</v>
      </c>
      <c r="B136" s="165" t="s">
        <v>193</v>
      </c>
      <c r="C136" s="166">
        <v>50000</v>
      </c>
      <c r="D136" s="167">
        <f>G136+J136+M136+P136</f>
        <v>127000</v>
      </c>
      <c r="E136" s="167">
        <f>H136+K136+N136+Q136</f>
        <v>219837</v>
      </c>
      <c r="F136" s="168"/>
      <c r="G136" s="169">
        <f>50000+77000</f>
        <v>127000</v>
      </c>
      <c r="H136" s="170">
        <v>219837</v>
      </c>
      <c r="I136" s="168"/>
      <c r="J136" s="169"/>
      <c r="K136" s="170"/>
      <c r="L136" s="172"/>
      <c r="M136" s="169"/>
      <c r="N136" s="170"/>
      <c r="O136" s="172"/>
      <c r="P136" s="169"/>
      <c r="Q136" s="170"/>
      <c r="R136" s="172"/>
    </row>
    <row r="137" spans="1:18" ht="15.75" customHeight="1" thickBot="1">
      <c r="A137" s="120" t="s">
        <v>30</v>
      </c>
      <c r="B137" s="90" t="s">
        <v>31</v>
      </c>
      <c r="C137" s="140">
        <v>7000</v>
      </c>
      <c r="D137" s="92"/>
      <c r="E137" s="92"/>
      <c r="F137" s="126"/>
      <c r="G137" s="215"/>
      <c r="H137" s="123"/>
      <c r="I137" s="126"/>
      <c r="J137" s="127"/>
      <c r="K137" s="123"/>
      <c r="L137" s="129"/>
      <c r="M137" s="127"/>
      <c r="N137" s="123"/>
      <c r="O137" s="126"/>
      <c r="P137" s="127"/>
      <c r="Q137" s="123"/>
      <c r="R137" s="126"/>
    </row>
    <row r="138" spans="1:18" ht="24" customHeight="1" thickTop="1">
      <c r="A138" s="291" t="s">
        <v>194</v>
      </c>
      <c r="B138" s="292" t="s">
        <v>195</v>
      </c>
      <c r="C138" s="293">
        <f>C139+C141+C149+C151</f>
        <v>101258139</v>
      </c>
      <c r="D138" s="294">
        <f>G138+J138+M138+P138</f>
        <v>103479812</v>
      </c>
      <c r="E138" s="295">
        <f>E139+E141+E149+E151</f>
        <v>103652444</v>
      </c>
      <c r="F138" s="296">
        <f>E138/D138*100</f>
        <v>100.16682674297863</v>
      </c>
      <c r="G138" s="293">
        <f>G139+G141+G149</f>
        <v>42954789</v>
      </c>
      <c r="H138" s="295">
        <f>H139+H141+H149</f>
        <v>43125686</v>
      </c>
      <c r="I138" s="296">
        <f t="shared" si="10"/>
        <v>100.39785319397099</v>
      </c>
      <c r="J138" s="293"/>
      <c r="K138" s="295"/>
      <c r="L138" s="297"/>
      <c r="M138" s="298">
        <f>M139+M141+M149+M151</f>
        <v>60525023</v>
      </c>
      <c r="N138" s="299">
        <f>N139+N141+N149+N151</f>
        <v>60526758</v>
      </c>
      <c r="O138" s="296">
        <f t="shared" si="15"/>
        <v>100.00286658296685</v>
      </c>
      <c r="P138" s="293"/>
      <c r="Q138" s="295"/>
      <c r="R138" s="300"/>
    </row>
    <row r="139" spans="1:18" ht="40.5" customHeight="1">
      <c r="A139" s="178" t="s">
        <v>196</v>
      </c>
      <c r="B139" s="179" t="s">
        <v>197</v>
      </c>
      <c r="C139" s="183">
        <f>SUM(C140)</f>
        <v>92183401</v>
      </c>
      <c r="D139" s="185">
        <f>SUM(D140)</f>
        <v>94284663</v>
      </c>
      <c r="E139" s="185">
        <f>SUM(E140)</f>
        <v>94284663</v>
      </c>
      <c r="F139" s="301">
        <f>E139/D139*100</f>
        <v>100</v>
      </c>
      <c r="G139" s="184">
        <f>G140</f>
        <v>40915072</v>
      </c>
      <c r="H139" s="185">
        <f>H140</f>
        <v>40915072</v>
      </c>
      <c r="I139" s="302">
        <f t="shared" si="10"/>
        <v>100</v>
      </c>
      <c r="J139" s="184"/>
      <c r="K139" s="185"/>
      <c r="L139" s="273"/>
      <c r="M139" s="184">
        <f>M140</f>
        <v>53369591</v>
      </c>
      <c r="N139" s="185">
        <f>N140</f>
        <v>53369591</v>
      </c>
      <c r="O139" s="182">
        <f t="shared" si="15"/>
        <v>100</v>
      </c>
      <c r="P139" s="184"/>
      <c r="Q139" s="185"/>
      <c r="R139" s="182"/>
    </row>
    <row r="140" spans="1:18" ht="23.25" customHeight="1">
      <c r="A140" s="220" t="s">
        <v>198</v>
      </c>
      <c r="B140" s="173" t="s">
        <v>199</v>
      </c>
      <c r="C140" s="222">
        <v>92183401</v>
      </c>
      <c r="D140" s="189">
        <f>G140+J140+M140+P140</f>
        <v>94284663</v>
      </c>
      <c r="E140" s="189">
        <f>H140+K140+N140+Q140</f>
        <v>94284663</v>
      </c>
      <c r="F140" s="174"/>
      <c r="G140" s="225">
        <f>40421548+416743+76781</f>
        <v>40915072</v>
      </c>
      <c r="H140" s="226">
        <v>40915072</v>
      </c>
      <c r="I140" s="174"/>
      <c r="J140" s="225"/>
      <c r="K140" s="226"/>
      <c r="L140" s="249"/>
      <c r="M140" s="225">
        <f>51761853+1545072+15000+47666</f>
        <v>53369591</v>
      </c>
      <c r="N140" s="226">
        <v>53369591</v>
      </c>
      <c r="O140" s="174"/>
      <c r="P140" s="225"/>
      <c r="Q140" s="226"/>
      <c r="R140" s="174"/>
    </row>
    <row r="141" spans="1:18" ht="15" customHeight="1">
      <c r="A141" s="303" t="s">
        <v>200</v>
      </c>
      <c r="B141" s="131" t="s">
        <v>201</v>
      </c>
      <c r="C141" s="216">
        <f>SUM(C144:C146)</f>
        <v>1581800</v>
      </c>
      <c r="D141" s="133">
        <f>SUM(D142:D146)</f>
        <v>1704330</v>
      </c>
      <c r="E141" s="133">
        <f>SUM(E143:E146)</f>
        <v>1876962</v>
      </c>
      <c r="F141" s="134">
        <f aca="true" t="shared" si="17" ref="F141:F194">E141/D141*100</f>
        <v>110.12902430867261</v>
      </c>
      <c r="G141" s="135">
        <f>SUM(G142:G146)</f>
        <v>1643500</v>
      </c>
      <c r="H141" s="136">
        <f>SUM(H143:H146)</f>
        <v>1814397</v>
      </c>
      <c r="I141" s="134">
        <f t="shared" si="10"/>
        <v>110.39835716458776</v>
      </c>
      <c r="J141" s="225"/>
      <c r="K141" s="226"/>
      <c r="L141" s="249"/>
      <c r="M141" s="135">
        <f>SUM(M144:M146)</f>
        <v>60830</v>
      </c>
      <c r="N141" s="136">
        <f>SUM(N144:N146)</f>
        <v>62565</v>
      </c>
      <c r="O141" s="134">
        <f>N141/M141*100</f>
        <v>102.85221108005918</v>
      </c>
      <c r="P141" s="225"/>
      <c r="Q141" s="226"/>
      <c r="R141" s="174"/>
    </row>
    <row r="142" spans="1:18" s="141" customFormat="1" ht="15" customHeight="1">
      <c r="A142" s="164" t="s">
        <v>53</v>
      </c>
      <c r="B142" s="165" t="s">
        <v>193</v>
      </c>
      <c r="C142" s="304"/>
      <c r="D142" s="167">
        <f>G142</f>
        <v>100</v>
      </c>
      <c r="E142" s="167"/>
      <c r="F142" s="168"/>
      <c r="G142" s="169">
        <v>100</v>
      </c>
      <c r="H142" s="170"/>
      <c r="I142" s="168"/>
      <c r="J142" s="169"/>
      <c r="K142" s="170"/>
      <c r="L142" s="172"/>
      <c r="M142" s="169"/>
      <c r="N142" s="170"/>
      <c r="O142" s="168"/>
      <c r="P142" s="169"/>
      <c r="Q142" s="170"/>
      <c r="R142" s="168"/>
    </row>
    <row r="143" spans="1:18" s="141" customFormat="1" ht="48.75" customHeight="1">
      <c r="A143" s="120" t="s">
        <v>202</v>
      </c>
      <c r="B143" s="90" t="s">
        <v>203</v>
      </c>
      <c r="C143" s="305"/>
      <c r="D143" s="92"/>
      <c r="E143" s="92">
        <f>H143</f>
        <v>198</v>
      </c>
      <c r="F143" s="126"/>
      <c r="G143" s="127"/>
      <c r="H143" s="123">
        <v>198</v>
      </c>
      <c r="I143" s="126"/>
      <c r="J143" s="127"/>
      <c r="K143" s="123"/>
      <c r="L143" s="129"/>
      <c r="M143" s="127"/>
      <c r="N143" s="123"/>
      <c r="O143" s="126"/>
      <c r="P143" s="127"/>
      <c r="Q143" s="123"/>
      <c r="R143" s="126"/>
    </row>
    <row r="144" spans="1:18" s="141" customFormat="1" ht="27" customHeight="1">
      <c r="A144" s="120" t="s">
        <v>176</v>
      </c>
      <c r="B144" s="90" t="s">
        <v>177</v>
      </c>
      <c r="C144" s="140">
        <v>650000</v>
      </c>
      <c r="D144" s="92">
        <f aca="true" t="shared" si="18" ref="D144:E148">G144+J144+M144+P144</f>
        <v>650000</v>
      </c>
      <c r="E144" s="92">
        <f t="shared" si="18"/>
        <v>635429</v>
      </c>
      <c r="F144" s="126">
        <f t="shared" si="17"/>
        <v>97.75830769230768</v>
      </c>
      <c r="G144" s="127">
        <v>650000</v>
      </c>
      <c r="H144" s="123">
        <v>635429</v>
      </c>
      <c r="I144" s="126">
        <f>H144/G144*100</f>
        <v>97.75830769230768</v>
      </c>
      <c r="J144" s="127"/>
      <c r="K144" s="123"/>
      <c r="L144" s="129"/>
      <c r="M144" s="127"/>
      <c r="N144" s="123"/>
      <c r="O144" s="126"/>
      <c r="P144" s="127"/>
      <c r="Q144" s="123"/>
      <c r="R144" s="126"/>
    </row>
    <row r="145" spans="1:18" s="141" customFormat="1" ht="15.75" customHeight="1">
      <c r="A145" s="120" t="s">
        <v>121</v>
      </c>
      <c r="B145" s="90" t="s">
        <v>204</v>
      </c>
      <c r="C145" s="140">
        <v>914000</v>
      </c>
      <c r="D145" s="92">
        <f t="shared" si="18"/>
        <v>934400</v>
      </c>
      <c r="E145" s="92">
        <f t="shared" si="18"/>
        <v>1107071</v>
      </c>
      <c r="F145" s="126">
        <f t="shared" si="17"/>
        <v>118.47934503424658</v>
      </c>
      <c r="G145" s="127">
        <f>872100+3000+2700+4200+300</f>
        <v>882300</v>
      </c>
      <c r="H145" s="123">
        <v>1052878</v>
      </c>
      <c r="I145" s="126">
        <f>H145/G145*100</f>
        <v>119.33333333333334</v>
      </c>
      <c r="J145" s="127"/>
      <c r="K145" s="123"/>
      <c r="L145" s="129"/>
      <c r="M145" s="127">
        <f>41900+300+3300+2000+3700+900</f>
        <v>52100</v>
      </c>
      <c r="N145" s="123">
        <v>54193</v>
      </c>
      <c r="O145" s="126">
        <f>N145/M145*100</f>
        <v>104.0172744721689</v>
      </c>
      <c r="P145" s="127"/>
      <c r="Q145" s="123"/>
      <c r="R145" s="126"/>
    </row>
    <row r="146" spans="1:18" s="141" customFormat="1" ht="14.25" customHeight="1">
      <c r="A146" s="120" t="s">
        <v>30</v>
      </c>
      <c r="B146" s="90" t="s">
        <v>41</v>
      </c>
      <c r="C146" s="140">
        <v>17800</v>
      </c>
      <c r="D146" s="92">
        <f t="shared" si="18"/>
        <v>119830</v>
      </c>
      <c r="E146" s="92">
        <f t="shared" si="18"/>
        <v>134264</v>
      </c>
      <c r="F146" s="126">
        <f t="shared" si="17"/>
        <v>112.0453976466661</v>
      </c>
      <c r="G146" s="127">
        <f>SUM(G147:G148)</f>
        <v>111100</v>
      </c>
      <c r="H146" s="123">
        <v>125892</v>
      </c>
      <c r="I146" s="126">
        <f>H146/G146*100</f>
        <v>113.31413141314131</v>
      </c>
      <c r="J146" s="127"/>
      <c r="K146" s="123"/>
      <c r="L146" s="129"/>
      <c r="M146" s="127">
        <f>M147</f>
        <v>8730</v>
      </c>
      <c r="N146" s="123">
        <f>N147</f>
        <v>8372</v>
      </c>
      <c r="O146" s="126">
        <f>N146/M146*100</f>
        <v>95.8991981672394</v>
      </c>
      <c r="P146" s="127"/>
      <c r="Q146" s="123"/>
      <c r="R146" s="126"/>
    </row>
    <row r="147" spans="1:18" s="283" customFormat="1" ht="20.25" customHeight="1" hidden="1">
      <c r="A147" s="277"/>
      <c r="B147" s="278" t="s">
        <v>205</v>
      </c>
      <c r="C147" s="279">
        <v>17800</v>
      </c>
      <c r="D147" s="280">
        <f t="shared" si="18"/>
        <v>19830</v>
      </c>
      <c r="E147" s="280">
        <f t="shared" si="18"/>
        <v>22997</v>
      </c>
      <c r="F147" s="149">
        <f t="shared" si="17"/>
        <v>115.9707513867877</v>
      </c>
      <c r="G147" s="281">
        <f>9900+200+200+800</f>
        <v>11100</v>
      </c>
      <c r="H147" s="282">
        <f>H146-H148</f>
        <v>14625</v>
      </c>
      <c r="I147" s="149">
        <f>H147/G147*100</f>
        <v>131.75675675675674</v>
      </c>
      <c r="J147" s="281"/>
      <c r="K147" s="282"/>
      <c r="L147" s="151"/>
      <c r="M147" s="281">
        <f>7900+600+50+180</f>
        <v>8730</v>
      </c>
      <c r="N147" s="282">
        <v>8372</v>
      </c>
      <c r="O147" s="149">
        <f>N147/M147*100</f>
        <v>95.8991981672394</v>
      </c>
      <c r="P147" s="281"/>
      <c r="Q147" s="282"/>
      <c r="R147" s="149"/>
    </row>
    <row r="148" spans="1:18" s="283" customFormat="1" ht="15" customHeight="1" hidden="1">
      <c r="A148" s="306"/>
      <c r="B148" s="278" t="s">
        <v>206</v>
      </c>
      <c r="C148" s="279"/>
      <c r="D148" s="280">
        <f t="shared" si="18"/>
        <v>100000</v>
      </c>
      <c r="E148" s="280">
        <f t="shared" si="18"/>
        <v>111267</v>
      </c>
      <c r="F148" s="149">
        <f t="shared" si="17"/>
        <v>111.26700000000001</v>
      </c>
      <c r="G148" s="281">
        <v>100000</v>
      </c>
      <c r="H148" s="282">
        <f>106424+4843</f>
        <v>111267</v>
      </c>
      <c r="I148" s="149">
        <f>H148/G148*100</f>
        <v>111.26700000000001</v>
      </c>
      <c r="J148" s="281"/>
      <c r="K148" s="282"/>
      <c r="L148" s="151"/>
      <c r="M148" s="281"/>
      <c r="N148" s="282"/>
      <c r="O148" s="149"/>
      <c r="P148" s="281"/>
      <c r="Q148" s="282"/>
      <c r="R148" s="149"/>
    </row>
    <row r="149" spans="1:18" ht="23.25" customHeight="1">
      <c r="A149" s="130" t="s">
        <v>207</v>
      </c>
      <c r="B149" s="131" t="s">
        <v>208</v>
      </c>
      <c r="C149" s="132">
        <f>SUM(C150)</f>
        <v>396217</v>
      </c>
      <c r="D149" s="133">
        <f>D150</f>
        <v>396217</v>
      </c>
      <c r="E149" s="133">
        <f>E150</f>
        <v>396217</v>
      </c>
      <c r="F149" s="134">
        <f t="shared" si="17"/>
        <v>100</v>
      </c>
      <c r="G149" s="135">
        <f>G150</f>
        <v>396217</v>
      </c>
      <c r="H149" s="136">
        <f>H150</f>
        <v>396217</v>
      </c>
      <c r="I149" s="134">
        <f t="shared" si="10"/>
        <v>100</v>
      </c>
      <c r="J149" s="225"/>
      <c r="K149" s="226"/>
      <c r="L149" s="249"/>
      <c r="M149" s="135"/>
      <c r="N149" s="136"/>
      <c r="O149" s="174"/>
      <c r="P149" s="135"/>
      <c r="Q149" s="136"/>
      <c r="R149" s="174"/>
    </row>
    <row r="150" spans="1:18" ht="24">
      <c r="A150" s="220" t="s">
        <v>198</v>
      </c>
      <c r="B150" s="173" t="s">
        <v>199</v>
      </c>
      <c r="C150" s="222">
        <v>396217</v>
      </c>
      <c r="D150" s="189">
        <f>G150+J150+M150+P150</f>
        <v>396217</v>
      </c>
      <c r="E150" s="189">
        <f>H150+K150+N150+Q150</f>
        <v>396217</v>
      </c>
      <c r="F150" s="174"/>
      <c r="G150" s="225">
        <v>396217</v>
      </c>
      <c r="H150" s="226">
        <v>396217</v>
      </c>
      <c r="I150" s="174"/>
      <c r="J150" s="225"/>
      <c r="K150" s="226"/>
      <c r="L150" s="249"/>
      <c r="M150" s="225"/>
      <c r="N150" s="226"/>
      <c r="O150" s="126"/>
      <c r="P150" s="225"/>
      <c r="Q150" s="226"/>
      <c r="R150" s="174"/>
    </row>
    <row r="151" spans="1:18" ht="34.5" customHeight="1">
      <c r="A151" s="130" t="s">
        <v>209</v>
      </c>
      <c r="B151" s="131" t="s">
        <v>210</v>
      </c>
      <c r="C151" s="132">
        <f>C152</f>
        <v>7096721</v>
      </c>
      <c r="D151" s="133">
        <f>D152</f>
        <v>7094602</v>
      </c>
      <c r="E151" s="133">
        <f>E152</f>
        <v>7094602</v>
      </c>
      <c r="F151" s="134">
        <f t="shared" si="17"/>
        <v>100</v>
      </c>
      <c r="G151" s="135"/>
      <c r="H151" s="136"/>
      <c r="I151" s="174"/>
      <c r="J151" s="135"/>
      <c r="K151" s="136"/>
      <c r="L151" s="139"/>
      <c r="M151" s="135">
        <f>M152</f>
        <v>7094602</v>
      </c>
      <c r="N151" s="136">
        <f>N152</f>
        <v>7094602</v>
      </c>
      <c r="O151" s="134">
        <f>N151/M151*100</f>
        <v>100</v>
      </c>
      <c r="P151" s="135"/>
      <c r="Q151" s="136"/>
      <c r="R151" s="134"/>
    </row>
    <row r="152" spans="1:18" ht="24" customHeight="1" thickBot="1">
      <c r="A152" s="164" t="s">
        <v>198</v>
      </c>
      <c r="B152" s="165" t="s">
        <v>199</v>
      </c>
      <c r="C152" s="166">
        <v>7096721</v>
      </c>
      <c r="D152" s="167">
        <f>G152+J152+M152+P152</f>
        <v>7094602</v>
      </c>
      <c r="E152" s="167">
        <f>H152+K152+N152+Q152</f>
        <v>7094602</v>
      </c>
      <c r="F152" s="168"/>
      <c r="G152" s="259"/>
      <c r="H152" s="257"/>
      <c r="I152" s="168"/>
      <c r="J152" s="259"/>
      <c r="K152" s="257"/>
      <c r="L152" s="255"/>
      <c r="M152" s="169">
        <f>7096721-2119</f>
        <v>7094602</v>
      </c>
      <c r="N152" s="170">
        <v>7094602</v>
      </c>
      <c r="O152" s="168"/>
      <c r="P152" s="259"/>
      <c r="Q152" s="257"/>
      <c r="R152" s="258"/>
    </row>
    <row r="153" spans="1:18" ht="27.75" customHeight="1" thickBot="1" thickTop="1">
      <c r="A153" s="100" t="s">
        <v>211</v>
      </c>
      <c r="B153" s="177" t="s">
        <v>212</v>
      </c>
      <c r="C153" s="68">
        <f>C154+C161+C166+C169+C174+C176+C183+C189+C194</f>
        <v>1340000</v>
      </c>
      <c r="D153" s="68">
        <f>D154+D161+D166+D169+D174+D176+D183+D189+D194</f>
        <v>2798303</v>
      </c>
      <c r="E153" s="68">
        <f>E154+E161+E166+E169+E174+E176+E183+E189+E194</f>
        <v>2425541</v>
      </c>
      <c r="F153" s="105">
        <f t="shared" si="17"/>
        <v>86.67899794982887</v>
      </c>
      <c r="G153" s="68">
        <f>G154+G161+G166+G169+G174+G176+G183+G189+G189+G194</f>
        <v>1610697</v>
      </c>
      <c r="H153" s="68">
        <f>H154+H161+H166+H169+H174+H176+H183+H189+H194</f>
        <v>1304360</v>
      </c>
      <c r="I153" s="105">
        <f t="shared" si="10"/>
        <v>80.98109079485465</v>
      </c>
      <c r="J153" s="106">
        <f>J194</f>
        <v>2500</v>
      </c>
      <c r="K153" s="103">
        <f>K194</f>
        <v>2500</v>
      </c>
      <c r="L153" s="105">
        <f>K153/J153*100</f>
        <v>100</v>
      </c>
      <c r="M153" s="106">
        <f>M161+M176+M183+M189+M194</f>
        <v>1185106</v>
      </c>
      <c r="N153" s="103">
        <f>N161+N176+N183+N189+N194</f>
        <v>1118681</v>
      </c>
      <c r="O153" s="105">
        <f>N153/M153*100</f>
        <v>94.39501614201599</v>
      </c>
      <c r="P153" s="106"/>
      <c r="Q153" s="103"/>
      <c r="R153" s="107"/>
    </row>
    <row r="154" spans="1:18" ht="18.75" customHeight="1" thickTop="1">
      <c r="A154" s="178" t="s">
        <v>213</v>
      </c>
      <c r="B154" s="179" t="s">
        <v>214</v>
      </c>
      <c r="C154" s="183">
        <f>SUM(C155:C160)</f>
        <v>391800</v>
      </c>
      <c r="D154" s="185">
        <f>SUM(D155:D160)</f>
        <v>630776</v>
      </c>
      <c r="E154" s="185">
        <f>SUM(E155:E160)</f>
        <v>597011</v>
      </c>
      <c r="F154" s="182">
        <f t="shared" si="17"/>
        <v>94.64706964120386</v>
      </c>
      <c r="G154" s="184">
        <f>SUM(G155:G160)</f>
        <v>630776</v>
      </c>
      <c r="H154" s="185">
        <f>SUM(H155:H160)</f>
        <v>597011</v>
      </c>
      <c r="I154" s="182">
        <f t="shared" si="10"/>
        <v>94.64706964120386</v>
      </c>
      <c r="J154" s="184"/>
      <c r="K154" s="185"/>
      <c r="L154" s="182"/>
      <c r="M154" s="184"/>
      <c r="N154" s="185"/>
      <c r="O154" s="273"/>
      <c r="P154" s="184"/>
      <c r="Q154" s="185"/>
      <c r="R154" s="273"/>
    </row>
    <row r="155" spans="1:18" s="141" customFormat="1" ht="24" customHeight="1">
      <c r="A155" s="164" t="s">
        <v>53</v>
      </c>
      <c r="B155" s="165" t="s">
        <v>215</v>
      </c>
      <c r="C155" s="166">
        <v>4000</v>
      </c>
      <c r="D155" s="167">
        <f aca="true" t="shared" si="19" ref="D155:E160">G155+J155+M155+P155</f>
        <v>4000</v>
      </c>
      <c r="E155" s="167">
        <f t="shared" si="19"/>
        <v>4079</v>
      </c>
      <c r="F155" s="168">
        <f t="shared" si="17"/>
        <v>101.975</v>
      </c>
      <c r="G155" s="169">
        <v>4000</v>
      </c>
      <c r="H155" s="170">
        <v>4079</v>
      </c>
      <c r="I155" s="168">
        <f t="shared" si="10"/>
        <v>101.975</v>
      </c>
      <c r="J155" s="169"/>
      <c r="K155" s="170"/>
      <c r="L155" s="172"/>
      <c r="M155" s="169"/>
      <c r="N155" s="170"/>
      <c r="O155" s="172"/>
      <c r="P155" s="169"/>
      <c r="Q155" s="170"/>
      <c r="R155" s="172"/>
    </row>
    <row r="156" spans="1:18" s="141" customFormat="1" ht="63.75" customHeight="1">
      <c r="A156" s="175" t="s">
        <v>55</v>
      </c>
      <c r="B156" s="176" t="s">
        <v>56</v>
      </c>
      <c r="C156" s="188">
        <v>375100</v>
      </c>
      <c r="D156" s="189">
        <f t="shared" si="19"/>
        <v>591600</v>
      </c>
      <c r="E156" s="189">
        <f t="shared" si="19"/>
        <v>565618</v>
      </c>
      <c r="F156" s="190">
        <f t="shared" si="17"/>
        <v>95.60818120351588</v>
      </c>
      <c r="G156" s="191">
        <f>375100+60000+80200+51300+25000</f>
        <v>591600</v>
      </c>
      <c r="H156" s="192">
        <v>565618</v>
      </c>
      <c r="I156" s="190">
        <f t="shared" si="10"/>
        <v>95.60818120351588</v>
      </c>
      <c r="J156" s="191"/>
      <c r="K156" s="192"/>
      <c r="L156" s="275"/>
      <c r="M156" s="191"/>
      <c r="N156" s="192"/>
      <c r="O156" s="275"/>
      <c r="P156" s="191"/>
      <c r="Q156" s="192"/>
      <c r="R156" s="275"/>
    </row>
    <row r="157" spans="1:18" s="141" customFormat="1" ht="14.25" customHeight="1">
      <c r="A157" s="120" t="s">
        <v>84</v>
      </c>
      <c r="B157" s="90" t="s">
        <v>105</v>
      </c>
      <c r="C157" s="140">
        <v>7000</v>
      </c>
      <c r="D157" s="92">
        <f t="shared" si="19"/>
        <v>26700</v>
      </c>
      <c r="E157" s="92">
        <f t="shared" si="19"/>
        <v>24565</v>
      </c>
      <c r="F157" s="126">
        <f t="shared" si="17"/>
        <v>92.00374531835206</v>
      </c>
      <c r="G157" s="127">
        <f>7000+12000+3000+3000+1700</f>
        <v>26700</v>
      </c>
      <c r="H157" s="123">
        <v>24565</v>
      </c>
      <c r="I157" s="126">
        <f aca="true" t="shared" si="20" ref="I157:I173">H157/G157*100</f>
        <v>92.00374531835206</v>
      </c>
      <c r="J157" s="127"/>
      <c r="K157" s="123"/>
      <c r="L157" s="129"/>
      <c r="M157" s="127"/>
      <c r="N157" s="123"/>
      <c r="O157" s="129"/>
      <c r="P157" s="127"/>
      <c r="Q157" s="123"/>
      <c r="R157" s="129"/>
    </row>
    <row r="158" spans="1:18" s="141" customFormat="1" ht="24.75" customHeight="1">
      <c r="A158" s="120" t="s">
        <v>216</v>
      </c>
      <c r="B158" s="121" t="s">
        <v>217</v>
      </c>
      <c r="C158" s="140"/>
      <c r="D158" s="92">
        <f>G158</f>
        <v>1000</v>
      </c>
      <c r="E158" s="92">
        <f>H158</f>
        <v>800</v>
      </c>
      <c r="F158" s="126">
        <f t="shared" si="17"/>
        <v>80</v>
      </c>
      <c r="G158" s="127">
        <v>1000</v>
      </c>
      <c r="H158" s="123">
        <v>800</v>
      </c>
      <c r="I158" s="126">
        <f t="shared" si="20"/>
        <v>80</v>
      </c>
      <c r="J158" s="127"/>
      <c r="K158" s="123"/>
      <c r="L158" s="129"/>
      <c r="M158" s="127"/>
      <c r="N158" s="123"/>
      <c r="O158" s="129"/>
      <c r="P158" s="127"/>
      <c r="Q158" s="123"/>
      <c r="R158" s="129"/>
    </row>
    <row r="159" spans="1:18" s="141" customFormat="1" ht="17.25" customHeight="1">
      <c r="A159" s="120" t="s">
        <v>121</v>
      </c>
      <c r="B159" s="121" t="s">
        <v>122</v>
      </c>
      <c r="C159" s="140">
        <v>2900</v>
      </c>
      <c r="D159" s="92">
        <f t="shared" si="19"/>
        <v>3976</v>
      </c>
      <c r="E159" s="92">
        <f t="shared" si="19"/>
        <v>567</v>
      </c>
      <c r="F159" s="126">
        <f t="shared" si="17"/>
        <v>14.26056338028169</v>
      </c>
      <c r="G159" s="127">
        <f>2900+1000+76</f>
        <v>3976</v>
      </c>
      <c r="H159" s="123">
        <v>567</v>
      </c>
      <c r="I159" s="126">
        <f t="shared" si="20"/>
        <v>14.26056338028169</v>
      </c>
      <c r="J159" s="127"/>
      <c r="K159" s="123"/>
      <c r="L159" s="129"/>
      <c r="M159" s="127"/>
      <c r="N159" s="123"/>
      <c r="O159" s="129"/>
      <c r="P159" s="127"/>
      <c r="Q159" s="123"/>
      <c r="R159" s="129"/>
    </row>
    <row r="160" spans="1:18" s="141" customFormat="1" ht="15" customHeight="1">
      <c r="A160" s="175" t="s">
        <v>30</v>
      </c>
      <c r="B160" s="176" t="s">
        <v>31</v>
      </c>
      <c r="C160" s="188">
        <v>2800</v>
      </c>
      <c r="D160" s="189">
        <f t="shared" si="19"/>
        <v>3500</v>
      </c>
      <c r="E160" s="189">
        <f t="shared" si="19"/>
        <v>1382</v>
      </c>
      <c r="F160" s="190">
        <f t="shared" si="17"/>
        <v>39.48571428571429</v>
      </c>
      <c r="G160" s="191">
        <f>2800+700</f>
        <v>3500</v>
      </c>
      <c r="H160" s="192">
        <v>1382</v>
      </c>
      <c r="I160" s="190">
        <f t="shared" si="20"/>
        <v>39.48571428571429</v>
      </c>
      <c r="J160" s="191"/>
      <c r="K160" s="192"/>
      <c r="L160" s="275"/>
      <c r="M160" s="191"/>
      <c r="N160" s="192"/>
      <c r="O160" s="275"/>
      <c r="P160" s="191"/>
      <c r="Q160" s="192"/>
      <c r="R160" s="275"/>
    </row>
    <row r="161" spans="1:18" ht="27" customHeight="1">
      <c r="A161" s="130" t="s">
        <v>218</v>
      </c>
      <c r="B161" s="131" t="s">
        <v>219</v>
      </c>
      <c r="C161" s="138">
        <f>SUM(C162:C165)</f>
        <v>2300</v>
      </c>
      <c r="D161" s="133">
        <f>SUM(D162:D165)</f>
        <v>10490</v>
      </c>
      <c r="E161" s="133">
        <f>SUM(E162:E165)</f>
        <v>11640</v>
      </c>
      <c r="F161" s="134">
        <f t="shared" si="17"/>
        <v>110.96282173498571</v>
      </c>
      <c r="G161" s="135"/>
      <c r="H161" s="136"/>
      <c r="I161" s="174"/>
      <c r="J161" s="225"/>
      <c r="K161" s="226"/>
      <c r="L161" s="249"/>
      <c r="M161" s="138">
        <f>SUM(M162:M165)</f>
        <v>10490</v>
      </c>
      <c r="N161" s="133">
        <f>SUM(N162:N165)</f>
        <v>11640</v>
      </c>
      <c r="O161" s="134">
        <f>N161/M161*100</f>
        <v>110.96282173498571</v>
      </c>
      <c r="P161" s="135"/>
      <c r="Q161" s="136"/>
      <c r="R161" s="249"/>
    </row>
    <row r="162" spans="1:18" s="141" customFormat="1" ht="15" customHeight="1">
      <c r="A162" s="164" t="s">
        <v>53</v>
      </c>
      <c r="B162" s="165" t="s">
        <v>220</v>
      </c>
      <c r="C162" s="166">
        <v>100</v>
      </c>
      <c r="D162" s="167">
        <f aca="true" t="shared" si="21" ref="D162:E165">G162+J162+M162+P162</f>
        <v>100</v>
      </c>
      <c r="E162" s="167">
        <f t="shared" si="21"/>
        <v>126</v>
      </c>
      <c r="F162" s="168">
        <f t="shared" si="17"/>
        <v>126</v>
      </c>
      <c r="G162" s="169"/>
      <c r="H162" s="170"/>
      <c r="I162" s="168"/>
      <c r="J162" s="169"/>
      <c r="K162" s="170"/>
      <c r="L162" s="172"/>
      <c r="M162" s="169">
        <v>100</v>
      </c>
      <c r="N162" s="170">
        <v>126</v>
      </c>
      <c r="O162" s="168">
        <f>N162/M162*100</f>
        <v>126</v>
      </c>
      <c r="P162" s="169"/>
      <c r="Q162" s="170"/>
      <c r="R162" s="172"/>
    </row>
    <row r="163" spans="1:18" s="141" customFormat="1" ht="62.25" customHeight="1">
      <c r="A163" s="120" t="s">
        <v>55</v>
      </c>
      <c r="B163" s="90" t="s">
        <v>56</v>
      </c>
      <c r="C163" s="140">
        <v>2200</v>
      </c>
      <c r="D163" s="92">
        <f t="shared" si="21"/>
        <v>8820</v>
      </c>
      <c r="E163" s="92">
        <f t="shared" si="21"/>
        <v>9928</v>
      </c>
      <c r="F163" s="126">
        <f t="shared" si="17"/>
        <v>112.56235827664398</v>
      </c>
      <c r="G163" s="127"/>
      <c r="H163" s="123"/>
      <c r="I163" s="126"/>
      <c r="J163" s="127"/>
      <c r="K163" s="123"/>
      <c r="L163" s="129"/>
      <c r="M163" s="127">
        <f>2200+6620</f>
        <v>8820</v>
      </c>
      <c r="N163" s="123">
        <v>9928</v>
      </c>
      <c r="O163" s="126">
        <f>N163/M163*100</f>
        <v>112.56235827664398</v>
      </c>
      <c r="P163" s="127"/>
      <c r="Q163" s="123"/>
      <c r="R163" s="129"/>
    </row>
    <row r="164" spans="1:18" ht="14.25" customHeight="1">
      <c r="A164" s="120" t="s">
        <v>84</v>
      </c>
      <c r="B164" s="90" t="s">
        <v>105</v>
      </c>
      <c r="C164" s="140"/>
      <c r="D164" s="92">
        <f>G164+J164+M164+P164</f>
        <v>850</v>
      </c>
      <c r="E164" s="92">
        <f>H164+K164+N164+Q164</f>
        <v>868</v>
      </c>
      <c r="F164" s="126">
        <f t="shared" si="17"/>
        <v>102.11764705882354</v>
      </c>
      <c r="G164" s="127"/>
      <c r="H164" s="123"/>
      <c r="I164" s="126"/>
      <c r="J164" s="127"/>
      <c r="K164" s="123"/>
      <c r="L164" s="129"/>
      <c r="M164" s="127">
        <v>850</v>
      </c>
      <c r="N164" s="123">
        <v>868</v>
      </c>
      <c r="O164" s="126">
        <f>N164/M164*100</f>
        <v>102.11764705882354</v>
      </c>
      <c r="P164" s="127"/>
      <c r="Q164" s="123"/>
      <c r="R164" s="129"/>
    </row>
    <row r="165" spans="1:18" ht="15" customHeight="1">
      <c r="A165" s="175" t="s">
        <v>30</v>
      </c>
      <c r="B165" s="176" t="s">
        <v>31</v>
      </c>
      <c r="C165" s="188"/>
      <c r="D165" s="189">
        <f t="shared" si="21"/>
        <v>720</v>
      </c>
      <c r="E165" s="189">
        <f t="shared" si="21"/>
        <v>718</v>
      </c>
      <c r="F165" s="126">
        <f t="shared" si="17"/>
        <v>99.72222222222223</v>
      </c>
      <c r="G165" s="191"/>
      <c r="H165" s="192"/>
      <c r="I165" s="190"/>
      <c r="J165" s="191"/>
      <c r="K165" s="192"/>
      <c r="L165" s="275"/>
      <c r="M165" s="191">
        <f>320+400</f>
        <v>720</v>
      </c>
      <c r="N165" s="192">
        <v>718</v>
      </c>
      <c r="O165" s="126">
        <f>N165/M165*100</f>
        <v>99.72222222222223</v>
      </c>
      <c r="P165" s="191"/>
      <c r="Q165" s="192"/>
      <c r="R165" s="275"/>
    </row>
    <row r="166" spans="1:18" ht="13.5" customHeight="1">
      <c r="A166" s="130" t="s">
        <v>221</v>
      </c>
      <c r="B166" s="131" t="s">
        <v>222</v>
      </c>
      <c r="C166" s="132">
        <f>SUM(C167:C168)</f>
        <v>106700</v>
      </c>
      <c r="D166" s="133">
        <f>SUM(D167:D168)</f>
        <v>106700</v>
      </c>
      <c r="E166" s="133">
        <f>SUM(E167:E168)</f>
        <v>152638</v>
      </c>
      <c r="F166" s="134">
        <f t="shared" si="17"/>
        <v>143.05342080599812</v>
      </c>
      <c r="G166" s="138">
        <f>SUM(G167:G168)</f>
        <v>106700</v>
      </c>
      <c r="H166" s="136">
        <f>SUM(H167:H168)</f>
        <v>152638</v>
      </c>
      <c r="I166" s="134">
        <f t="shared" si="20"/>
        <v>143.05342080599812</v>
      </c>
      <c r="J166" s="135"/>
      <c r="K166" s="136"/>
      <c r="L166" s="139"/>
      <c r="M166" s="135"/>
      <c r="N166" s="136"/>
      <c r="O166" s="134"/>
      <c r="P166" s="135"/>
      <c r="Q166" s="136"/>
      <c r="R166" s="139"/>
    </row>
    <row r="167" spans="1:18" s="141" customFormat="1" ht="58.5" customHeight="1">
      <c r="A167" s="164" t="s">
        <v>55</v>
      </c>
      <c r="B167" s="165" t="s">
        <v>56</v>
      </c>
      <c r="C167" s="166">
        <v>76700</v>
      </c>
      <c r="D167" s="167">
        <f>G167+J167+M167+P167</f>
        <v>76700</v>
      </c>
      <c r="E167" s="167">
        <f>H167+K167+N167+Q167</f>
        <v>79998</v>
      </c>
      <c r="F167" s="168">
        <f>E167/D167*100</f>
        <v>104.29986962190353</v>
      </c>
      <c r="G167" s="244">
        <v>76700</v>
      </c>
      <c r="H167" s="170">
        <v>79998</v>
      </c>
      <c r="I167" s="168">
        <f>H167/G167*100</f>
        <v>104.29986962190353</v>
      </c>
      <c r="J167" s="169"/>
      <c r="K167" s="170"/>
      <c r="L167" s="172"/>
      <c r="M167" s="169"/>
      <c r="N167" s="170"/>
      <c r="O167" s="168"/>
      <c r="P167" s="169"/>
      <c r="Q167" s="170"/>
      <c r="R167" s="172"/>
    </row>
    <row r="168" spans="1:18" s="141" customFormat="1" ht="18.75" customHeight="1">
      <c r="A168" s="175" t="s">
        <v>30</v>
      </c>
      <c r="B168" s="176" t="s">
        <v>31</v>
      </c>
      <c r="C168" s="188">
        <v>30000</v>
      </c>
      <c r="D168" s="189">
        <f>G168+J168+M168+P168</f>
        <v>30000</v>
      </c>
      <c r="E168" s="189">
        <f>H168+K168+N168+Q168</f>
        <v>72640</v>
      </c>
      <c r="F168" s="190">
        <f t="shared" si="17"/>
        <v>242.13333333333333</v>
      </c>
      <c r="G168" s="213">
        <v>30000</v>
      </c>
      <c r="H168" s="192">
        <v>72640</v>
      </c>
      <c r="I168" s="190">
        <f>H168/G168*100</f>
        <v>242.13333333333333</v>
      </c>
      <c r="J168" s="191"/>
      <c r="K168" s="192"/>
      <c r="L168" s="275"/>
      <c r="M168" s="191"/>
      <c r="N168" s="192"/>
      <c r="O168" s="190"/>
      <c r="P168" s="191"/>
      <c r="Q168" s="192"/>
      <c r="R168" s="275"/>
    </row>
    <row r="169" spans="1:18" ht="14.25" customHeight="1">
      <c r="A169" s="130" t="s">
        <v>223</v>
      </c>
      <c r="B169" s="131" t="s">
        <v>224</v>
      </c>
      <c r="C169" s="276">
        <f>SUM(C170:C171)</f>
        <v>167200</v>
      </c>
      <c r="D169" s="136">
        <f>SUM(D170:D173)</f>
        <v>283005</v>
      </c>
      <c r="E169" s="136">
        <f>SUM(E170:E173)</f>
        <v>281489</v>
      </c>
      <c r="F169" s="182">
        <f t="shared" si="17"/>
        <v>99.46432041836717</v>
      </c>
      <c r="G169" s="184">
        <f>SUM(G170:G173)</f>
        <v>283005</v>
      </c>
      <c r="H169" s="185">
        <f>SUM(H170:H173)</f>
        <v>281489</v>
      </c>
      <c r="I169" s="182">
        <f t="shared" si="20"/>
        <v>99.46432041836717</v>
      </c>
      <c r="J169" s="135"/>
      <c r="K169" s="136"/>
      <c r="L169" s="139"/>
      <c r="M169" s="135"/>
      <c r="N169" s="136"/>
      <c r="O169" s="139"/>
      <c r="P169" s="135"/>
      <c r="Q169" s="136"/>
      <c r="R169" s="139"/>
    </row>
    <row r="170" spans="1:18" s="141" customFormat="1" ht="36">
      <c r="A170" s="164" t="s">
        <v>53</v>
      </c>
      <c r="B170" s="165" t="s">
        <v>225</v>
      </c>
      <c r="C170" s="166">
        <v>1300</v>
      </c>
      <c r="D170" s="167">
        <f>G170+J170+M170+P170</f>
        <v>1700</v>
      </c>
      <c r="E170" s="167">
        <f>H170+K170+N170+Q170</f>
        <v>2220</v>
      </c>
      <c r="F170" s="168">
        <f t="shared" si="17"/>
        <v>130.58823529411765</v>
      </c>
      <c r="G170" s="169">
        <f>1300+400</f>
        <v>1700</v>
      </c>
      <c r="H170" s="170">
        <v>2220</v>
      </c>
      <c r="I170" s="168">
        <f t="shared" si="20"/>
        <v>130.58823529411765</v>
      </c>
      <c r="J170" s="169"/>
      <c r="K170" s="170"/>
      <c r="L170" s="172"/>
      <c r="M170" s="169"/>
      <c r="N170" s="170"/>
      <c r="O170" s="168"/>
      <c r="P170" s="169"/>
      <c r="Q170" s="170"/>
      <c r="R170" s="172"/>
    </row>
    <row r="171" spans="1:18" s="141" customFormat="1" ht="63.75" customHeight="1">
      <c r="A171" s="120" t="s">
        <v>55</v>
      </c>
      <c r="B171" s="90" t="s">
        <v>56</v>
      </c>
      <c r="C171" s="140">
        <v>165900</v>
      </c>
      <c r="D171" s="92">
        <f>G171+J171+M171+P171</f>
        <v>181000</v>
      </c>
      <c r="E171" s="92">
        <f>H171+K171+N171+Q171</f>
        <v>178872</v>
      </c>
      <c r="F171" s="126">
        <f t="shared" si="17"/>
        <v>98.82430939226519</v>
      </c>
      <c r="G171" s="127">
        <f>165900-400+3500+12000</f>
        <v>181000</v>
      </c>
      <c r="H171" s="123">
        <v>178872</v>
      </c>
      <c r="I171" s="126">
        <f t="shared" si="20"/>
        <v>98.82430939226519</v>
      </c>
      <c r="J171" s="127"/>
      <c r="K171" s="123"/>
      <c r="L171" s="129"/>
      <c r="M171" s="127"/>
      <c r="N171" s="123"/>
      <c r="O171" s="126"/>
      <c r="P171" s="127"/>
      <c r="Q171" s="123"/>
      <c r="R171" s="129"/>
    </row>
    <row r="172" spans="1:18" s="141" customFormat="1" ht="27" customHeight="1">
      <c r="A172" s="175" t="s">
        <v>216</v>
      </c>
      <c r="B172" s="307" t="s">
        <v>217</v>
      </c>
      <c r="C172" s="188"/>
      <c r="D172" s="189">
        <f>G172</f>
        <v>305</v>
      </c>
      <c r="E172" s="189">
        <f>H172+K172+N172+Q172</f>
        <v>397</v>
      </c>
      <c r="F172" s="190">
        <f t="shared" si="17"/>
        <v>130.1639344262295</v>
      </c>
      <c r="G172" s="191">
        <v>305</v>
      </c>
      <c r="H172" s="192">
        <v>397</v>
      </c>
      <c r="I172" s="190">
        <f t="shared" si="20"/>
        <v>130.1639344262295</v>
      </c>
      <c r="J172" s="191"/>
      <c r="K172" s="192"/>
      <c r="L172" s="275"/>
      <c r="M172" s="191"/>
      <c r="N172" s="192"/>
      <c r="O172" s="190"/>
      <c r="P172" s="191"/>
      <c r="Q172" s="192"/>
      <c r="R172" s="275"/>
    </row>
    <row r="173" spans="1:18" s="141" customFormat="1" ht="74.25" customHeight="1">
      <c r="A173" s="175" t="s">
        <v>34</v>
      </c>
      <c r="B173" s="176" t="s">
        <v>226</v>
      </c>
      <c r="C173" s="188"/>
      <c r="D173" s="189">
        <f>G173</f>
        <v>100000</v>
      </c>
      <c r="E173" s="189">
        <f>H173+K173+N173+Q173</f>
        <v>100000</v>
      </c>
      <c r="F173" s="190">
        <f t="shared" si="17"/>
        <v>100</v>
      </c>
      <c r="G173" s="191">
        <v>100000</v>
      </c>
      <c r="H173" s="192">
        <v>100000</v>
      </c>
      <c r="I173" s="190">
        <f t="shared" si="20"/>
        <v>100</v>
      </c>
      <c r="J173" s="191"/>
      <c r="K173" s="192"/>
      <c r="L173" s="275"/>
      <c r="M173" s="191"/>
      <c r="N173" s="192"/>
      <c r="O173" s="190"/>
      <c r="P173" s="191"/>
      <c r="Q173" s="192"/>
      <c r="R173" s="275"/>
    </row>
    <row r="174" spans="1:18" ht="30" customHeight="1">
      <c r="A174" s="130" t="s">
        <v>227</v>
      </c>
      <c r="B174" s="131" t="s">
        <v>228</v>
      </c>
      <c r="C174" s="276">
        <f>C175</f>
        <v>15300</v>
      </c>
      <c r="D174" s="136">
        <f>D175</f>
        <v>15300</v>
      </c>
      <c r="E174" s="136">
        <f>E175</f>
        <v>16468</v>
      </c>
      <c r="F174" s="182">
        <f>E174/D174*100</f>
        <v>107.63398692810458</v>
      </c>
      <c r="G174" s="184">
        <f>SUM(G175:G176)</f>
        <v>15300</v>
      </c>
      <c r="H174" s="185">
        <f>SUM(H175:H176)</f>
        <v>16468</v>
      </c>
      <c r="I174" s="134">
        <f>H174/G174*100</f>
        <v>107.63398692810458</v>
      </c>
      <c r="J174" s="135"/>
      <c r="K174" s="136"/>
      <c r="L174" s="139"/>
      <c r="M174" s="135"/>
      <c r="N174" s="136"/>
      <c r="O174" s="139"/>
      <c r="P174" s="135"/>
      <c r="Q174" s="136"/>
      <c r="R174" s="139"/>
    </row>
    <row r="175" spans="1:18" ht="13.5" customHeight="1">
      <c r="A175" s="120" t="s">
        <v>84</v>
      </c>
      <c r="B175" s="90" t="s">
        <v>105</v>
      </c>
      <c r="C175" s="140">
        <v>15300</v>
      </c>
      <c r="D175" s="92">
        <f>G175+J175+M175+P175</f>
        <v>15300</v>
      </c>
      <c r="E175" s="92">
        <f>H175+K175+N175+Q175</f>
        <v>16468</v>
      </c>
      <c r="F175" s="126"/>
      <c r="G175" s="127">
        <v>15300</v>
      </c>
      <c r="H175" s="123">
        <v>16468</v>
      </c>
      <c r="I175" s="126"/>
      <c r="J175" s="127"/>
      <c r="K175" s="123"/>
      <c r="L175" s="129"/>
      <c r="M175" s="127"/>
      <c r="N175" s="123"/>
      <c r="O175" s="126"/>
      <c r="P175" s="127"/>
      <c r="Q175" s="123"/>
      <c r="R175" s="129"/>
    </row>
    <row r="176" spans="1:18" ht="20.25" customHeight="1">
      <c r="A176" s="130" t="s">
        <v>229</v>
      </c>
      <c r="B176" s="131" t="s">
        <v>230</v>
      </c>
      <c r="C176" s="132">
        <f>SUM(C177:C182)</f>
        <v>138200</v>
      </c>
      <c r="D176" s="133">
        <f>SUM(D177:D182)</f>
        <v>291300</v>
      </c>
      <c r="E176" s="133">
        <f>SUM(E177:E182)</f>
        <v>279904</v>
      </c>
      <c r="F176" s="134">
        <f t="shared" si="17"/>
        <v>96.0878819086852</v>
      </c>
      <c r="G176" s="135"/>
      <c r="H176" s="136"/>
      <c r="I176" s="174"/>
      <c r="J176" s="225"/>
      <c r="K176" s="226"/>
      <c r="L176" s="249"/>
      <c r="M176" s="135">
        <f>SUM(M177:M182)</f>
        <v>291300</v>
      </c>
      <c r="N176" s="136">
        <f>SUM(N177:N182)</f>
        <v>279904</v>
      </c>
      <c r="O176" s="134">
        <f>N176/M176*100</f>
        <v>96.0878819086852</v>
      </c>
      <c r="P176" s="135"/>
      <c r="Q176" s="136"/>
      <c r="R176" s="249"/>
    </row>
    <row r="177" spans="1:18" s="141" customFormat="1" ht="36">
      <c r="A177" s="164" t="s">
        <v>53</v>
      </c>
      <c r="B177" s="165" t="s">
        <v>215</v>
      </c>
      <c r="C177" s="166">
        <v>2900</v>
      </c>
      <c r="D177" s="167">
        <f aca="true" t="shared" si="22" ref="D177:E182">G177+J177+M177+P177</f>
        <v>3500</v>
      </c>
      <c r="E177" s="167">
        <f t="shared" si="22"/>
        <v>3878</v>
      </c>
      <c r="F177" s="168">
        <f t="shared" si="17"/>
        <v>110.80000000000001</v>
      </c>
      <c r="G177" s="169"/>
      <c r="H177" s="170"/>
      <c r="I177" s="168"/>
      <c r="J177" s="169"/>
      <c r="K177" s="170"/>
      <c r="L177" s="172"/>
      <c r="M177" s="169">
        <f>2900+600</f>
        <v>3500</v>
      </c>
      <c r="N177" s="170">
        <v>3878</v>
      </c>
      <c r="O177" s="168">
        <f>N177/M177*100</f>
        <v>110.80000000000001</v>
      </c>
      <c r="P177" s="169"/>
      <c r="Q177" s="170"/>
      <c r="R177" s="172"/>
    </row>
    <row r="178" spans="1:18" s="141" customFormat="1" ht="66.75" customHeight="1">
      <c r="A178" s="120" t="s">
        <v>55</v>
      </c>
      <c r="B178" s="90" t="s">
        <v>56</v>
      </c>
      <c r="C178" s="140">
        <v>130300</v>
      </c>
      <c r="D178" s="92">
        <f t="shared" si="22"/>
        <v>279700</v>
      </c>
      <c r="E178" s="92">
        <f t="shared" si="22"/>
        <v>269101</v>
      </c>
      <c r="F178" s="126">
        <f t="shared" si="17"/>
        <v>96.21058276725063</v>
      </c>
      <c r="G178" s="127"/>
      <c r="H178" s="123"/>
      <c r="I178" s="126"/>
      <c r="J178" s="127"/>
      <c r="K178" s="123"/>
      <c r="L178" s="129"/>
      <c r="M178" s="127">
        <f>130300+47000+50000+42000+15000-4600</f>
        <v>279700</v>
      </c>
      <c r="N178" s="123">
        <v>269101</v>
      </c>
      <c r="O178" s="129">
        <f>N178/M178*100</f>
        <v>96.21058276725063</v>
      </c>
      <c r="P178" s="127"/>
      <c r="Q178" s="123"/>
      <c r="R178" s="126"/>
    </row>
    <row r="179" spans="1:18" s="141" customFormat="1" ht="13.5" customHeight="1">
      <c r="A179" s="120" t="s">
        <v>84</v>
      </c>
      <c r="B179" s="90" t="s">
        <v>105</v>
      </c>
      <c r="C179" s="140">
        <v>5000</v>
      </c>
      <c r="D179" s="92">
        <f t="shared" si="22"/>
        <v>5000</v>
      </c>
      <c r="E179" s="92">
        <f t="shared" si="22"/>
        <v>4794</v>
      </c>
      <c r="F179" s="126">
        <f t="shared" si="17"/>
        <v>95.88</v>
      </c>
      <c r="G179" s="127"/>
      <c r="H179" s="123"/>
      <c r="I179" s="126"/>
      <c r="J179" s="127"/>
      <c r="K179" s="123"/>
      <c r="L179" s="129"/>
      <c r="M179" s="127">
        <v>5000</v>
      </c>
      <c r="N179" s="123">
        <v>4794</v>
      </c>
      <c r="O179" s="126">
        <f>N179/M179*100</f>
        <v>95.88</v>
      </c>
      <c r="P179" s="127"/>
      <c r="Q179" s="123"/>
      <c r="R179" s="129"/>
    </row>
    <row r="180" spans="1:19" ht="21.75" customHeight="1">
      <c r="A180" s="120" t="s">
        <v>216</v>
      </c>
      <c r="B180" s="90" t="s">
        <v>217</v>
      </c>
      <c r="C180" s="140"/>
      <c r="D180" s="92">
        <f t="shared" si="22"/>
        <v>500</v>
      </c>
      <c r="E180" s="92">
        <f t="shared" si="22"/>
        <v>182</v>
      </c>
      <c r="F180" s="126">
        <f t="shared" si="17"/>
        <v>36.4</v>
      </c>
      <c r="G180" s="127"/>
      <c r="H180" s="123"/>
      <c r="I180" s="126"/>
      <c r="J180" s="127"/>
      <c r="K180" s="123"/>
      <c r="L180" s="129"/>
      <c r="M180" s="127">
        <f>300+200</f>
        <v>500</v>
      </c>
      <c r="N180" s="123">
        <v>182</v>
      </c>
      <c r="O180" s="126">
        <f>N180/M180*100</f>
        <v>36.4</v>
      </c>
      <c r="P180" s="127"/>
      <c r="Q180" s="123"/>
      <c r="R180" s="129"/>
      <c r="S180" s="141"/>
    </row>
    <row r="181" spans="1:18" s="141" customFormat="1" ht="18.75" customHeight="1">
      <c r="A181" s="120" t="s">
        <v>121</v>
      </c>
      <c r="B181" s="90" t="s">
        <v>122</v>
      </c>
      <c r="C181" s="140"/>
      <c r="D181" s="92">
        <f t="shared" si="22"/>
        <v>300</v>
      </c>
      <c r="E181" s="92">
        <f t="shared" si="22"/>
        <v>275</v>
      </c>
      <c r="F181" s="126">
        <f t="shared" si="17"/>
        <v>91.66666666666666</v>
      </c>
      <c r="G181" s="127"/>
      <c r="H181" s="123"/>
      <c r="I181" s="126"/>
      <c r="J181" s="127"/>
      <c r="K181" s="123"/>
      <c r="L181" s="129"/>
      <c r="M181" s="127">
        <f>100+200</f>
        <v>300</v>
      </c>
      <c r="N181" s="123">
        <v>275</v>
      </c>
      <c r="O181" s="126">
        <f aca="true" t="shared" si="23" ref="O181:O192">N181/M181*100</f>
        <v>91.66666666666666</v>
      </c>
      <c r="P181" s="127"/>
      <c r="Q181" s="123"/>
      <c r="R181" s="129"/>
    </row>
    <row r="182" spans="1:18" s="141" customFormat="1" ht="15.75" customHeight="1">
      <c r="A182" s="175" t="s">
        <v>30</v>
      </c>
      <c r="B182" s="176" t="s">
        <v>31</v>
      </c>
      <c r="C182" s="188"/>
      <c r="D182" s="189">
        <f t="shared" si="22"/>
        <v>2300</v>
      </c>
      <c r="E182" s="189">
        <f t="shared" si="22"/>
        <v>1674</v>
      </c>
      <c r="F182" s="126">
        <f t="shared" si="17"/>
        <v>72.78260869565217</v>
      </c>
      <c r="G182" s="127"/>
      <c r="H182" s="123"/>
      <c r="I182" s="126"/>
      <c r="J182" s="127"/>
      <c r="K182" s="123"/>
      <c r="L182" s="129"/>
      <c r="M182" s="127">
        <v>2300</v>
      </c>
      <c r="N182" s="123">
        <v>1674</v>
      </c>
      <c r="O182" s="126">
        <f t="shared" si="23"/>
        <v>72.78260869565217</v>
      </c>
      <c r="P182" s="127"/>
      <c r="Q182" s="192"/>
      <c r="R182" s="275"/>
    </row>
    <row r="183" spans="1:18" ht="15" customHeight="1">
      <c r="A183" s="130" t="s">
        <v>231</v>
      </c>
      <c r="B183" s="131" t="s">
        <v>232</v>
      </c>
      <c r="C183" s="132">
        <f>SUM(C184:C188)</f>
        <v>285600</v>
      </c>
      <c r="D183" s="133">
        <f>SUM(D184:D188)</f>
        <v>361550</v>
      </c>
      <c r="E183" s="133">
        <f>SUM(E184:E188)</f>
        <v>351228</v>
      </c>
      <c r="F183" s="134">
        <f t="shared" si="17"/>
        <v>97.14506983819665</v>
      </c>
      <c r="G183" s="135"/>
      <c r="H183" s="136"/>
      <c r="I183" s="174"/>
      <c r="J183" s="135"/>
      <c r="K183" s="136"/>
      <c r="L183" s="249"/>
      <c r="M183" s="135">
        <f>SUM(M184:M188)</f>
        <v>361550</v>
      </c>
      <c r="N183" s="136">
        <f>SUM(N184:N188)</f>
        <v>351228</v>
      </c>
      <c r="O183" s="134">
        <f t="shared" si="23"/>
        <v>97.14506983819665</v>
      </c>
      <c r="P183" s="135"/>
      <c r="Q183" s="136"/>
      <c r="R183" s="249"/>
    </row>
    <row r="184" spans="1:18" s="141" customFormat="1" ht="22.5" customHeight="1">
      <c r="A184" s="164" t="s">
        <v>53</v>
      </c>
      <c r="B184" s="165" t="s">
        <v>215</v>
      </c>
      <c r="C184" s="166">
        <v>3900</v>
      </c>
      <c r="D184" s="167">
        <f aca="true" t="shared" si="24" ref="D184:E188">G184+J184+M184+P184</f>
        <v>3900</v>
      </c>
      <c r="E184" s="167">
        <f t="shared" si="24"/>
        <v>3486</v>
      </c>
      <c r="F184" s="168">
        <f t="shared" si="17"/>
        <v>89.38461538461539</v>
      </c>
      <c r="G184" s="244"/>
      <c r="H184" s="170"/>
      <c r="I184" s="168"/>
      <c r="J184" s="169"/>
      <c r="K184" s="170"/>
      <c r="L184" s="172"/>
      <c r="M184" s="244">
        <v>3900</v>
      </c>
      <c r="N184" s="170">
        <v>3486</v>
      </c>
      <c r="O184" s="168">
        <f t="shared" si="23"/>
        <v>89.38461538461539</v>
      </c>
      <c r="P184" s="169"/>
      <c r="Q184" s="170"/>
      <c r="R184" s="172"/>
    </row>
    <row r="185" spans="1:18" s="141" customFormat="1" ht="64.5" customHeight="1">
      <c r="A185" s="120" t="s">
        <v>55</v>
      </c>
      <c r="B185" s="90" t="s">
        <v>56</v>
      </c>
      <c r="C185" s="140">
        <v>278100</v>
      </c>
      <c r="D185" s="92">
        <f t="shared" si="24"/>
        <v>352200</v>
      </c>
      <c r="E185" s="92">
        <f t="shared" si="24"/>
        <v>341991</v>
      </c>
      <c r="F185" s="126">
        <f t="shared" si="17"/>
        <v>97.10136286201022</v>
      </c>
      <c r="G185" s="215"/>
      <c r="H185" s="123"/>
      <c r="I185" s="126"/>
      <c r="J185" s="127"/>
      <c r="K185" s="123"/>
      <c r="L185" s="129"/>
      <c r="M185" s="215">
        <f>278100+39000+24600+10500</f>
        <v>352200</v>
      </c>
      <c r="N185" s="123">
        <v>341991</v>
      </c>
      <c r="O185" s="126">
        <f t="shared" si="23"/>
        <v>97.10136286201022</v>
      </c>
      <c r="P185" s="127"/>
      <c r="Q185" s="123"/>
      <c r="R185" s="129"/>
    </row>
    <row r="186" spans="1:18" ht="15.75" customHeight="1">
      <c r="A186" s="120" t="s">
        <v>84</v>
      </c>
      <c r="B186" s="90" t="s">
        <v>105</v>
      </c>
      <c r="C186" s="140">
        <v>3500</v>
      </c>
      <c r="D186" s="92">
        <f>G186+J186+M186+P186</f>
        <v>4900</v>
      </c>
      <c r="E186" s="92">
        <f>H186+K186+N186+Q186</f>
        <v>5310</v>
      </c>
      <c r="F186" s="126">
        <f>E186/D186*100</f>
        <v>108.3673469387755</v>
      </c>
      <c r="G186" s="215"/>
      <c r="H186" s="123"/>
      <c r="I186" s="126"/>
      <c r="J186" s="127"/>
      <c r="K186" s="123"/>
      <c r="L186" s="129"/>
      <c r="M186" s="215">
        <f>3500+900+500</f>
        <v>4900</v>
      </c>
      <c r="N186" s="123">
        <v>5310</v>
      </c>
      <c r="O186" s="126">
        <f t="shared" si="23"/>
        <v>108.3673469387755</v>
      </c>
      <c r="P186" s="127"/>
      <c r="Q186" s="123"/>
      <c r="R186" s="129"/>
    </row>
    <row r="187" spans="1:18" ht="15.75" customHeight="1">
      <c r="A187" s="175" t="s">
        <v>121</v>
      </c>
      <c r="B187" s="176" t="s">
        <v>122</v>
      </c>
      <c r="C187" s="188"/>
      <c r="D187" s="189">
        <f t="shared" si="24"/>
        <v>350</v>
      </c>
      <c r="E187" s="189">
        <f t="shared" si="24"/>
        <v>264</v>
      </c>
      <c r="F187" s="190">
        <f>E187/D187*100</f>
        <v>75.42857142857143</v>
      </c>
      <c r="G187" s="213"/>
      <c r="H187" s="192"/>
      <c r="I187" s="190"/>
      <c r="J187" s="191"/>
      <c r="K187" s="192"/>
      <c r="L187" s="275"/>
      <c r="M187" s="213">
        <f>200+150</f>
        <v>350</v>
      </c>
      <c r="N187" s="192">
        <v>264</v>
      </c>
      <c r="O187" s="190">
        <f t="shared" si="23"/>
        <v>75.42857142857143</v>
      </c>
      <c r="P187" s="191"/>
      <c r="Q187" s="192"/>
      <c r="R187" s="275"/>
    </row>
    <row r="188" spans="1:18" ht="17.25" customHeight="1">
      <c r="A188" s="175" t="s">
        <v>30</v>
      </c>
      <c r="B188" s="176" t="s">
        <v>31</v>
      </c>
      <c r="C188" s="188">
        <v>100</v>
      </c>
      <c r="D188" s="189">
        <f t="shared" si="24"/>
        <v>200</v>
      </c>
      <c r="E188" s="189">
        <f t="shared" si="24"/>
        <v>177</v>
      </c>
      <c r="F188" s="190">
        <f t="shared" si="17"/>
        <v>88.5</v>
      </c>
      <c r="G188" s="213"/>
      <c r="H188" s="192"/>
      <c r="I188" s="190"/>
      <c r="J188" s="191"/>
      <c r="K188" s="192"/>
      <c r="L188" s="275"/>
      <c r="M188" s="213">
        <f>100+100</f>
        <v>200</v>
      </c>
      <c r="N188" s="192">
        <v>177</v>
      </c>
      <c r="O188" s="190">
        <f t="shared" si="23"/>
        <v>88.5</v>
      </c>
      <c r="P188" s="191"/>
      <c r="Q188" s="192"/>
      <c r="R188" s="275"/>
    </row>
    <row r="189" spans="1:18" ht="24.75" customHeight="1">
      <c r="A189" s="130" t="s">
        <v>233</v>
      </c>
      <c r="B189" s="131" t="s">
        <v>234</v>
      </c>
      <c r="C189" s="132">
        <f>SUM(C190:C193)</f>
        <v>58900</v>
      </c>
      <c r="D189" s="133">
        <f>SUM(D190:D193)</f>
        <v>52580</v>
      </c>
      <c r="E189" s="133">
        <f>SUM(E190:E193)</f>
        <v>50136</v>
      </c>
      <c r="F189" s="163">
        <f t="shared" si="17"/>
        <v>95.35184480791176</v>
      </c>
      <c r="G189" s="135"/>
      <c r="H189" s="136"/>
      <c r="I189" s="174"/>
      <c r="J189" s="135"/>
      <c r="K189" s="136"/>
      <c r="L189" s="249"/>
      <c r="M189" s="135">
        <f>SUM(M190:M193)</f>
        <v>52580</v>
      </c>
      <c r="N189" s="136">
        <f>SUM(N190:N193)</f>
        <v>50136</v>
      </c>
      <c r="O189" s="134">
        <f t="shared" si="23"/>
        <v>95.35184480791176</v>
      </c>
      <c r="P189" s="135"/>
      <c r="Q189" s="136"/>
      <c r="R189" s="249"/>
    </row>
    <row r="190" spans="1:18" s="141" customFormat="1" ht="36">
      <c r="A190" s="164" t="s">
        <v>53</v>
      </c>
      <c r="B190" s="165" t="s">
        <v>215</v>
      </c>
      <c r="C190" s="166">
        <v>700</v>
      </c>
      <c r="D190" s="167">
        <f aca="true" t="shared" si="25" ref="D190:E193">G190+J190+M190+P190</f>
        <v>1300</v>
      </c>
      <c r="E190" s="167">
        <f t="shared" si="25"/>
        <v>1172</v>
      </c>
      <c r="F190" s="168">
        <f t="shared" si="17"/>
        <v>90.15384615384615</v>
      </c>
      <c r="G190" s="244"/>
      <c r="H190" s="170"/>
      <c r="I190" s="168"/>
      <c r="J190" s="169"/>
      <c r="K190" s="170"/>
      <c r="L190" s="172"/>
      <c r="M190" s="169">
        <f>700+600</f>
        <v>1300</v>
      </c>
      <c r="N190" s="170">
        <v>1172</v>
      </c>
      <c r="O190" s="168">
        <f t="shared" si="23"/>
        <v>90.15384615384615</v>
      </c>
      <c r="P190" s="169"/>
      <c r="Q190" s="170"/>
      <c r="R190" s="172"/>
    </row>
    <row r="191" spans="1:18" s="141" customFormat="1" ht="66" customHeight="1">
      <c r="A191" s="120" t="s">
        <v>55</v>
      </c>
      <c r="B191" s="90" t="s">
        <v>56</v>
      </c>
      <c r="C191" s="140">
        <v>52000</v>
      </c>
      <c r="D191" s="92">
        <f>G191+J191+M191+P191</f>
        <v>42400</v>
      </c>
      <c r="E191" s="92">
        <f>H191+K191+N191+Q191</f>
        <v>43163</v>
      </c>
      <c r="F191" s="126">
        <f>E191/D191*100</f>
        <v>101.7995283018868</v>
      </c>
      <c r="G191" s="215"/>
      <c r="H191" s="123"/>
      <c r="I191" s="126"/>
      <c r="J191" s="127"/>
      <c r="K191" s="123"/>
      <c r="L191" s="129"/>
      <c r="M191" s="127">
        <f>52000-9600</f>
        <v>42400</v>
      </c>
      <c r="N191" s="123">
        <v>43163</v>
      </c>
      <c r="O191" s="126">
        <f t="shared" si="23"/>
        <v>101.7995283018868</v>
      </c>
      <c r="P191" s="127"/>
      <c r="Q191" s="123"/>
      <c r="R191" s="129"/>
    </row>
    <row r="192" spans="1:18" s="141" customFormat="1" ht="28.5" customHeight="1">
      <c r="A192" s="120" t="s">
        <v>216</v>
      </c>
      <c r="B192" s="90" t="s">
        <v>217</v>
      </c>
      <c r="C192" s="140"/>
      <c r="D192" s="92">
        <f t="shared" si="25"/>
        <v>6200</v>
      </c>
      <c r="E192" s="92">
        <f t="shared" si="25"/>
        <v>3160</v>
      </c>
      <c r="F192" s="126">
        <f t="shared" si="17"/>
        <v>50.967741935483865</v>
      </c>
      <c r="G192" s="215"/>
      <c r="H192" s="123"/>
      <c r="I192" s="126"/>
      <c r="J192" s="127"/>
      <c r="K192" s="123"/>
      <c r="L192" s="129"/>
      <c r="M192" s="127">
        <v>6200</v>
      </c>
      <c r="N192" s="123">
        <v>3160</v>
      </c>
      <c r="O192" s="126">
        <f t="shared" si="23"/>
        <v>50.967741935483865</v>
      </c>
      <c r="P192" s="127"/>
      <c r="Q192" s="123"/>
      <c r="R192" s="129"/>
    </row>
    <row r="193" spans="1:18" ht="18.75" customHeight="1">
      <c r="A193" s="175" t="s">
        <v>30</v>
      </c>
      <c r="B193" s="176" t="s">
        <v>31</v>
      </c>
      <c r="C193" s="188">
        <v>6200</v>
      </c>
      <c r="D193" s="189">
        <f t="shared" si="25"/>
        <v>2680</v>
      </c>
      <c r="E193" s="189">
        <f t="shared" si="25"/>
        <v>2641</v>
      </c>
      <c r="F193" s="190">
        <f>E193/D193*100</f>
        <v>98.54477611940298</v>
      </c>
      <c r="G193" s="213"/>
      <c r="H193" s="192"/>
      <c r="I193" s="190"/>
      <c r="J193" s="191"/>
      <c r="K193" s="192"/>
      <c r="L193" s="275"/>
      <c r="M193" s="191">
        <f>1710+970</f>
        <v>2680</v>
      </c>
      <c r="N193" s="192">
        <v>2641</v>
      </c>
      <c r="O193" s="190">
        <f>N193/M193*100</f>
        <v>98.54477611940298</v>
      </c>
      <c r="P193" s="191"/>
      <c r="Q193" s="192"/>
      <c r="R193" s="275"/>
    </row>
    <row r="194" spans="1:18" ht="17.25" customHeight="1">
      <c r="A194" s="130" t="s">
        <v>235</v>
      </c>
      <c r="B194" s="131" t="s">
        <v>17</v>
      </c>
      <c r="C194" s="138">
        <f>SUM(C195:C199)</f>
        <v>174000</v>
      </c>
      <c r="D194" s="133">
        <f>G194+J194+M194+P194</f>
        <v>1046602</v>
      </c>
      <c r="E194" s="133">
        <f>H194+K194+N194+Q194</f>
        <v>685027</v>
      </c>
      <c r="F194" s="163">
        <f t="shared" si="17"/>
        <v>65.45248336999165</v>
      </c>
      <c r="G194" s="138">
        <f>G196+G198+G199+G202</f>
        <v>574916</v>
      </c>
      <c r="H194" s="133">
        <f>H196+H198+H199+H202</f>
        <v>256754</v>
      </c>
      <c r="I194" s="308">
        <f>H194/G194*100</f>
        <v>44.659393720126076</v>
      </c>
      <c r="J194" s="135">
        <f>J195</f>
        <v>2500</v>
      </c>
      <c r="K194" s="136">
        <f>K195</f>
        <v>2500</v>
      </c>
      <c r="L194" s="249">
        <f>K194/J194*100</f>
        <v>100</v>
      </c>
      <c r="M194" s="135">
        <f>SUM(M195:M199)</f>
        <v>469186</v>
      </c>
      <c r="N194" s="136">
        <f>SUM(N195:N199)</f>
        <v>425773</v>
      </c>
      <c r="O194" s="182">
        <f>N194/M194*100</f>
        <v>90.74716636898799</v>
      </c>
      <c r="P194" s="135"/>
      <c r="Q194" s="136"/>
      <c r="R194" s="249"/>
    </row>
    <row r="195" spans="1:18" s="141" customFormat="1" ht="90" customHeight="1">
      <c r="A195" s="164" t="s">
        <v>81</v>
      </c>
      <c r="B195" s="309" t="s">
        <v>236</v>
      </c>
      <c r="C195" s="166"/>
      <c r="D195" s="167">
        <f>J195</f>
        <v>2500</v>
      </c>
      <c r="E195" s="167">
        <f>K195</f>
        <v>2500</v>
      </c>
      <c r="F195" s="218"/>
      <c r="G195" s="169"/>
      <c r="H195" s="170"/>
      <c r="I195" s="168"/>
      <c r="J195" s="169">
        <v>2500</v>
      </c>
      <c r="K195" s="170">
        <v>2500</v>
      </c>
      <c r="L195" s="172"/>
      <c r="M195" s="169"/>
      <c r="N195" s="170"/>
      <c r="O195" s="168"/>
      <c r="P195" s="169"/>
      <c r="Q195" s="170"/>
      <c r="R195" s="172"/>
    </row>
    <row r="196" spans="1:18" s="141" customFormat="1" ht="48" customHeight="1">
      <c r="A196" s="120" t="s">
        <v>237</v>
      </c>
      <c r="B196" s="90" t="s">
        <v>238</v>
      </c>
      <c r="C196" s="140">
        <v>174000</v>
      </c>
      <c r="D196" s="92">
        <f>G196+J196+M196+P196</f>
        <v>4092</v>
      </c>
      <c r="E196" s="92">
        <f>H196+K196+N196+Q196</f>
        <v>3432</v>
      </c>
      <c r="F196" s="126"/>
      <c r="G196" s="127">
        <f>174000-174000+46421+4092-46421</f>
        <v>4092</v>
      </c>
      <c r="H196" s="123">
        <v>3432</v>
      </c>
      <c r="I196" s="126">
        <f>H196/G196*100</f>
        <v>83.87096774193549</v>
      </c>
      <c r="J196" s="127"/>
      <c r="K196" s="123"/>
      <c r="L196" s="129"/>
      <c r="M196" s="127"/>
      <c r="N196" s="123"/>
      <c r="O196" s="126"/>
      <c r="P196" s="127"/>
      <c r="Q196" s="123"/>
      <c r="R196" s="129"/>
    </row>
    <row r="197" spans="1:18" s="141" customFormat="1" ht="54" customHeight="1">
      <c r="A197" s="120" t="s">
        <v>239</v>
      </c>
      <c r="B197" s="121" t="s">
        <v>240</v>
      </c>
      <c r="C197" s="140"/>
      <c r="D197" s="92">
        <f>M197</f>
        <v>46421</v>
      </c>
      <c r="E197" s="92">
        <f>N197</f>
        <v>46421</v>
      </c>
      <c r="F197" s="126"/>
      <c r="G197" s="127"/>
      <c r="H197" s="123"/>
      <c r="I197" s="126"/>
      <c r="J197" s="127"/>
      <c r="K197" s="123"/>
      <c r="L197" s="129"/>
      <c r="M197" s="127">
        <v>46421</v>
      </c>
      <c r="N197" s="123">
        <v>46421</v>
      </c>
      <c r="O197" s="126">
        <f>N197/M197*100</f>
        <v>100</v>
      </c>
      <c r="P197" s="127"/>
      <c r="Q197" s="123"/>
      <c r="R197" s="129"/>
    </row>
    <row r="198" spans="1:18" s="141" customFormat="1" ht="48.75" customHeight="1">
      <c r="A198" s="175" t="s">
        <v>241</v>
      </c>
      <c r="B198" s="176" t="s">
        <v>242</v>
      </c>
      <c r="C198" s="188"/>
      <c r="D198" s="189">
        <f>G198</f>
        <v>4573</v>
      </c>
      <c r="E198" s="189">
        <f>H198+K198+N198+Q198</f>
        <v>4210</v>
      </c>
      <c r="F198" s="190">
        <f>E198/D198*100</f>
        <v>92.06210365186966</v>
      </c>
      <c r="G198" s="191">
        <v>4573</v>
      </c>
      <c r="H198" s="192">
        <v>4210</v>
      </c>
      <c r="I198" s="190">
        <f>H198/G198*100</f>
        <v>92.06210365186966</v>
      </c>
      <c r="J198" s="191"/>
      <c r="K198" s="192"/>
      <c r="L198" s="275"/>
      <c r="M198" s="191"/>
      <c r="N198" s="192"/>
      <c r="O198" s="190"/>
      <c r="P198" s="191"/>
      <c r="Q198" s="192"/>
      <c r="R198" s="275"/>
    </row>
    <row r="199" spans="1:18" s="141" customFormat="1" ht="42" customHeight="1">
      <c r="A199" s="120" t="s">
        <v>243</v>
      </c>
      <c r="B199" s="90" t="s">
        <v>244</v>
      </c>
      <c r="C199" s="140"/>
      <c r="D199" s="92">
        <f>D200+D201</f>
        <v>679314</v>
      </c>
      <c r="E199" s="92">
        <f>H199+K199+N199+Q199</f>
        <v>628464</v>
      </c>
      <c r="F199" s="126">
        <f>E199/D199*100</f>
        <v>92.5145072823466</v>
      </c>
      <c r="G199" s="127">
        <f>G200</f>
        <v>256549</v>
      </c>
      <c r="H199" s="123">
        <f>H200</f>
        <v>249112</v>
      </c>
      <c r="I199" s="126">
        <f>H199/G199*100</f>
        <v>97.10113857391765</v>
      </c>
      <c r="J199" s="127"/>
      <c r="K199" s="123"/>
      <c r="L199" s="129"/>
      <c r="M199" s="127">
        <f>SUM(M200:M201)</f>
        <v>422765</v>
      </c>
      <c r="N199" s="123">
        <v>379352</v>
      </c>
      <c r="O199" s="126">
        <f>N199/M199*100</f>
        <v>89.73117452958499</v>
      </c>
      <c r="P199" s="127"/>
      <c r="Q199" s="123"/>
      <c r="R199" s="129"/>
    </row>
    <row r="200" spans="1:18" s="152" customFormat="1" ht="10.5" customHeight="1">
      <c r="A200" s="142"/>
      <c r="B200" s="195" t="s">
        <v>245</v>
      </c>
      <c r="C200" s="144"/>
      <c r="D200" s="145">
        <f>G200+M200</f>
        <v>338965</v>
      </c>
      <c r="E200" s="145">
        <f>H200</f>
        <v>249112</v>
      </c>
      <c r="F200" s="149">
        <f>E200/D200*100</f>
        <v>73.49195344652102</v>
      </c>
      <c r="G200" s="310">
        <f>45765+48278+78667+78667+5172</f>
        <v>256549</v>
      </c>
      <c r="H200" s="148">
        <v>249112</v>
      </c>
      <c r="I200" s="149"/>
      <c r="J200" s="147"/>
      <c r="K200" s="148"/>
      <c r="L200" s="151"/>
      <c r="M200" s="147">
        <f>77244+5172</f>
        <v>82416</v>
      </c>
      <c r="N200" s="148">
        <f>N199-N201</f>
        <v>82102</v>
      </c>
      <c r="O200" s="149">
        <f>N200/M200*100</f>
        <v>99.61900601824888</v>
      </c>
      <c r="P200" s="147"/>
      <c r="Q200" s="148"/>
      <c r="R200" s="151"/>
    </row>
    <row r="201" spans="1:18" s="152" customFormat="1" ht="16.5" customHeight="1">
      <c r="A201" s="142"/>
      <c r="B201" s="195" t="s">
        <v>246</v>
      </c>
      <c r="C201" s="144"/>
      <c r="D201" s="145">
        <f>M201</f>
        <v>340349</v>
      </c>
      <c r="E201" s="145">
        <f>N201</f>
        <v>297250</v>
      </c>
      <c r="F201" s="149">
        <f>E201/D201*100</f>
        <v>87.33682190927547</v>
      </c>
      <c r="G201" s="310"/>
      <c r="H201" s="148"/>
      <c r="I201" s="149"/>
      <c r="J201" s="147"/>
      <c r="K201" s="148"/>
      <c r="L201" s="151"/>
      <c r="M201" s="147">
        <f>39380+300969</f>
        <v>340349</v>
      </c>
      <c r="N201" s="148">
        <v>297250</v>
      </c>
      <c r="O201" s="149">
        <f>N201/M201*100</f>
        <v>87.33682190927547</v>
      </c>
      <c r="P201" s="147"/>
      <c r="Q201" s="148"/>
      <c r="R201" s="151"/>
    </row>
    <row r="202" spans="1:18" s="320" customFormat="1" ht="22.5" customHeight="1">
      <c r="A202" s="311"/>
      <c r="B202" s="312" t="s">
        <v>247</v>
      </c>
      <c r="C202" s="313"/>
      <c r="D202" s="314">
        <f>SUM(D203:D206)</f>
        <v>309702</v>
      </c>
      <c r="E202" s="314"/>
      <c r="F202" s="315"/>
      <c r="G202" s="316">
        <f>SUM(G203:G206)</f>
        <v>309702</v>
      </c>
      <c r="H202" s="317"/>
      <c r="I202" s="315"/>
      <c r="J202" s="318"/>
      <c r="K202" s="317"/>
      <c r="L202" s="319"/>
      <c r="M202" s="318"/>
      <c r="N202" s="317"/>
      <c r="O202" s="315"/>
      <c r="P202" s="318"/>
      <c r="Q202" s="317"/>
      <c r="R202" s="319"/>
    </row>
    <row r="203" spans="1:18" s="141" customFormat="1" ht="38.25" customHeight="1">
      <c r="A203" s="120" t="s">
        <v>248</v>
      </c>
      <c r="B203" s="90" t="s">
        <v>249</v>
      </c>
      <c r="C203" s="140"/>
      <c r="D203" s="92">
        <f>G203</f>
        <v>82621</v>
      </c>
      <c r="E203" s="92"/>
      <c r="F203" s="126"/>
      <c r="G203" s="125">
        <v>82621</v>
      </c>
      <c r="H203" s="123"/>
      <c r="I203" s="126"/>
      <c r="J203" s="127"/>
      <c r="K203" s="123"/>
      <c r="L203" s="129"/>
      <c r="M203" s="127"/>
      <c r="N203" s="123"/>
      <c r="O203" s="126"/>
      <c r="P203" s="127"/>
      <c r="Q203" s="123"/>
      <c r="R203" s="129"/>
    </row>
    <row r="204" spans="1:18" s="141" customFormat="1" ht="39" customHeight="1">
      <c r="A204" s="120" t="s">
        <v>250</v>
      </c>
      <c r="B204" s="90" t="s">
        <v>249</v>
      </c>
      <c r="C204" s="140"/>
      <c r="D204" s="92">
        <f>G204</f>
        <v>14581</v>
      </c>
      <c r="E204" s="92"/>
      <c r="F204" s="126"/>
      <c r="G204" s="125">
        <v>14581</v>
      </c>
      <c r="H204" s="123"/>
      <c r="I204" s="126"/>
      <c r="J204" s="127"/>
      <c r="K204" s="123"/>
      <c r="L204" s="129"/>
      <c r="M204" s="127"/>
      <c r="N204" s="123"/>
      <c r="O204" s="126"/>
      <c r="P204" s="127"/>
      <c r="Q204" s="123"/>
      <c r="R204" s="129"/>
    </row>
    <row r="205" spans="1:18" s="141" customFormat="1" ht="15.75" customHeight="1">
      <c r="A205" s="120" t="s">
        <v>251</v>
      </c>
      <c r="B205" s="90" t="s">
        <v>252</v>
      </c>
      <c r="C205" s="140"/>
      <c r="D205" s="92">
        <f>G205</f>
        <v>180625</v>
      </c>
      <c r="E205" s="92"/>
      <c r="F205" s="126"/>
      <c r="G205" s="125">
        <v>180625</v>
      </c>
      <c r="H205" s="123"/>
      <c r="I205" s="126"/>
      <c r="J205" s="127"/>
      <c r="K205" s="123"/>
      <c r="L205" s="129"/>
      <c r="M205" s="127"/>
      <c r="N205" s="123"/>
      <c r="O205" s="126"/>
      <c r="P205" s="127"/>
      <c r="Q205" s="123"/>
      <c r="R205" s="129"/>
    </row>
    <row r="206" spans="1:18" s="141" customFormat="1" ht="15.75" customHeight="1" thickBot="1">
      <c r="A206" s="120" t="s">
        <v>253</v>
      </c>
      <c r="B206" s="90" t="s">
        <v>252</v>
      </c>
      <c r="C206" s="140"/>
      <c r="D206" s="92">
        <f>G206</f>
        <v>31875</v>
      </c>
      <c r="E206" s="92"/>
      <c r="F206" s="126"/>
      <c r="G206" s="125">
        <v>31875</v>
      </c>
      <c r="H206" s="123"/>
      <c r="I206" s="126"/>
      <c r="J206" s="127"/>
      <c r="K206" s="123"/>
      <c r="L206" s="129"/>
      <c r="M206" s="127"/>
      <c r="N206" s="123"/>
      <c r="O206" s="126"/>
      <c r="P206" s="127"/>
      <c r="Q206" s="123"/>
      <c r="R206" s="129"/>
    </row>
    <row r="207" spans="1:18" ht="21.75" customHeight="1" thickBot="1" thickTop="1">
      <c r="A207" s="100" t="s">
        <v>254</v>
      </c>
      <c r="B207" s="177" t="s">
        <v>255</v>
      </c>
      <c r="C207" s="245">
        <f>SUM(C210)</f>
        <v>15000</v>
      </c>
      <c r="D207" s="68">
        <f>D210+D212</f>
        <v>9900</v>
      </c>
      <c r="E207" s="68">
        <f>E208+E210+E212</f>
        <v>14528</v>
      </c>
      <c r="F207" s="105">
        <f aca="true" t="shared" si="26" ref="F207:F257">E207/D207*100</f>
        <v>146.74747474747474</v>
      </c>
      <c r="G207" s="68"/>
      <c r="H207" s="68">
        <f>H208+H210+H212</f>
        <v>6266</v>
      </c>
      <c r="I207" s="246"/>
      <c r="J207" s="106"/>
      <c r="K207" s="103"/>
      <c r="L207" s="107"/>
      <c r="M207" s="106"/>
      <c r="N207" s="103"/>
      <c r="O207" s="107"/>
      <c r="P207" s="236">
        <f>P210</f>
        <v>9900</v>
      </c>
      <c r="Q207" s="68">
        <f>Q210</f>
        <v>8262</v>
      </c>
      <c r="R207" s="105">
        <f>Q207/P207*100</f>
        <v>83.45454545454545</v>
      </c>
    </row>
    <row r="208" spans="1:18" ht="25.5" customHeight="1" thickTop="1">
      <c r="A208" s="109" t="s">
        <v>256</v>
      </c>
      <c r="B208" s="210" t="s">
        <v>257</v>
      </c>
      <c r="C208" s="321"/>
      <c r="D208" s="112"/>
      <c r="E208" s="112">
        <f>H208</f>
        <v>494</v>
      </c>
      <c r="F208" s="116"/>
      <c r="G208" s="212"/>
      <c r="H208" s="112">
        <f>H209</f>
        <v>494</v>
      </c>
      <c r="I208" s="296"/>
      <c r="J208" s="117"/>
      <c r="K208" s="113"/>
      <c r="L208" s="119"/>
      <c r="M208" s="117"/>
      <c r="N208" s="113"/>
      <c r="O208" s="119"/>
      <c r="P208" s="211"/>
      <c r="Q208" s="112"/>
      <c r="R208" s="116"/>
    </row>
    <row r="209" spans="1:18" ht="52.5" customHeight="1">
      <c r="A209" s="120" t="s">
        <v>202</v>
      </c>
      <c r="B209" s="90" t="s">
        <v>203</v>
      </c>
      <c r="C209" s="140"/>
      <c r="D209" s="92"/>
      <c r="E209" s="92">
        <f>H209</f>
        <v>494</v>
      </c>
      <c r="F209" s="126"/>
      <c r="G209" s="214"/>
      <c r="H209" s="92">
        <v>494</v>
      </c>
      <c r="I209" s="322"/>
      <c r="J209" s="127"/>
      <c r="K209" s="123"/>
      <c r="L209" s="129"/>
      <c r="M209" s="127"/>
      <c r="N209" s="123"/>
      <c r="O209" s="129"/>
      <c r="P209" s="215"/>
      <c r="Q209" s="92"/>
      <c r="R209" s="126"/>
    </row>
    <row r="210" spans="1:18" ht="46.5" customHeight="1">
      <c r="A210" s="130" t="s">
        <v>258</v>
      </c>
      <c r="B210" s="274" t="s">
        <v>259</v>
      </c>
      <c r="C210" s="132">
        <f>SUM(C211)</f>
        <v>15000</v>
      </c>
      <c r="D210" s="133">
        <f>SUM(D211)</f>
        <v>9900</v>
      </c>
      <c r="E210" s="133">
        <f>H210+K210+N210+Q210</f>
        <v>8262</v>
      </c>
      <c r="F210" s="134">
        <f t="shared" si="26"/>
        <v>83.45454545454545</v>
      </c>
      <c r="G210" s="135"/>
      <c r="H210" s="136"/>
      <c r="I210" s="308"/>
      <c r="J210" s="135"/>
      <c r="K210" s="136"/>
      <c r="L210" s="139"/>
      <c r="M210" s="135"/>
      <c r="N210" s="136"/>
      <c r="O210" s="139"/>
      <c r="P210" s="135">
        <f>P211</f>
        <v>9900</v>
      </c>
      <c r="Q210" s="136">
        <f>Q211</f>
        <v>8262</v>
      </c>
      <c r="R210" s="134">
        <f>Q210/P210*100</f>
        <v>83.45454545454545</v>
      </c>
    </row>
    <row r="211" spans="1:18" ht="72.75" customHeight="1">
      <c r="A211" s="220" t="s">
        <v>63</v>
      </c>
      <c r="B211" s="221" t="s">
        <v>64</v>
      </c>
      <c r="C211" s="222">
        <v>15000</v>
      </c>
      <c r="D211" s="223">
        <f>G211+J211+M211+P211</f>
        <v>9900</v>
      </c>
      <c r="E211" s="223">
        <f>H211+K211+N211+Q211</f>
        <v>8262</v>
      </c>
      <c r="F211" s="174"/>
      <c r="G211" s="225"/>
      <c r="H211" s="226"/>
      <c r="I211" s="308"/>
      <c r="J211" s="225"/>
      <c r="K211" s="226"/>
      <c r="L211" s="249"/>
      <c r="M211" s="225"/>
      <c r="N211" s="226"/>
      <c r="O211" s="174"/>
      <c r="P211" s="225">
        <f>15000-5100</f>
        <v>9900</v>
      </c>
      <c r="Q211" s="226">
        <v>8262</v>
      </c>
      <c r="R211" s="174"/>
    </row>
    <row r="212" spans="1:18" s="324" customFormat="1" ht="15" customHeight="1">
      <c r="A212" s="130" t="s">
        <v>260</v>
      </c>
      <c r="B212" s="323" t="s">
        <v>17</v>
      </c>
      <c r="C212" s="132"/>
      <c r="D212" s="133"/>
      <c r="E212" s="133">
        <f>H212+K212+N212+Q212</f>
        <v>5772</v>
      </c>
      <c r="F212" s="134"/>
      <c r="G212" s="135"/>
      <c r="H212" s="136">
        <f>H213</f>
        <v>5772</v>
      </c>
      <c r="I212" s="308"/>
      <c r="J212" s="135"/>
      <c r="K212" s="136"/>
      <c r="L212" s="139"/>
      <c r="M212" s="135"/>
      <c r="N212" s="136"/>
      <c r="O212" s="308"/>
      <c r="P212" s="135"/>
      <c r="Q212" s="136"/>
      <c r="R212" s="134"/>
    </row>
    <row r="213" spans="1:18" ht="24.75" customHeight="1" thickBot="1">
      <c r="A213" s="120" t="s">
        <v>30</v>
      </c>
      <c r="B213" s="176" t="s">
        <v>261</v>
      </c>
      <c r="C213" s="140"/>
      <c r="D213" s="223"/>
      <c r="E213" s="325">
        <f>H213+K213+N213+Q213</f>
        <v>5772</v>
      </c>
      <c r="F213" s="126"/>
      <c r="G213" s="127"/>
      <c r="H213" s="123">
        <v>5772</v>
      </c>
      <c r="I213" s="326"/>
      <c r="J213" s="127"/>
      <c r="K213" s="123"/>
      <c r="L213" s="129"/>
      <c r="M213" s="327"/>
      <c r="N213" s="328"/>
      <c r="O213" s="126"/>
      <c r="P213" s="127"/>
      <c r="Q213" s="123"/>
      <c r="R213" s="126"/>
    </row>
    <row r="214" spans="1:18" ht="20.25" customHeight="1" thickBot="1" thickTop="1">
      <c r="A214" s="329" t="s">
        <v>262</v>
      </c>
      <c r="B214" s="101" t="s">
        <v>263</v>
      </c>
      <c r="C214" s="236">
        <f>C215+C218+C221+C227+C231+C234+C237+C242+C247+C252+C254+C256+C261</f>
        <v>27674600</v>
      </c>
      <c r="D214" s="68">
        <f>D215+D218+D221+D227+D231+D234+D237+D242+D247+D252+D254+D256+D261+D245</f>
        <v>25251664</v>
      </c>
      <c r="E214" s="68">
        <f>E215+E218+E221+E227+E231+E234+E237+E242+E247+E252+E254+E256+E261+E245</f>
        <v>25297145</v>
      </c>
      <c r="F214" s="330">
        <f>E214/D214*100</f>
        <v>100.1801109027904</v>
      </c>
      <c r="G214" s="236">
        <f>G215+G218+G221+G227+G231+G234+G237+G242+G247+G252+G254+G256+G261</f>
        <v>5880044</v>
      </c>
      <c r="H214" s="68">
        <f>H215+H218+H221+H227+H231+H234+H237+H242+H247+H252+H254+H256+H261</f>
        <v>5913714</v>
      </c>
      <c r="I214" s="330">
        <f>H214/G214*100</f>
        <v>100.57261476274668</v>
      </c>
      <c r="J214" s="236">
        <f>J215+J218+J221+J227+J231+J234+J237+J242+J247+J252+J254+J256+J261</f>
        <v>18920439</v>
      </c>
      <c r="K214" s="331">
        <f>K215+K218+K221+K227+K231+K234+K237+K242+K247+K252+K254+K256+K261</f>
        <v>18857450</v>
      </c>
      <c r="L214" s="330">
        <f>K214/J214*100</f>
        <v>99.66708489163491</v>
      </c>
      <c r="M214" s="332">
        <f>M215+M218+M221+M227+M231+M234+M237+M242+M247+M252+M254+M256+M261+M245</f>
        <v>434681</v>
      </c>
      <c r="N214" s="333">
        <f>N215+N218+N221+N227+N231+N234+N237+N242+N247+N252+N254+N256+N261+N245</f>
        <v>509481</v>
      </c>
      <c r="O214" s="330">
        <f>N214/M214*100</f>
        <v>117.20802151462797</v>
      </c>
      <c r="P214" s="236">
        <f>P215+P218+P221+P227+P231+P234+P237+P242+P247+P252+P254+P256+P261</f>
        <v>16500</v>
      </c>
      <c r="Q214" s="68">
        <f>Q215+Q218+Q221+Q227+Q231+Q234+Q237+Q242+Q247+Q252+Q254+Q256+Q261</f>
        <v>16500</v>
      </c>
      <c r="R214" s="330">
        <f>Q214/P214*100</f>
        <v>100</v>
      </c>
    </row>
    <row r="215" spans="1:18" ht="24.75" customHeight="1" thickTop="1">
      <c r="A215" s="334" t="s">
        <v>264</v>
      </c>
      <c r="B215" s="335" t="s">
        <v>265</v>
      </c>
      <c r="C215" s="180">
        <f>C217</f>
        <v>0</v>
      </c>
      <c r="D215" s="112">
        <f>G215+J215+M215+P215</f>
        <v>2100</v>
      </c>
      <c r="E215" s="112">
        <f>SUM(E216:E217)</f>
        <v>2186</v>
      </c>
      <c r="F215" s="134">
        <f>E215/D215*100</f>
        <v>104.09523809523809</v>
      </c>
      <c r="G215" s="187">
        <f>G217</f>
        <v>2000</v>
      </c>
      <c r="H215" s="181">
        <f>H217</f>
        <v>1960</v>
      </c>
      <c r="I215" s="182">
        <f>H215/G215*100</f>
        <v>98</v>
      </c>
      <c r="J215" s="187"/>
      <c r="K215" s="181"/>
      <c r="L215" s="182"/>
      <c r="M215" s="187">
        <f>M217</f>
        <v>100</v>
      </c>
      <c r="N215" s="181">
        <f>SUM(N216:N217)</f>
        <v>226</v>
      </c>
      <c r="O215" s="134">
        <f>N215/M215*100</f>
        <v>225.99999999999997</v>
      </c>
      <c r="P215" s="187"/>
      <c r="Q215" s="181"/>
      <c r="R215" s="182"/>
    </row>
    <row r="216" spans="1:18" ht="16.5" customHeight="1">
      <c r="A216" s="336" t="s">
        <v>121</v>
      </c>
      <c r="B216" s="121" t="s">
        <v>122</v>
      </c>
      <c r="C216" s="140"/>
      <c r="D216" s="167"/>
      <c r="E216" s="167">
        <f>N216</f>
        <v>2</v>
      </c>
      <c r="F216" s="126"/>
      <c r="G216" s="215"/>
      <c r="H216" s="92"/>
      <c r="I216" s="126"/>
      <c r="J216" s="215"/>
      <c r="K216" s="92"/>
      <c r="L216" s="126"/>
      <c r="M216" s="215"/>
      <c r="N216" s="92">
        <v>2</v>
      </c>
      <c r="O216" s="126"/>
      <c r="P216" s="215"/>
      <c r="Q216" s="92"/>
      <c r="R216" s="126"/>
    </row>
    <row r="217" spans="1:18" ht="13.5" customHeight="1">
      <c r="A217" s="336" t="s">
        <v>30</v>
      </c>
      <c r="B217" s="90" t="s">
        <v>31</v>
      </c>
      <c r="C217" s="140"/>
      <c r="D217" s="92">
        <f>G217+J217+M217+P217</f>
        <v>2100</v>
      </c>
      <c r="E217" s="92">
        <f>H217+K217+N217+Q217</f>
        <v>2184</v>
      </c>
      <c r="F217" s="126"/>
      <c r="G217" s="215">
        <v>2000</v>
      </c>
      <c r="H217" s="92">
        <v>1960</v>
      </c>
      <c r="I217" s="126"/>
      <c r="J217" s="215"/>
      <c r="K217" s="92"/>
      <c r="L217" s="126"/>
      <c r="M217" s="215">
        <v>100</v>
      </c>
      <c r="N217" s="92">
        <v>224</v>
      </c>
      <c r="O217" s="129"/>
      <c r="P217" s="215"/>
      <c r="Q217" s="92"/>
      <c r="R217" s="126"/>
    </row>
    <row r="218" spans="1:18" ht="15.75" customHeight="1">
      <c r="A218" s="303" t="s">
        <v>266</v>
      </c>
      <c r="B218" s="337" t="s">
        <v>267</v>
      </c>
      <c r="C218" s="132"/>
      <c r="D218" s="133">
        <f>G218+J218+M218+P218</f>
        <v>8100</v>
      </c>
      <c r="E218" s="133">
        <f>H218+K218+N218+Q218</f>
        <v>10289</v>
      </c>
      <c r="F218" s="134">
        <f>E218/D218*100</f>
        <v>127.0246913580247</v>
      </c>
      <c r="G218" s="133">
        <f>SUM(G219:G220)</f>
        <v>8100</v>
      </c>
      <c r="H218" s="133">
        <f>SUM(H219:H220)</f>
        <v>10289</v>
      </c>
      <c r="I218" s="134">
        <f aca="true" t="shared" si="27" ref="I218:I224">H218/G218*100</f>
        <v>127.0246913580247</v>
      </c>
      <c r="J218" s="138"/>
      <c r="K218" s="133"/>
      <c r="L218" s="134"/>
      <c r="M218" s="138"/>
      <c r="N218" s="133"/>
      <c r="O218" s="134"/>
      <c r="P218" s="138"/>
      <c r="Q218" s="133"/>
      <c r="R218" s="134"/>
    </row>
    <row r="219" spans="1:18" s="141" customFormat="1" ht="15.75" customHeight="1">
      <c r="A219" s="336" t="s">
        <v>121</v>
      </c>
      <c r="B219" s="121" t="s">
        <v>122</v>
      </c>
      <c r="C219" s="140"/>
      <c r="D219" s="167">
        <f>G219</f>
        <v>100</v>
      </c>
      <c r="E219" s="167">
        <f>H219</f>
        <v>143</v>
      </c>
      <c r="F219" s="126">
        <f>E219/D219*100</f>
        <v>143</v>
      </c>
      <c r="G219" s="214">
        <v>100</v>
      </c>
      <c r="H219" s="92">
        <v>143</v>
      </c>
      <c r="I219" s="126">
        <f t="shared" si="27"/>
        <v>143</v>
      </c>
      <c r="J219" s="215"/>
      <c r="K219" s="92"/>
      <c r="L219" s="126"/>
      <c r="M219" s="215"/>
      <c r="N219" s="92"/>
      <c r="O219" s="126"/>
      <c r="P219" s="215"/>
      <c r="Q219" s="92"/>
      <c r="R219" s="126"/>
    </row>
    <row r="220" spans="1:18" s="141" customFormat="1" ht="12.75" customHeight="1">
      <c r="A220" s="336" t="s">
        <v>30</v>
      </c>
      <c r="B220" s="90" t="s">
        <v>31</v>
      </c>
      <c r="C220" s="140"/>
      <c r="D220" s="189">
        <f>G220+J220+M220+P220</f>
        <v>8000</v>
      </c>
      <c r="E220" s="92">
        <f>H220+K220+N220+Q220</f>
        <v>10146</v>
      </c>
      <c r="F220" s="126">
        <f>E220/D220*100</f>
        <v>126.82500000000002</v>
      </c>
      <c r="G220" s="215">
        <v>8000</v>
      </c>
      <c r="H220" s="92">
        <v>10146</v>
      </c>
      <c r="I220" s="126">
        <f t="shared" si="27"/>
        <v>126.82500000000002</v>
      </c>
      <c r="J220" s="213"/>
      <c r="K220" s="189"/>
      <c r="L220" s="190"/>
      <c r="M220" s="213"/>
      <c r="N220" s="189"/>
      <c r="O220" s="129"/>
      <c r="P220" s="215"/>
      <c r="Q220" s="92"/>
      <c r="R220" s="126"/>
    </row>
    <row r="221" spans="1:18" ht="16.5" customHeight="1">
      <c r="A221" s="303" t="s">
        <v>268</v>
      </c>
      <c r="B221" s="337" t="s">
        <v>269</v>
      </c>
      <c r="C221" s="276">
        <f>SUM(C222:C225)</f>
        <v>736000</v>
      </c>
      <c r="D221" s="136">
        <f>SUM(D222:D226)</f>
        <v>770100</v>
      </c>
      <c r="E221" s="136">
        <f>SUM(E222:E226)</f>
        <v>758584</v>
      </c>
      <c r="F221" s="134">
        <f t="shared" si="26"/>
        <v>98.50460979093624</v>
      </c>
      <c r="G221" s="136">
        <f>SUM(G222:G226)</f>
        <v>37100</v>
      </c>
      <c r="H221" s="136">
        <f>SUM(H222:H226)</f>
        <v>30694</v>
      </c>
      <c r="I221" s="134">
        <f t="shared" si="27"/>
        <v>82.73315363881402</v>
      </c>
      <c r="J221" s="276">
        <f>SUM(J222:J226)</f>
        <v>733000</v>
      </c>
      <c r="K221" s="136">
        <f>SUM(K222:K226)</f>
        <v>727890</v>
      </c>
      <c r="L221" s="134">
        <f>K221/J221*100</f>
        <v>99.30286493860847</v>
      </c>
      <c r="M221" s="135"/>
      <c r="N221" s="136"/>
      <c r="O221" s="139"/>
      <c r="P221" s="135"/>
      <c r="Q221" s="136"/>
      <c r="R221" s="139"/>
    </row>
    <row r="222" spans="1:18" ht="36">
      <c r="A222" s="290" t="s">
        <v>84</v>
      </c>
      <c r="B222" s="165" t="s">
        <v>270</v>
      </c>
      <c r="C222" s="166">
        <v>35000</v>
      </c>
      <c r="D222" s="167">
        <f>G222+J222+M222+P222</f>
        <v>35000</v>
      </c>
      <c r="E222" s="167">
        <f>H222+K222+N222+Q222</f>
        <v>27777</v>
      </c>
      <c r="F222" s="168">
        <f t="shared" si="26"/>
        <v>79.36285714285715</v>
      </c>
      <c r="G222" s="169">
        <v>35000</v>
      </c>
      <c r="H222" s="170">
        <v>27777</v>
      </c>
      <c r="I222" s="168">
        <f t="shared" si="27"/>
        <v>79.36285714285715</v>
      </c>
      <c r="J222" s="259"/>
      <c r="K222" s="257"/>
      <c r="L222" s="172"/>
      <c r="M222" s="169"/>
      <c r="N222" s="170"/>
      <c r="O222" s="168"/>
      <c r="P222" s="169"/>
      <c r="Q222" s="170"/>
      <c r="R222" s="172"/>
    </row>
    <row r="223" spans="1:18" ht="15.75" customHeight="1">
      <c r="A223" s="336" t="s">
        <v>121</v>
      </c>
      <c r="B223" s="121" t="s">
        <v>122</v>
      </c>
      <c r="C223" s="140"/>
      <c r="D223" s="92">
        <f>G223+J223+M223+P223</f>
        <v>100</v>
      </c>
      <c r="E223" s="92">
        <f>H223+K223+N223+Q223</f>
        <v>41</v>
      </c>
      <c r="F223" s="126">
        <f>E223/D223*100</f>
        <v>41</v>
      </c>
      <c r="G223" s="127">
        <v>100</v>
      </c>
      <c r="H223" s="123">
        <v>41</v>
      </c>
      <c r="I223" s="126">
        <f t="shared" si="27"/>
        <v>41</v>
      </c>
      <c r="J223" s="338"/>
      <c r="K223" s="339"/>
      <c r="L223" s="129"/>
      <c r="M223" s="127"/>
      <c r="N223" s="123"/>
      <c r="O223" s="126"/>
      <c r="P223" s="127"/>
      <c r="Q223" s="123"/>
      <c r="R223" s="129"/>
    </row>
    <row r="224" spans="1:18" s="141" customFormat="1" ht="14.25" customHeight="1">
      <c r="A224" s="336" t="s">
        <v>30</v>
      </c>
      <c r="B224" s="90" t="s">
        <v>31</v>
      </c>
      <c r="C224" s="140"/>
      <c r="D224" s="92">
        <f>G224</f>
        <v>2000</v>
      </c>
      <c r="E224" s="92">
        <f>H224+K224+N224+Q224</f>
        <v>1830</v>
      </c>
      <c r="F224" s="126">
        <f>E224/D224*100</f>
        <v>91.5</v>
      </c>
      <c r="G224" s="127">
        <v>2000</v>
      </c>
      <c r="H224" s="123">
        <v>1830</v>
      </c>
      <c r="I224" s="126">
        <f t="shared" si="27"/>
        <v>91.5</v>
      </c>
      <c r="J224" s="338"/>
      <c r="K224" s="339"/>
      <c r="L224" s="129"/>
      <c r="M224" s="127"/>
      <c r="N224" s="123"/>
      <c r="O224" s="126"/>
      <c r="P224" s="127"/>
      <c r="Q224" s="123"/>
      <c r="R224" s="129"/>
    </row>
    <row r="225" spans="1:18" s="141" customFormat="1" ht="73.5" customHeight="1">
      <c r="A225" s="336" t="s">
        <v>18</v>
      </c>
      <c r="B225" s="90" t="s">
        <v>271</v>
      </c>
      <c r="C225" s="140">
        <v>701000</v>
      </c>
      <c r="D225" s="92">
        <f>G225+J225+M225+P225</f>
        <v>733000</v>
      </c>
      <c r="E225" s="92">
        <f>H225+K225+N225+Q225</f>
        <v>727890</v>
      </c>
      <c r="F225" s="126">
        <f t="shared" si="26"/>
        <v>99.30286493860847</v>
      </c>
      <c r="G225" s="127"/>
      <c r="H225" s="123"/>
      <c r="I225" s="126"/>
      <c r="J225" s="127">
        <f>701000+8000+24000</f>
        <v>733000</v>
      </c>
      <c r="K225" s="123">
        <v>727890</v>
      </c>
      <c r="L225" s="126">
        <f>K225/J225*100</f>
        <v>99.30286493860847</v>
      </c>
      <c r="M225" s="127"/>
      <c r="N225" s="123"/>
      <c r="O225" s="126"/>
      <c r="P225" s="127"/>
      <c r="Q225" s="123"/>
      <c r="R225" s="129"/>
    </row>
    <row r="226" spans="1:18" s="141" customFormat="1" ht="57.75" customHeight="1">
      <c r="A226" s="340" t="s">
        <v>65</v>
      </c>
      <c r="B226" s="197" t="s">
        <v>123</v>
      </c>
      <c r="C226" s="188"/>
      <c r="D226" s="189"/>
      <c r="E226" s="189">
        <f>H226+K226+N226+Q226</f>
        <v>1046</v>
      </c>
      <c r="F226" s="190"/>
      <c r="G226" s="191"/>
      <c r="H226" s="192">
        <v>1046</v>
      </c>
      <c r="I226" s="190"/>
      <c r="J226" s="191"/>
      <c r="K226" s="192"/>
      <c r="L226" s="190"/>
      <c r="M226" s="191"/>
      <c r="N226" s="192"/>
      <c r="O226" s="190"/>
      <c r="P226" s="191"/>
      <c r="Q226" s="192"/>
      <c r="R226" s="275"/>
    </row>
    <row r="227" spans="1:18" ht="17.25" customHeight="1">
      <c r="A227" s="303" t="s">
        <v>272</v>
      </c>
      <c r="B227" s="131" t="s">
        <v>273</v>
      </c>
      <c r="C227" s="132">
        <f>SUM(C229:C230)</f>
        <v>410000</v>
      </c>
      <c r="D227" s="133">
        <f>SUM(D228:D230)</f>
        <v>410300</v>
      </c>
      <c r="E227" s="133">
        <f>SUM(E228:E230)</f>
        <v>484857</v>
      </c>
      <c r="F227" s="134">
        <f t="shared" si="26"/>
        <v>118.17133804533269</v>
      </c>
      <c r="G227" s="135"/>
      <c r="H227" s="136"/>
      <c r="I227" s="174"/>
      <c r="J227" s="135"/>
      <c r="K227" s="136"/>
      <c r="L227" s="139"/>
      <c r="M227" s="135">
        <f>SUM(M228:M230)</f>
        <v>410300</v>
      </c>
      <c r="N227" s="136">
        <f>SUM(N228:N230)</f>
        <v>484857</v>
      </c>
      <c r="O227" s="139">
        <f>N227/M227*100</f>
        <v>118.17133804533269</v>
      </c>
      <c r="P227" s="136"/>
      <c r="Q227" s="136"/>
      <c r="R227" s="139"/>
    </row>
    <row r="228" spans="1:18" ht="15.75" customHeight="1">
      <c r="A228" s="336" t="s">
        <v>121</v>
      </c>
      <c r="B228" s="121" t="s">
        <v>122</v>
      </c>
      <c r="C228" s="140"/>
      <c r="D228" s="92">
        <f aca="true" t="shared" si="28" ref="D228:E230">G228+J228+M228+P228</f>
        <v>300</v>
      </c>
      <c r="E228" s="92">
        <f t="shared" si="28"/>
        <v>248</v>
      </c>
      <c r="F228" s="126">
        <f t="shared" si="26"/>
        <v>82.66666666666667</v>
      </c>
      <c r="G228" s="127"/>
      <c r="H228" s="123"/>
      <c r="I228" s="126"/>
      <c r="J228" s="127"/>
      <c r="K228" s="123"/>
      <c r="L228" s="129"/>
      <c r="M228" s="127">
        <v>300</v>
      </c>
      <c r="N228" s="123">
        <v>248</v>
      </c>
      <c r="O228" s="129">
        <f>N228/M228*100</f>
        <v>82.66666666666667</v>
      </c>
      <c r="P228" s="127"/>
      <c r="Q228" s="123"/>
      <c r="R228" s="129"/>
    </row>
    <row r="229" spans="1:18" s="141" customFormat="1" ht="36.75" customHeight="1">
      <c r="A229" s="340" t="s">
        <v>30</v>
      </c>
      <c r="B229" s="307" t="s">
        <v>274</v>
      </c>
      <c r="C229" s="188">
        <v>15000</v>
      </c>
      <c r="D229" s="189">
        <f>G229+J229+M229+P229</f>
        <v>15000</v>
      </c>
      <c r="E229" s="189">
        <f t="shared" si="28"/>
        <v>16303</v>
      </c>
      <c r="F229" s="190">
        <f t="shared" si="26"/>
        <v>108.68666666666667</v>
      </c>
      <c r="G229" s="191"/>
      <c r="H229" s="192"/>
      <c r="I229" s="190"/>
      <c r="J229" s="184"/>
      <c r="K229" s="185"/>
      <c r="L229" s="275"/>
      <c r="M229" s="191">
        <v>15000</v>
      </c>
      <c r="N229" s="192">
        <v>16303</v>
      </c>
      <c r="O229" s="275">
        <f>N229/M229*100</f>
        <v>108.68666666666667</v>
      </c>
      <c r="P229" s="191"/>
      <c r="Q229" s="192"/>
      <c r="R229" s="275"/>
    </row>
    <row r="230" spans="1:18" s="141" customFormat="1" ht="51" customHeight="1">
      <c r="A230" s="340" t="s">
        <v>275</v>
      </c>
      <c r="B230" s="307" t="s">
        <v>276</v>
      </c>
      <c r="C230" s="188">
        <v>395000</v>
      </c>
      <c r="D230" s="189">
        <f t="shared" si="28"/>
        <v>395000</v>
      </c>
      <c r="E230" s="189">
        <f t="shared" si="28"/>
        <v>468306</v>
      </c>
      <c r="F230" s="190">
        <f t="shared" si="26"/>
        <v>118.55848101265822</v>
      </c>
      <c r="G230" s="191"/>
      <c r="H230" s="192"/>
      <c r="I230" s="190"/>
      <c r="J230" s="191"/>
      <c r="K230" s="192"/>
      <c r="L230" s="275"/>
      <c r="M230" s="191">
        <v>395000</v>
      </c>
      <c r="N230" s="192">
        <v>468306</v>
      </c>
      <c r="O230" s="275">
        <f>N230/M230*100</f>
        <v>118.55848101265822</v>
      </c>
      <c r="P230" s="191"/>
      <c r="Q230" s="192"/>
      <c r="R230" s="275"/>
    </row>
    <row r="231" spans="1:18" ht="73.5" customHeight="1">
      <c r="A231" s="303" t="s">
        <v>277</v>
      </c>
      <c r="B231" s="131" t="s">
        <v>278</v>
      </c>
      <c r="C231" s="265">
        <f>SUM(C232:C233)</f>
        <v>19975000</v>
      </c>
      <c r="D231" s="136">
        <f>SUM(D232:D233)</f>
        <v>17199000</v>
      </c>
      <c r="E231" s="136">
        <f>SUM(E232:E233)</f>
        <v>17229089</v>
      </c>
      <c r="F231" s="134">
        <f t="shared" si="26"/>
        <v>100.17494621780337</v>
      </c>
      <c r="G231" s="136">
        <f>SUM(G232:G233)</f>
        <v>230000</v>
      </c>
      <c r="H231" s="136">
        <f>SUM(H232:H233)</f>
        <v>306588</v>
      </c>
      <c r="I231" s="134">
        <f>H231/G231*100</f>
        <v>133.2991304347826</v>
      </c>
      <c r="J231" s="136">
        <f>SUM(J232:J233)</f>
        <v>16969000</v>
      </c>
      <c r="K231" s="136">
        <f>SUM(K232:K233)</f>
        <v>16922501</v>
      </c>
      <c r="L231" s="134">
        <f>K231/J231*100</f>
        <v>99.72597678118923</v>
      </c>
      <c r="M231" s="135"/>
      <c r="N231" s="136"/>
      <c r="O231" s="139"/>
      <c r="P231" s="135"/>
      <c r="Q231" s="136"/>
      <c r="R231" s="134"/>
    </row>
    <row r="232" spans="1:18" s="141" customFormat="1" ht="82.5" customHeight="1">
      <c r="A232" s="290" t="s">
        <v>18</v>
      </c>
      <c r="B232" s="309" t="s">
        <v>271</v>
      </c>
      <c r="C232" s="166">
        <v>19925000</v>
      </c>
      <c r="D232" s="167">
        <f>G232+J232+M232+P232</f>
        <v>16969000</v>
      </c>
      <c r="E232" s="167">
        <f>H232+K232+N232+Q232</f>
        <v>16922501</v>
      </c>
      <c r="F232" s="168">
        <f>E232/D232*100</f>
        <v>99.72597678118923</v>
      </c>
      <c r="G232" s="169"/>
      <c r="H232" s="170"/>
      <c r="I232" s="168"/>
      <c r="J232" s="169">
        <f>19925000-1756000-1200000</f>
        <v>16969000</v>
      </c>
      <c r="K232" s="170">
        <v>16922501</v>
      </c>
      <c r="L232" s="168"/>
      <c r="M232" s="169"/>
      <c r="N232" s="170"/>
      <c r="O232" s="172"/>
      <c r="P232" s="169"/>
      <c r="Q232" s="170"/>
      <c r="R232" s="172"/>
    </row>
    <row r="233" spans="1:18" s="141" customFormat="1" ht="63" customHeight="1">
      <c r="A233" s="340" t="s">
        <v>65</v>
      </c>
      <c r="B233" s="197" t="s">
        <v>123</v>
      </c>
      <c r="C233" s="188">
        <v>50000</v>
      </c>
      <c r="D233" s="189">
        <f>G233+J233+M233+P233</f>
        <v>230000</v>
      </c>
      <c r="E233" s="189">
        <f>H233+K233+N233+Q233</f>
        <v>306588</v>
      </c>
      <c r="F233" s="190">
        <f t="shared" si="26"/>
        <v>133.2991304347826</v>
      </c>
      <c r="G233" s="191">
        <f>50000+180000</f>
        <v>230000</v>
      </c>
      <c r="H233" s="192">
        <v>306588</v>
      </c>
      <c r="I233" s="190"/>
      <c r="J233" s="191"/>
      <c r="K233" s="192"/>
      <c r="L233" s="190"/>
      <c r="M233" s="191"/>
      <c r="N233" s="192"/>
      <c r="O233" s="275"/>
      <c r="P233" s="191"/>
      <c r="Q233" s="192"/>
      <c r="R233" s="275"/>
    </row>
    <row r="234" spans="1:18" ht="75" customHeight="1">
      <c r="A234" s="303" t="s">
        <v>279</v>
      </c>
      <c r="B234" s="337" t="s">
        <v>280</v>
      </c>
      <c r="C234" s="132">
        <f>C235</f>
        <v>192000</v>
      </c>
      <c r="D234" s="133">
        <f>SUM(D235:D236)</f>
        <v>174914</v>
      </c>
      <c r="E234" s="133">
        <f>SUM(E235:E236)</f>
        <v>172251</v>
      </c>
      <c r="F234" s="163">
        <f t="shared" si="26"/>
        <v>98.47753753273038</v>
      </c>
      <c r="G234" s="135">
        <f>G236</f>
        <v>60566</v>
      </c>
      <c r="H234" s="136">
        <f>H236</f>
        <v>57903</v>
      </c>
      <c r="I234" s="134">
        <f>H234/G234*100</f>
        <v>95.60314367797113</v>
      </c>
      <c r="J234" s="135">
        <f>J235</f>
        <v>114348</v>
      </c>
      <c r="K234" s="136">
        <f>K235</f>
        <v>114348</v>
      </c>
      <c r="L234" s="134">
        <f>K234/J234*100</f>
        <v>100</v>
      </c>
      <c r="M234" s="135"/>
      <c r="N234" s="136"/>
      <c r="O234" s="174"/>
      <c r="P234" s="135"/>
      <c r="Q234" s="136"/>
      <c r="R234" s="249"/>
    </row>
    <row r="235" spans="1:18" s="141" customFormat="1" ht="75" customHeight="1">
      <c r="A235" s="341" t="s">
        <v>18</v>
      </c>
      <c r="B235" s="342" t="s">
        <v>271</v>
      </c>
      <c r="C235" s="222">
        <v>192000</v>
      </c>
      <c r="D235" s="223">
        <f>G235+J235+M235+P235</f>
        <v>114348</v>
      </c>
      <c r="E235" s="223">
        <f>H235+K235+N235+Q235</f>
        <v>114348</v>
      </c>
      <c r="F235" s="224">
        <f t="shared" si="26"/>
        <v>100</v>
      </c>
      <c r="G235" s="225"/>
      <c r="H235" s="226"/>
      <c r="I235" s="174"/>
      <c r="J235" s="225">
        <f>192000-62444-15208</f>
        <v>114348</v>
      </c>
      <c r="K235" s="226">
        <v>114348</v>
      </c>
      <c r="L235" s="174"/>
      <c r="M235" s="225"/>
      <c r="N235" s="226"/>
      <c r="O235" s="174"/>
      <c r="P235" s="225"/>
      <c r="Q235" s="226"/>
      <c r="R235" s="249"/>
    </row>
    <row r="236" spans="1:18" s="141" customFormat="1" ht="45" customHeight="1">
      <c r="A236" s="340" t="s">
        <v>237</v>
      </c>
      <c r="B236" s="176" t="s">
        <v>281</v>
      </c>
      <c r="C236" s="188"/>
      <c r="D236" s="189">
        <f>G236</f>
        <v>60566</v>
      </c>
      <c r="E236" s="189">
        <f>H236</f>
        <v>57903</v>
      </c>
      <c r="F236" s="228">
        <f>E236/D236*100</f>
        <v>95.60314367797113</v>
      </c>
      <c r="G236" s="191">
        <f>62444-1878</f>
        <v>60566</v>
      </c>
      <c r="H236" s="192">
        <v>57903</v>
      </c>
      <c r="I236" s="190"/>
      <c r="J236" s="191"/>
      <c r="K236" s="192"/>
      <c r="L236" s="190"/>
      <c r="M236" s="191"/>
      <c r="N236" s="192"/>
      <c r="O236" s="190"/>
      <c r="P236" s="191"/>
      <c r="Q236" s="192"/>
      <c r="R236" s="275"/>
    </row>
    <row r="237" spans="1:18" ht="42.75" customHeight="1">
      <c r="A237" s="303" t="s">
        <v>282</v>
      </c>
      <c r="B237" s="337" t="s">
        <v>283</v>
      </c>
      <c r="C237" s="132">
        <f>SUM(C239:C241)</f>
        <v>4166000</v>
      </c>
      <c r="D237" s="133">
        <f>SUM(D238:D241)</f>
        <v>3874958</v>
      </c>
      <c r="E237" s="133">
        <f>SUM(E238:E241)</f>
        <v>3889876</v>
      </c>
      <c r="F237" s="163">
        <f t="shared" si="26"/>
        <v>100.38498481789998</v>
      </c>
      <c r="G237" s="135">
        <f>SUM(G238:G241)</f>
        <v>2929687</v>
      </c>
      <c r="H237" s="136">
        <f>SUM(H238:H241)</f>
        <v>2944605</v>
      </c>
      <c r="I237" s="134">
        <f>H237/G237*100</f>
        <v>100.50920115357033</v>
      </c>
      <c r="J237" s="135">
        <f>J240</f>
        <v>945271</v>
      </c>
      <c r="K237" s="136">
        <f>K240</f>
        <v>945271</v>
      </c>
      <c r="L237" s="134">
        <f>K237/J237*100</f>
        <v>100</v>
      </c>
      <c r="M237" s="135"/>
      <c r="N237" s="136"/>
      <c r="O237" s="249"/>
      <c r="P237" s="135"/>
      <c r="Q237" s="136"/>
      <c r="R237" s="249"/>
    </row>
    <row r="238" spans="1:18" s="141" customFormat="1" ht="12.75">
      <c r="A238" s="336" t="s">
        <v>121</v>
      </c>
      <c r="B238" s="121" t="s">
        <v>122</v>
      </c>
      <c r="C238" s="166"/>
      <c r="D238" s="167">
        <f>G238</f>
        <v>100</v>
      </c>
      <c r="E238" s="167">
        <f>H238</f>
        <v>438</v>
      </c>
      <c r="F238" s="218">
        <f>E238/D238*100</f>
        <v>438</v>
      </c>
      <c r="G238" s="169">
        <v>100</v>
      </c>
      <c r="H238" s="170">
        <v>438</v>
      </c>
      <c r="I238" s="168">
        <f>H238/G238*100</f>
        <v>438</v>
      </c>
      <c r="J238" s="169"/>
      <c r="K238" s="170"/>
      <c r="L238" s="168"/>
      <c r="M238" s="259"/>
      <c r="N238" s="257"/>
      <c r="O238" s="172"/>
      <c r="P238" s="259"/>
      <c r="Q238" s="257"/>
      <c r="R238" s="172"/>
    </row>
    <row r="239" spans="1:18" s="141" customFormat="1" ht="48">
      <c r="A239" s="336" t="s">
        <v>30</v>
      </c>
      <c r="B239" s="121" t="s">
        <v>284</v>
      </c>
      <c r="C239" s="122">
        <v>20000</v>
      </c>
      <c r="D239" s="92">
        <f aca="true" t="shared" si="29" ref="D239:E241">G239+J239+M239+P239</f>
        <v>55000</v>
      </c>
      <c r="E239" s="92">
        <f t="shared" si="29"/>
        <v>75113</v>
      </c>
      <c r="F239" s="126">
        <f t="shared" si="26"/>
        <v>136.5690909090909</v>
      </c>
      <c r="G239" s="127">
        <f>20000+35000</f>
        <v>55000</v>
      </c>
      <c r="H239" s="123">
        <v>75113</v>
      </c>
      <c r="I239" s="126">
        <f>H239/G239*100</f>
        <v>136.5690909090909</v>
      </c>
      <c r="J239" s="127"/>
      <c r="K239" s="123"/>
      <c r="L239" s="126"/>
      <c r="M239" s="127"/>
      <c r="N239" s="123"/>
      <c r="O239" s="129"/>
      <c r="P239" s="127"/>
      <c r="Q239" s="123"/>
      <c r="R239" s="129"/>
    </row>
    <row r="240" spans="1:18" s="141" customFormat="1" ht="72" customHeight="1">
      <c r="A240" s="336" t="s">
        <v>18</v>
      </c>
      <c r="B240" s="121" t="s">
        <v>271</v>
      </c>
      <c r="C240" s="140">
        <v>1667000</v>
      </c>
      <c r="D240" s="92">
        <f t="shared" si="29"/>
        <v>945271</v>
      </c>
      <c r="E240" s="92">
        <f t="shared" si="29"/>
        <v>945271</v>
      </c>
      <c r="F240" s="126">
        <f t="shared" si="26"/>
        <v>100</v>
      </c>
      <c r="G240" s="127"/>
      <c r="H240" s="123"/>
      <c r="I240" s="126"/>
      <c r="J240" s="127">
        <f>1667000-694587-27142</f>
        <v>945271</v>
      </c>
      <c r="K240" s="123">
        <v>945271</v>
      </c>
      <c r="L240" s="126"/>
      <c r="M240" s="127"/>
      <c r="N240" s="123"/>
      <c r="O240" s="129"/>
      <c r="P240" s="127"/>
      <c r="Q240" s="123"/>
      <c r="R240" s="129"/>
    </row>
    <row r="241" spans="1:18" s="141" customFormat="1" ht="39.75" customHeight="1">
      <c r="A241" s="340" t="s">
        <v>237</v>
      </c>
      <c r="B241" s="176" t="s">
        <v>281</v>
      </c>
      <c r="C241" s="188">
        <v>2479000</v>
      </c>
      <c r="D241" s="189">
        <f t="shared" si="29"/>
        <v>2874587</v>
      </c>
      <c r="E241" s="189">
        <f t="shared" si="29"/>
        <v>2869054</v>
      </c>
      <c r="F241" s="190">
        <f t="shared" si="26"/>
        <v>99.8075201759418</v>
      </c>
      <c r="G241" s="191">
        <f>2479000+694587-299000</f>
        <v>2874587</v>
      </c>
      <c r="H241" s="192">
        <v>2869054</v>
      </c>
      <c r="I241" s="190">
        <f aca="true" t="shared" si="30" ref="I241:I251">H241/G241*100</f>
        <v>99.8075201759418</v>
      </c>
      <c r="J241" s="191"/>
      <c r="K241" s="192"/>
      <c r="L241" s="190"/>
      <c r="M241" s="191"/>
      <c r="N241" s="192"/>
      <c r="O241" s="275"/>
      <c r="P241" s="191"/>
      <c r="Q241" s="192"/>
      <c r="R241" s="275"/>
    </row>
    <row r="242" spans="1:18" ht="15.75" customHeight="1">
      <c r="A242" s="303" t="s">
        <v>285</v>
      </c>
      <c r="B242" s="337" t="s">
        <v>286</v>
      </c>
      <c r="C242" s="138">
        <f>SUM(C244:C244)</f>
        <v>20000</v>
      </c>
      <c r="D242" s="133">
        <f>SUM(D243:D244)</f>
        <v>20200</v>
      </c>
      <c r="E242" s="133">
        <f>SUM(E243:E244)</f>
        <v>12586</v>
      </c>
      <c r="F242" s="134">
        <f t="shared" si="26"/>
        <v>62.306930693069305</v>
      </c>
      <c r="G242" s="138">
        <f>SUM(G243:G244)</f>
        <v>20200</v>
      </c>
      <c r="H242" s="343">
        <f>SUM(H243:H244)</f>
        <v>12586</v>
      </c>
      <c r="I242" s="134">
        <f t="shared" si="30"/>
        <v>62.306930693069305</v>
      </c>
      <c r="J242" s="225"/>
      <c r="K242" s="226"/>
      <c r="L242" s="249"/>
      <c r="M242" s="225"/>
      <c r="N242" s="226"/>
      <c r="O242" s="249"/>
      <c r="P242" s="225"/>
      <c r="Q242" s="226"/>
      <c r="R242" s="249"/>
    </row>
    <row r="243" spans="1:18" s="141" customFormat="1" ht="15.75" customHeight="1">
      <c r="A243" s="336" t="s">
        <v>121</v>
      </c>
      <c r="B243" s="121" t="s">
        <v>122</v>
      </c>
      <c r="C243" s="344"/>
      <c r="D243" s="345">
        <f>G243</f>
        <v>200</v>
      </c>
      <c r="E243" s="92">
        <f>H243</f>
        <v>362</v>
      </c>
      <c r="F243" s="124">
        <f>E243/D243*100</f>
        <v>181</v>
      </c>
      <c r="G243" s="215">
        <v>200</v>
      </c>
      <c r="H243" s="346">
        <v>362</v>
      </c>
      <c r="I243" s="126">
        <f>H243/G243*100</f>
        <v>181</v>
      </c>
      <c r="J243" s="127"/>
      <c r="K243" s="123"/>
      <c r="L243" s="129"/>
      <c r="M243" s="127"/>
      <c r="N243" s="123"/>
      <c r="O243" s="129"/>
      <c r="P243" s="127"/>
      <c r="Q243" s="123"/>
      <c r="R243" s="129"/>
    </row>
    <row r="244" spans="1:18" s="141" customFormat="1" ht="28.5" customHeight="1">
      <c r="A244" s="340" t="s">
        <v>30</v>
      </c>
      <c r="B244" s="307" t="s">
        <v>287</v>
      </c>
      <c r="C244" s="188">
        <v>20000</v>
      </c>
      <c r="D244" s="189">
        <f>G244+J244+M244+P244</f>
        <v>20000</v>
      </c>
      <c r="E244" s="189">
        <f>H244+K244+N244+Q244</f>
        <v>12224</v>
      </c>
      <c r="F244" s="228">
        <f t="shared" si="26"/>
        <v>61.12</v>
      </c>
      <c r="G244" s="191">
        <v>20000</v>
      </c>
      <c r="H244" s="192">
        <v>12224</v>
      </c>
      <c r="I244" s="190">
        <f t="shared" si="30"/>
        <v>61.12</v>
      </c>
      <c r="J244" s="191"/>
      <c r="K244" s="192"/>
      <c r="L244" s="275"/>
      <c r="M244" s="191"/>
      <c r="N244" s="192"/>
      <c r="O244" s="190"/>
      <c r="P244" s="191"/>
      <c r="Q244" s="192"/>
      <c r="R244" s="275"/>
    </row>
    <row r="245" spans="1:18" s="243" customFormat="1" ht="24" customHeight="1">
      <c r="A245" s="334" t="s">
        <v>288</v>
      </c>
      <c r="B245" s="335" t="s">
        <v>289</v>
      </c>
      <c r="C245" s="180"/>
      <c r="D245" s="181">
        <f>D246</f>
        <v>24281</v>
      </c>
      <c r="E245" s="181">
        <f>E246</f>
        <v>24281</v>
      </c>
      <c r="F245" s="237">
        <f>E245/D245*100</f>
        <v>100</v>
      </c>
      <c r="G245" s="184"/>
      <c r="H245" s="185"/>
      <c r="I245" s="182"/>
      <c r="J245" s="184"/>
      <c r="K245" s="185"/>
      <c r="L245" s="273"/>
      <c r="M245" s="184">
        <f>M246</f>
        <v>24281</v>
      </c>
      <c r="N245" s="185">
        <f>N246</f>
        <v>24281</v>
      </c>
      <c r="O245" s="182">
        <f>N245/M245*100</f>
        <v>100</v>
      </c>
      <c r="P245" s="184"/>
      <c r="Q245" s="185"/>
      <c r="R245" s="273"/>
    </row>
    <row r="246" spans="1:18" s="141" customFormat="1" ht="35.25" customHeight="1">
      <c r="A246" s="340" t="s">
        <v>239</v>
      </c>
      <c r="B246" s="121" t="s">
        <v>240</v>
      </c>
      <c r="C246" s="188"/>
      <c r="D246" s="189">
        <f>M246</f>
        <v>24281</v>
      </c>
      <c r="E246" s="189">
        <f>N246</f>
        <v>24281</v>
      </c>
      <c r="F246" s="228"/>
      <c r="G246" s="191"/>
      <c r="H246" s="192"/>
      <c r="I246" s="190"/>
      <c r="J246" s="191"/>
      <c r="K246" s="192"/>
      <c r="L246" s="275"/>
      <c r="M246" s="191">
        <f>8200+17256-1175</f>
        <v>24281</v>
      </c>
      <c r="N246" s="192">
        <v>24281</v>
      </c>
      <c r="O246" s="190"/>
      <c r="P246" s="191"/>
      <c r="Q246" s="192"/>
      <c r="R246" s="275"/>
    </row>
    <row r="247" spans="1:18" ht="19.5" customHeight="1">
      <c r="A247" s="303" t="s">
        <v>290</v>
      </c>
      <c r="B247" s="337" t="s">
        <v>291</v>
      </c>
      <c r="C247" s="132">
        <f>SUM(C248:C251)</f>
        <v>1253000</v>
      </c>
      <c r="D247" s="133">
        <f>SUM(D248:D251)</f>
        <v>1413511</v>
      </c>
      <c r="E247" s="133">
        <f>SUM(E248:E251)</f>
        <v>1392878</v>
      </c>
      <c r="F247" s="163">
        <f t="shared" si="26"/>
        <v>98.54030141965644</v>
      </c>
      <c r="G247" s="135">
        <f>SUM(G248:G251)</f>
        <v>1403691</v>
      </c>
      <c r="H247" s="136">
        <f>SUM(H248:H251)</f>
        <v>1391484</v>
      </c>
      <c r="I247" s="134">
        <f t="shared" si="30"/>
        <v>99.1303641613432</v>
      </c>
      <c r="J247" s="135">
        <f>J250</f>
        <v>9820</v>
      </c>
      <c r="K247" s="136">
        <f>K250</f>
        <v>1394</v>
      </c>
      <c r="L247" s="134">
        <f>K247/J247*100</f>
        <v>14.19551934826884</v>
      </c>
      <c r="M247" s="225"/>
      <c r="N247" s="226"/>
      <c r="O247" s="249"/>
      <c r="P247" s="225"/>
      <c r="Q247" s="226"/>
      <c r="R247" s="249"/>
    </row>
    <row r="248" spans="1:18" s="141" customFormat="1" ht="15.75" customHeight="1">
      <c r="A248" s="290" t="s">
        <v>84</v>
      </c>
      <c r="B248" s="309" t="s">
        <v>105</v>
      </c>
      <c r="C248" s="166">
        <v>2000</v>
      </c>
      <c r="D248" s="167">
        <f aca="true" t="shared" si="31" ref="D248:E251">G248+J248+M248+P248</f>
        <v>2000</v>
      </c>
      <c r="E248" s="167">
        <f t="shared" si="31"/>
        <v>142</v>
      </c>
      <c r="F248" s="168">
        <f t="shared" si="26"/>
        <v>7.1</v>
      </c>
      <c r="G248" s="169">
        <v>2000</v>
      </c>
      <c r="H248" s="170">
        <v>142</v>
      </c>
      <c r="I248" s="168">
        <f t="shared" si="30"/>
        <v>7.1</v>
      </c>
      <c r="J248" s="169"/>
      <c r="K248" s="170"/>
      <c r="L248" s="168"/>
      <c r="M248" s="169"/>
      <c r="N248" s="170"/>
      <c r="O248" s="168"/>
      <c r="P248" s="169"/>
      <c r="Q248" s="170"/>
      <c r="R248" s="172"/>
    </row>
    <row r="249" spans="1:18" s="141" customFormat="1" ht="17.25" customHeight="1">
      <c r="A249" s="340" t="s">
        <v>30</v>
      </c>
      <c r="B249" s="307" t="s">
        <v>31</v>
      </c>
      <c r="C249" s="188">
        <v>4000</v>
      </c>
      <c r="D249" s="189">
        <f t="shared" si="31"/>
        <v>14000</v>
      </c>
      <c r="E249" s="189">
        <f t="shared" si="31"/>
        <v>16034</v>
      </c>
      <c r="F249" s="190">
        <f t="shared" si="26"/>
        <v>114.52857142857142</v>
      </c>
      <c r="G249" s="191">
        <f>4000+10000</f>
        <v>14000</v>
      </c>
      <c r="H249" s="192">
        <v>16034</v>
      </c>
      <c r="I249" s="190">
        <f t="shared" si="30"/>
        <v>114.52857142857142</v>
      </c>
      <c r="J249" s="191"/>
      <c r="K249" s="192"/>
      <c r="L249" s="275"/>
      <c r="M249" s="191"/>
      <c r="N249" s="185"/>
      <c r="O249" s="190"/>
      <c r="P249" s="184"/>
      <c r="Q249" s="185"/>
      <c r="R249" s="190"/>
    </row>
    <row r="250" spans="1:18" s="141" customFormat="1" ht="75.75" customHeight="1">
      <c r="A250" s="336" t="s">
        <v>18</v>
      </c>
      <c r="B250" s="121" t="s">
        <v>271</v>
      </c>
      <c r="C250" s="140"/>
      <c r="D250" s="92">
        <f>J250</f>
        <v>9820</v>
      </c>
      <c r="E250" s="92">
        <f>K250</f>
        <v>1394</v>
      </c>
      <c r="F250" s="126">
        <f>E250/D250*100</f>
        <v>14.19551934826884</v>
      </c>
      <c r="G250" s="127"/>
      <c r="H250" s="123"/>
      <c r="I250" s="126"/>
      <c r="J250" s="127">
        <v>9820</v>
      </c>
      <c r="K250" s="123">
        <v>1394</v>
      </c>
      <c r="L250" s="129"/>
      <c r="M250" s="127"/>
      <c r="N250" s="339"/>
      <c r="O250" s="126"/>
      <c r="P250" s="338"/>
      <c r="Q250" s="339"/>
      <c r="R250" s="126"/>
    </row>
    <row r="251" spans="1:18" ht="36.75" customHeight="1">
      <c r="A251" s="340" t="s">
        <v>237</v>
      </c>
      <c r="B251" s="176" t="s">
        <v>281</v>
      </c>
      <c r="C251" s="188">
        <v>1247000</v>
      </c>
      <c r="D251" s="189">
        <f t="shared" si="31"/>
        <v>1387691</v>
      </c>
      <c r="E251" s="189">
        <f t="shared" si="31"/>
        <v>1375308</v>
      </c>
      <c r="F251" s="190">
        <f t="shared" si="26"/>
        <v>99.10765436974081</v>
      </c>
      <c r="G251" s="191">
        <f>1247000+59300+49720+27000+4671</f>
        <v>1387691</v>
      </c>
      <c r="H251" s="192">
        <v>1375308</v>
      </c>
      <c r="I251" s="190">
        <f t="shared" si="30"/>
        <v>99.10765436974081</v>
      </c>
      <c r="J251" s="191"/>
      <c r="K251" s="192"/>
      <c r="L251" s="190"/>
      <c r="M251" s="191"/>
      <c r="N251" s="192"/>
      <c r="O251" s="275"/>
      <c r="P251" s="191"/>
      <c r="Q251" s="192"/>
      <c r="R251" s="190"/>
    </row>
    <row r="252" spans="1:18" ht="49.5" customHeight="1">
      <c r="A252" s="303" t="s">
        <v>292</v>
      </c>
      <c r="B252" s="337" t="s">
        <v>293</v>
      </c>
      <c r="C252" s="138">
        <f>SUM(C253:C253)</f>
        <v>10000</v>
      </c>
      <c r="D252" s="133">
        <f>SUM(D253:D253)</f>
        <v>10000</v>
      </c>
      <c r="E252" s="133">
        <f>SUM(E253:E253)</f>
        <v>12315</v>
      </c>
      <c r="F252" s="163">
        <f t="shared" si="26"/>
        <v>123.15</v>
      </c>
      <c r="G252" s="138">
        <f>SUM(G253:G253)</f>
        <v>10000</v>
      </c>
      <c r="H252" s="133">
        <f>SUM(H253:H253)</f>
        <v>12315</v>
      </c>
      <c r="I252" s="134">
        <f>H252/G252*100</f>
        <v>123.15</v>
      </c>
      <c r="J252" s="135"/>
      <c r="K252" s="136"/>
      <c r="L252" s="134"/>
      <c r="M252" s="138"/>
      <c r="N252" s="133"/>
      <c r="O252" s="134"/>
      <c r="P252" s="138"/>
      <c r="Q252" s="133"/>
      <c r="R252" s="134"/>
    </row>
    <row r="253" spans="1:18" s="141" customFormat="1" ht="48">
      <c r="A253" s="341" t="s">
        <v>84</v>
      </c>
      <c r="B253" s="173" t="s">
        <v>294</v>
      </c>
      <c r="C253" s="222">
        <v>10000</v>
      </c>
      <c r="D253" s="223">
        <f aca="true" t="shared" si="32" ref="D253:E255">G253+J253+M253+P253</f>
        <v>10000</v>
      </c>
      <c r="E253" s="223">
        <f t="shared" si="32"/>
        <v>12315</v>
      </c>
      <c r="F253" s="174">
        <f t="shared" si="26"/>
        <v>123.15</v>
      </c>
      <c r="G253" s="225">
        <v>10000</v>
      </c>
      <c r="H253" s="226">
        <v>12315</v>
      </c>
      <c r="I253" s="174"/>
      <c r="J253" s="225"/>
      <c r="K253" s="226"/>
      <c r="L253" s="174"/>
      <c r="M253" s="225"/>
      <c r="N253" s="226"/>
      <c r="O253" s="249"/>
      <c r="P253" s="225"/>
      <c r="Q253" s="226"/>
      <c r="R253" s="174"/>
    </row>
    <row r="254" spans="1:18" s="235" customFormat="1" ht="22.5" customHeight="1">
      <c r="A254" s="303" t="s">
        <v>295</v>
      </c>
      <c r="B254" s="347" t="s">
        <v>296</v>
      </c>
      <c r="C254" s="132"/>
      <c r="D254" s="133"/>
      <c r="E254" s="133">
        <f t="shared" si="32"/>
        <v>117</v>
      </c>
      <c r="F254" s="134"/>
      <c r="G254" s="135"/>
      <c r="H254" s="136"/>
      <c r="I254" s="134"/>
      <c r="J254" s="135"/>
      <c r="K254" s="136"/>
      <c r="L254" s="134"/>
      <c r="M254" s="135"/>
      <c r="N254" s="136">
        <f>SUM(N255:N255)</f>
        <v>117</v>
      </c>
      <c r="O254" s="134"/>
      <c r="P254" s="135"/>
      <c r="Q254" s="136"/>
      <c r="R254" s="134"/>
    </row>
    <row r="255" spans="1:18" ht="15" customHeight="1">
      <c r="A255" s="341" t="s">
        <v>30</v>
      </c>
      <c r="B255" s="342" t="s">
        <v>31</v>
      </c>
      <c r="C255" s="222"/>
      <c r="D255" s="223"/>
      <c r="E255" s="223">
        <f t="shared" si="32"/>
        <v>117</v>
      </c>
      <c r="F255" s="224"/>
      <c r="G255" s="225"/>
      <c r="H255" s="226"/>
      <c r="I255" s="174"/>
      <c r="J255" s="225"/>
      <c r="K255" s="226"/>
      <c r="L255" s="174"/>
      <c r="M255" s="225"/>
      <c r="N255" s="226">
        <v>117</v>
      </c>
      <c r="O255" s="174"/>
      <c r="P255" s="225"/>
      <c r="Q255" s="226"/>
      <c r="R255" s="174"/>
    </row>
    <row r="256" spans="1:18" ht="36" customHeight="1">
      <c r="A256" s="303" t="s">
        <v>297</v>
      </c>
      <c r="B256" s="337" t="s">
        <v>298</v>
      </c>
      <c r="C256" s="132">
        <f>SUM(C257:C259)</f>
        <v>227000</v>
      </c>
      <c r="D256" s="133">
        <f>SUM(D257:D260)</f>
        <v>227100</v>
      </c>
      <c r="E256" s="133">
        <f>SUM(E257:E260)</f>
        <v>216092</v>
      </c>
      <c r="F256" s="163">
        <f t="shared" si="26"/>
        <v>95.15279612505503</v>
      </c>
      <c r="G256" s="135">
        <f>SUM(G257:G260)</f>
        <v>78100</v>
      </c>
      <c r="H256" s="136">
        <f>SUM(H257:H260)</f>
        <v>70046</v>
      </c>
      <c r="I256" s="134">
        <f>H256/G256*100</f>
        <v>89.6875800256082</v>
      </c>
      <c r="J256" s="135">
        <f>J259</f>
        <v>149000</v>
      </c>
      <c r="K256" s="136">
        <f>SUM(K259)</f>
        <v>146046</v>
      </c>
      <c r="L256" s="134">
        <f>K256/J256*100</f>
        <v>98.01744966442953</v>
      </c>
      <c r="M256" s="348"/>
      <c r="N256" s="349"/>
      <c r="O256" s="350"/>
      <c r="P256" s="348"/>
      <c r="Q256" s="349"/>
      <c r="R256" s="350"/>
    </row>
    <row r="257" spans="1:18" s="141" customFormat="1" ht="36">
      <c r="A257" s="290" t="s">
        <v>84</v>
      </c>
      <c r="B257" s="309" t="s">
        <v>299</v>
      </c>
      <c r="C257" s="166">
        <v>78000</v>
      </c>
      <c r="D257" s="167">
        <f aca="true" t="shared" si="33" ref="D257:E260">G257+J257+M257+P257</f>
        <v>78000</v>
      </c>
      <c r="E257" s="167">
        <f t="shared" si="33"/>
        <v>69588</v>
      </c>
      <c r="F257" s="218">
        <f t="shared" si="26"/>
        <v>89.21538461538462</v>
      </c>
      <c r="G257" s="169">
        <v>78000</v>
      </c>
      <c r="H257" s="170">
        <v>69588</v>
      </c>
      <c r="I257" s="168">
        <f>H257/G257*100</f>
        <v>89.21538461538462</v>
      </c>
      <c r="J257" s="259"/>
      <c r="K257" s="257"/>
      <c r="L257" s="168"/>
      <c r="M257" s="351"/>
      <c r="N257" s="352"/>
      <c r="O257" s="353"/>
      <c r="P257" s="351"/>
      <c r="Q257" s="352"/>
      <c r="R257" s="353"/>
    </row>
    <row r="258" spans="1:18" s="141" customFormat="1" ht="15.75" customHeight="1">
      <c r="A258" s="336" t="s">
        <v>121</v>
      </c>
      <c r="B258" s="121" t="s">
        <v>122</v>
      </c>
      <c r="C258" s="140"/>
      <c r="D258" s="92">
        <f>G258</f>
        <v>100</v>
      </c>
      <c r="E258" s="92">
        <f>H258</f>
        <v>24</v>
      </c>
      <c r="F258" s="126">
        <f>E258/D258*100</f>
        <v>24</v>
      </c>
      <c r="G258" s="127">
        <v>100</v>
      </c>
      <c r="H258" s="123">
        <v>24</v>
      </c>
      <c r="I258" s="126">
        <f>H258/G258*100</f>
        <v>24</v>
      </c>
      <c r="J258" s="338"/>
      <c r="K258" s="339"/>
      <c r="L258" s="126"/>
      <c r="M258" s="354"/>
      <c r="N258" s="355"/>
      <c r="O258" s="356"/>
      <c r="P258" s="354"/>
      <c r="Q258" s="355"/>
      <c r="R258" s="356"/>
    </row>
    <row r="259" spans="1:18" s="141" customFormat="1" ht="72.75" customHeight="1">
      <c r="A259" s="340" t="s">
        <v>18</v>
      </c>
      <c r="B259" s="307" t="s">
        <v>271</v>
      </c>
      <c r="C259" s="188">
        <v>149000</v>
      </c>
      <c r="D259" s="189">
        <f t="shared" si="33"/>
        <v>149000</v>
      </c>
      <c r="E259" s="189">
        <f t="shared" si="33"/>
        <v>146046</v>
      </c>
      <c r="F259" s="228">
        <f aca="true" t="shared" si="34" ref="F259:F313">E259/D259*100</f>
        <v>98.01744966442953</v>
      </c>
      <c r="G259" s="191"/>
      <c r="H259" s="192"/>
      <c r="I259" s="190"/>
      <c r="J259" s="191">
        <v>149000</v>
      </c>
      <c r="K259" s="192">
        <v>146046</v>
      </c>
      <c r="L259" s="190">
        <f>K259/J259*100</f>
        <v>98.01744966442953</v>
      </c>
      <c r="M259" s="357"/>
      <c r="N259" s="358"/>
      <c r="O259" s="359"/>
      <c r="P259" s="357"/>
      <c r="Q259" s="358"/>
      <c r="R259" s="359"/>
    </row>
    <row r="260" spans="1:18" s="141" customFormat="1" ht="60.75" customHeight="1">
      <c r="A260" s="340" t="s">
        <v>65</v>
      </c>
      <c r="B260" s="197" t="s">
        <v>123</v>
      </c>
      <c r="C260" s="188"/>
      <c r="D260" s="189">
        <f t="shared" si="33"/>
        <v>0</v>
      </c>
      <c r="E260" s="189">
        <f t="shared" si="33"/>
        <v>434</v>
      </c>
      <c r="F260" s="228"/>
      <c r="G260" s="191"/>
      <c r="H260" s="192">
        <v>434</v>
      </c>
      <c r="I260" s="190"/>
      <c r="J260" s="191"/>
      <c r="K260" s="192"/>
      <c r="L260" s="190"/>
      <c r="M260" s="357"/>
      <c r="N260" s="358"/>
      <c r="O260" s="359"/>
      <c r="P260" s="357"/>
      <c r="Q260" s="358"/>
      <c r="R260" s="359"/>
    </row>
    <row r="261" spans="1:18" ht="14.25" customHeight="1">
      <c r="A261" s="303" t="s">
        <v>300</v>
      </c>
      <c r="B261" s="360" t="s">
        <v>17</v>
      </c>
      <c r="C261" s="132">
        <f>SUM(C262:C265)</f>
        <v>685600</v>
      </c>
      <c r="D261" s="133">
        <f>G261+J261+M261+P261</f>
        <v>1117100</v>
      </c>
      <c r="E261" s="133">
        <f>H261+K261+N261+Q261</f>
        <v>1091744</v>
      </c>
      <c r="F261" s="163">
        <f t="shared" si="34"/>
        <v>97.73019425297646</v>
      </c>
      <c r="G261" s="135">
        <f>SUM(G262:G264)</f>
        <v>1100600</v>
      </c>
      <c r="H261" s="136">
        <f>SUM(H262:H264)</f>
        <v>1075244</v>
      </c>
      <c r="I261" s="134">
        <f aca="true" t="shared" si="35" ref="I261:I267">H261/G261*100</f>
        <v>97.69616572778484</v>
      </c>
      <c r="J261" s="225"/>
      <c r="K261" s="226"/>
      <c r="L261" s="249"/>
      <c r="M261" s="361"/>
      <c r="N261" s="362"/>
      <c r="O261" s="350"/>
      <c r="P261" s="361">
        <f>SUM(P262:P265)</f>
        <v>16500</v>
      </c>
      <c r="Q261" s="362">
        <f>SUM(Q262:Q265)</f>
        <v>16500</v>
      </c>
      <c r="R261" s="350">
        <f>Q261/P261*100</f>
        <v>100</v>
      </c>
    </row>
    <row r="262" spans="1:18" s="141" customFormat="1" ht="28.5" customHeight="1">
      <c r="A262" s="290" t="s">
        <v>84</v>
      </c>
      <c r="B262" s="165" t="s">
        <v>301</v>
      </c>
      <c r="C262" s="166">
        <v>5000</v>
      </c>
      <c r="D262" s="167">
        <f aca="true" t="shared" si="36" ref="D262:E264">G262+J262+M262+P262</f>
        <v>5000</v>
      </c>
      <c r="E262" s="167">
        <f t="shared" si="36"/>
        <v>8192</v>
      </c>
      <c r="F262" s="168">
        <f t="shared" si="34"/>
        <v>163.84</v>
      </c>
      <c r="G262" s="169">
        <v>5000</v>
      </c>
      <c r="H262" s="170">
        <v>8192</v>
      </c>
      <c r="I262" s="168">
        <f t="shared" si="35"/>
        <v>163.84</v>
      </c>
      <c r="J262" s="169"/>
      <c r="K262" s="170"/>
      <c r="L262" s="172"/>
      <c r="M262" s="169"/>
      <c r="N262" s="170"/>
      <c r="O262" s="172"/>
      <c r="P262" s="169"/>
      <c r="Q262" s="170"/>
      <c r="R262" s="172"/>
    </row>
    <row r="263" spans="1:18" ht="27" customHeight="1">
      <c r="A263" s="336" t="s">
        <v>30</v>
      </c>
      <c r="B263" s="90" t="s">
        <v>302</v>
      </c>
      <c r="C263" s="140">
        <v>195600</v>
      </c>
      <c r="D263" s="92">
        <f t="shared" si="36"/>
        <v>195600</v>
      </c>
      <c r="E263" s="92">
        <f t="shared" si="36"/>
        <v>167052</v>
      </c>
      <c r="F263" s="126">
        <f t="shared" si="34"/>
        <v>85.40490797546012</v>
      </c>
      <c r="G263" s="127">
        <v>195600</v>
      </c>
      <c r="H263" s="123">
        <v>167052</v>
      </c>
      <c r="I263" s="126">
        <f t="shared" si="35"/>
        <v>85.40490797546012</v>
      </c>
      <c r="J263" s="127"/>
      <c r="K263" s="123"/>
      <c r="L263" s="129"/>
      <c r="M263" s="127"/>
      <c r="N263" s="123"/>
      <c r="O263" s="129"/>
      <c r="P263" s="127"/>
      <c r="Q263" s="123"/>
      <c r="R263" s="129"/>
    </row>
    <row r="264" spans="1:18" s="141" customFormat="1" ht="37.5" customHeight="1">
      <c r="A264" s="336" t="s">
        <v>237</v>
      </c>
      <c r="B264" s="90" t="s">
        <v>281</v>
      </c>
      <c r="C264" s="140">
        <v>469000</v>
      </c>
      <c r="D264" s="92">
        <f t="shared" si="36"/>
        <v>900000</v>
      </c>
      <c r="E264" s="92">
        <f t="shared" si="36"/>
        <v>900000</v>
      </c>
      <c r="F264" s="126">
        <f t="shared" si="34"/>
        <v>100</v>
      </c>
      <c r="G264" s="127">
        <f>469000+431000</f>
        <v>900000</v>
      </c>
      <c r="H264" s="123">
        <v>900000</v>
      </c>
      <c r="I264" s="126">
        <f t="shared" si="35"/>
        <v>100</v>
      </c>
      <c r="J264" s="127"/>
      <c r="K264" s="123"/>
      <c r="L264" s="129"/>
      <c r="M264" s="127"/>
      <c r="N264" s="123"/>
      <c r="O264" s="129"/>
      <c r="P264" s="127"/>
      <c r="Q264" s="123"/>
      <c r="R264" s="129"/>
    </row>
    <row r="265" spans="1:18" s="141" customFormat="1" ht="74.25" customHeight="1" thickBot="1">
      <c r="A265" s="336" t="s">
        <v>63</v>
      </c>
      <c r="B265" s="196" t="s">
        <v>64</v>
      </c>
      <c r="C265" s="140">
        <v>16000</v>
      </c>
      <c r="D265" s="92">
        <f>P265</f>
        <v>16500</v>
      </c>
      <c r="E265" s="92">
        <f>Q265</f>
        <v>16500</v>
      </c>
      <c r="F265" s="126">
        <f t="shared" si="34"/>
        <v>100</v>
      </c>
      <c r="G265" s="127"/>
      <c r="H265" s="123" t="s">
        <v>303</v>
      </c>
      <c r="I265" s="126"/>
      <c r="J265" s="127"/>
      <c r="K265" s="123"/>
      <c r="L265" s="129"/>
      <c r="M265" s="127"/>
      <c r="N265" s="123"/>
      <c r="O265" s="129"/>
      <c r="P265" s="127">
        <f>16000+500</f>
        <v>16500</v>
      </c>
      <c r="Q265" s="123">
        <v>16500</v>
      </c>
      <c r="R265" s="129"/>
    </row>
    <row r="266" spans="1:18" ht="42.75" customHeight="1" thickBot="1" thickTop="1">
      <c r="A266" s="329" t="s">
        <v>304</v>
      </c>
      <c r="B266" s="177" t="s">
        <v>305</v>
      </c>
      <c r="C266" s="245">
        <f>C267+C269+C271+C273+C275</f>
        <v>1539920</v>
      </c>
      <c r="D266" s="68">
        <f>D267+D269+D271+D273+D275</f>
        <v>1745030</v>
      </c>
      <c r="E266" s="68">
        <f>E267+E269+E271+E273+E275</f>
        <v>1423704</v>
      </c>
      <c r="F266" s="105">
        <f t="shared" si="34"/>
        <v>81.58621914809487</v>
      </c>
      <c r="G266" s="236">
        <f>G267+G269+G271+G273+G275</f>
        <v>906293</v>
      </c>
      <c r="H266" s="68">
        <f>H267+H269+H271+H273+H275</f>
        <v>656137</v>
      </c>
      <c r="I266" s="105">
        <f t="shared" si="35"/>
        <v>72.39788898292274</v>
      </c>
      <c r="J266" s="106"/>
      <c r="K266" s="103"/>
      <c r="L266" s="363"/>
      <c r="M266" s="236">
        <f>M269+M267+M271+M273+M275</f>
        <v>712737</v>
      </c>
      <c r="N266" s="68">
        <f>N269+N267+N271+N273+N275</f>
        <v>641567</v>
      </c>
      <c r="O266" s="105">
        <f>N266/M266*100</f>
        <v>90.01454954632635</v>
      </c>
      <c r="P266" s="236">
        <f>P267+P271+P273</f>
        <v>126000</v>
      </c>
      <c r="Q266" s="68">
        <f>Q267+Q271+Q273</f>
        <v>126000</v>
      </c>
      <c r="R266" s="105">
        <f>Q266/P266*100</f>
        <v>100</v>
      </c>
    </row>
    <row r="267" spans="1:18" ht="18" customHeight="1" thickTop="1">
      <c r="A267" s="334" t="s">
        <v>306</v>
      </c>
      <c r="B267" s="335" t="s">
        <v>307</v>
      </c>
      <c r="C267" s="180">
        <f>C268</f>
        <v>1200</v>
      </c>
      <c r="D267" s="181">
        <f>D268</f>
        <v>1200</v>
      </c>
      <c r="E267" s="181">
        <f>E268</f>
        <v>900</v>
      </c>
      <c r="F267" s="237">
        <f t="shared" si="34"/>
        <v>75</v>
      </c>
      <c r="G267" s="184">
        <f>G268</f>
        <v>1200</v>
      </c>
      <c r="H267" s="185">
        <f>H268</f>
        <v>900</v>
      </c>
      <c r="I267" s="182">
        <f t="shared" si="35"/>
        <v>75</v>
      </c>
      <c r="J267" s="184"/>
      <c r="K267" s="185"/>
      <c r="L267" s="275"/>
      <c r="M267" s="184"/>
      <c r="N267" s="185"/>
      <c r="O267" s="182"/>
      <c r="P267" s="184"/>
      <c r="Q267" s="185"/>
      <c r="R267" s="182"/>
    </row>
    <row r="268" spans="1:18" ht="60.75" customHeight="1">
      <c r="A268" s="341" t="s">
        <v>55</v>
      </c>
      <c r="B268" s="364" t="s">
        <v>56</v>
      </c>
      <c r="C268" s="222">
        <v>1200</v>
      </c>
      <c r="D268" s="223">
        <f aca="true" t="shared" si="37" ref="D268:E270">G268+J268+M268+P268</f>
        <v>1200</v>
      </c>
      <c r="E268" s="223">
        <f t="shared" si="37"/>
        <v>900</v>
      </c>
      <c r="F268" s="224">
        <f t="shared" si="34"/>
        <v>75</v>
      </c>
      <c r="G268" s="225">
        <v>1200</v>
      </c>
      <c r="H268" s="226">
        <v>900</v>
      </c>
      <c r="I268" s="174"/>
      <c r="J268" s="225"/>
      <c r="K268" s="226"/>
      <c r="L268" s="249"/>
      <c r="M268" s="225"/>
      <c r="N268" s="226"/>
      <c r="O268" s="174"/>
      <c r="P268" s="225"/>
      <c r="Q268" s="226"/>
      <c r="R268" s="174"/>
    </row>
    <row r="269" spans="1:18" s="324" customFormat="1" ht="39" customHeight="1">
      <c r="A269" s="303" t="s">
        <v>308</v>
      </c>
      <c r="B269" s="337" t="s">
        <v>309</v>
      </c>
      <c r="C269" s="132"/>
      <c r="D269" s="133">
        <f t="shared" si="37"/>
        <v>82852</v>
      </c>
      <c r="E269" s="181">
        <f t="shared" si="37"/>
        <v>57466</v>
      </c>
      <c r="F269" s="163">
        <f t="shared" si="34"/>
        <v>69.35982233380003</v>
      </c>
      <c r="G269" s="135"/>
      <c r="H269" s="136"/>
      <c r="I269" s="174"/>
      <c r="J269" s="135"/>
      <c r="K269" s="136"/>
      <c r="L269" s="139"/>
      <c r="M269" s="135">
        <f>M270</f>
        <v>82852</v>
      </c>
      <c r="N269" s="136">
        <f>N270</f>
        <v>57466</v>
      </c>
      <c r="O269" s="308">
        <f>N269/M269*100</f>
        <v>69.35982233380003</v>
      </c>
      <c r="P269" s="135"/>
      <c r="Q269" s="136"/>
      <c r="R269" s="134"/>
    </row>
    <row r="270" spans="1:18" ht="51.75" customHeight="1">
      <c r="A270" s="340" t="s">
        <v>275</v>
      </c>
      <c r="B270" s="307" t="s">
        <v>276</v>
      </c>
      <c r="C270" s="188"/>
      <c r="D270" s="189">
        <f t="shared" si="37"/>
        <v>82852</v>
      </c>
      <c r="E270" s="189">
        <f t="shared" si="37"/>
        <v>57466</v>
      </c>
      <c r="F270" s="228">
        <f t="shared" si="34"/>
        <v>69.35982233380003</v>
      </c>
      <c r="G270" s="191"/>
      <c r="H270" s="192"/>
      <c r="I270" s="190"/>
      <c r="J270" s="191"/>
      <c r="K270" s="192"/>
      <c r="L270" s="275"/>
      <c r="M270" s="191">
        <v>82852</v>
      </c>
      <c r="N270" s="192">
        <v>57466</v>
      </c>
      <c r="O270" s="190"/>
      <c r="P270" s="191"/>
      <c r="Q270" s="192"/>
      <c r="R270" s="190"/>
    </row>
    <row r="271" spans="1:18" ht="27" customHeight="1">
      <c r="A271" s="303" t="s">
        <v>310</v>
      </c>
      <c r="B271" s="337" t="s">
        <v>311</v>
      </c>
      <c r="C271" s="132">
        <f>C272</f>
        <v>116000</v>
      </c>
      <c r="D271" s="133">
        <f>D272</f>
        <v>126000</v>
      </c>
      <c r="E271" s="133">
        <f>E272</f>
        <v>126000</v>
      </c>
      <c r="F271" s="163">
        <f t="shared" si="34"/>
        <v>100</v>
      </c>
      <c r="G271" s="225"/>
      <c r="H271" s="226"/>
      <c r="I271" s="174"/>
      <c r="J271" s="225"/>
      <c r="K271" s="226"/>
      <c r="L271" s="249"/>
      <c r="M271" s="225"/>
      <c r="N271" s="226"/>
      <c r="O271" s="249"/>
      <c r="P271" s="135">
        <f>P272</f>
        <v>126000</v>
      </c>
      <c r="Q271" s="136">
        <f>Q272</f>
        <v>126000</v>
      </c>
      <c r="R271" s="134">
        <f>Q271/P271*100</f>
        <v>100</v>
      </c>
    </row>
    <row r="272" spans="1:18" ht="76.5" customHeight="1">
      <c r="A272" s="341" t="s">
        <v>63</v>
      </c>
      <c r="B272" s="342" t="s">
        <v>312</v>
      </c>
      <c r="C272" s="222">
        <v>116000</v>
      </c>
      <c r="D272" s="223">
        <f>G272+J272+M272+P272</f>
        <v>126000</v>
      </c>
      <c r="E272" s="223">
        <f>H272+K272+N272+Q272</f>
        <v>126000</v>
      </c>
      <c r="F272" s="224">
        <f t="shared" si="34"/>
        <v>100</v>
      </c>
      <c r="G272" s="225"/>
      <c r="H272" s="226"/>
      <c r="I272" s="174"/>
      <c r="J272" s="225"/>
      <c r="K272" s="226"/>
      <c r="L272" s="249"/>
      <c r="M272" s="225"/>
      <c r="N272" s="226"/>
      <c r="O272" s="174"/>
      <c r="P272" s="225">
        <f>116000+10000</f>
        <v>126000</v>
      </c>
      <c r="Q272" s="226">
        <v>126000</v>
      </c>
      <c r="R272" s="174"/>
    </row>
    <row r="273" spans="1:18" ht="38.25" customHeight="1">
      <c r="A273" s="303" t="s">
        <v>313</v>
      </c>
      <c r="B273" s="337" t="s">
        <v>314</v>
      </c>
      <c r="C273" s="132">
        <f>C274</f>
        <v>83285</v>
      </c>
      <c r="D273" s="133">
        <f>D274</f>
        <v>83285</v>
      </c>
      <c r="E273" s="133">
        <f>E274</f>
        <v>69177</v>
      </c>
      <c r="F273" s="163">
        <f>E273/D273*100</f>
        <v>83.06057513357747</v>
      </c>
      <c r="G273" s="135"/>
      <c r="H273" s="136"/>
      <c r="I273" s="174"/>
      <c r="J273" s="135"/>
      <c r="K273" s="136"/>
      <c r="L273" s="139"/>
      <c r="M273" s="135">
        <f>M274</f>
        <v>83285</v>
      </c>
      <c r="N273" s="136">
        <f>N274</f>
        <v>69177</v>
      </c>
      <c r="O273" s="134">
        <f aca="true" t="shared" si="38" ref="O273:O303">N273/M273*100</f>
        <v>83.06057513357747</v>
      </c>
      <c r="P273" s="135"/>
      <c r="Q273" s="136"/>
      <c r="R273" s="139"/>
    </row>
    <row r="274" spans="1:18" ht="26.25" customHeight="1">
      <c r="A274" s="290" t="s">
        <v>30</v>
      </c>
      <c r="B274" s="309" t="s">
        <v>315</v>
      </c>
      <c r="C274" s="166">
        <v>83285</v>
      </c>
      <c r="D274" s="167">
        <f>G274+J274+M274+P274</f>
        <v>83285</v>
      </c>
      <c r="E274" s="167">
        <f>H274+K274+N274+Q274</f>
        <v>69177</v>
      </c>
      <c r="F274" s="218">
        <f>E274/D274*100</f>
        <v>83.06057513357747</v>
      </c>
      <c r="G274" s="169"/>
      <c r="H274" s="170"/>
      <c r="I274" s="168"/>
      <c r="J274" s="169"/>
      <c r="K274" s="170"/>
      <c r="L274" s="172"/>
      <c r="M274" s="169">
        <v>83285</v>
      </c>
      <c r="N274" s="170">
        <v>69177</v>
      </c>
      <c r="O274" s="168"/>
      <c r="P274" s="169"/>
      <c r="Q274" s="170"/>
      <c r="R274" s="172"/>
    </row>
    <row r="275" spans="1:18" s="235" customFormat="1" ht="18.75" customHeight="1">
      <c r="A275" s="303" t="s">
        <v>316</v>
      </c>
      <c r="B275" s="337" t="s">
        <v>17</v>
      </c>
      <c r="C275" s="132">
        <f>C276+C280</f>
        <v>1339435</v>
      </c>
      <c r="D275" s="133">
        <f>G275+M275</f>
        <v>1451693</v>
      </c>
      <c r="E275" s="133">
        <f>E277+E278+E281+E282+E284+E285</f>
        <v>1170161</v>
      </c>
      <c r="F275" s="163">
        <f>E275/D275*100</f>
        <v>80.60664341565331</v>
      </c>
      <c r="G275" s="135">
        <f>G277+G278+G284+G285</f>
        <v>905093</v>
      </c>
      <c r="H275" s="136">
        <f>H277+H278+H284+H285</f>
        <v>655237</v>
      </c>
      <c r="I275" s="134">
        <f>H275/G275*100</f>
        <v>72.39443902449804</v>
      </c>
      <c r="J275" s="135"/>
      <c r="K275" s="136"/>
      <c r="L275" s="139"/>
      <c r="M275" s="135">
        <f>M280</f>
        <v>546600</v>
      </c>
      <c r="N275" s="136">
        <f>SUM(N280)</f>
        <v>514924</v>
      </c>
      <c r="O275" s="134">
        <f t="shared" si="38"/>
        <v>94.20490303695573</v>
      </c>
      <c r="P275" s="135"/>
      <c r="Q275" s="136"/>
      <c r="R275" s="139"/>
    </row>
    <row r="276" spans="1:18" s="235" customFormat="1" ht="16.5" customHeight="1">
      <c r="A276" s="365"/>
      <c r="B276" s="366" t="s">
        <v>317</v>
      </c>
      <c r="C276" s="313">
        <f>SUM(C277:C278)</f>
        <v>942284</v>
      </c>
      <c r="D276" s="314">
        <f>SUM(D277:D278)</f>
        <v>856269</v>
      </c>
      <c r="E276" s="367">
        <f aca="true" t="shared" si="39" ref="E276:E282">H276+K276+N276+Q276</f>
        <v>633985</v>
      </c>
      <c r="F276" s="368">
        <f>E276/D276*100</f>
        <v>74.04040085533869</v>
      </c>
      <c r="G276" s="318">
        <f>SUM(G277:G278)</f>
        <v>856269</v>
      </c>
      <c r="H276" s="317">
        <f>SUM(H277:H278)</f>
        <v>633985</v>
      </c>
      <c r="I276" s="315">
        <f>H276/G276*100</f>
        <v>74.04040085533869</v>
      </c>
      <c r="J276" s="318"/>
      <c r="K276" s="317"/>
      <c r="L276" s="319"/>
      <c r="M276" s="338"/>
      <c r="N276" s="339"/>
      <c r="O276" s="302"/>
      <c r="P276" s="338"/>
      <c r="Q276" s="339"/>
      <c r="R276" s="369"/>
    </row>
    <row r="277" spans="1:18" s="141" customFormat="1" ht="36.75" customHeight="1">
      <c r="A277" s="336" t="s">
        <v>248</v>
      </c>
      <c r="B277" s="90" t="s">
        <v>249</v>
      </c>
      <c r="C277" s="140">
        <v>800901</v>
      </c>
      <c r="D277" s="92">
        <f>G277</f>
        <v>808699</v>
      </c>
      <c r="E277" s="92">
        <f t="shared" si="39"/>
        <v>598736</v>
      </c>
      <c r="F277" s="124"/>
      <c r="G277" s="127">
        <f>800901+7798</f>
        <v>808699</v>
      </c>
      <c r="H277" s="123">
        <v>598736</v>
      </c>
      <c r="I277" s="126">
        <f>H277/G277*100</f>
        <v>74.03694081481491</v>
      </c>
      <c r="J277" s="127"/>
      <c r="K277" s="123"/>
      <c r="L277" s="129"/>
      <c r="M277" s="127"/>
      <c r="N277" s="123"/>
      <c r="O277" s="126"/>
      <c r="P277" s="127"/>
      <c r="Q277" s="123"/>
      <c r="R277" s="129"/>
    </row>
    <row r="278" spans="1:18" s="141" customFormat="1" ht="39.75" customHeight="1">
      <c r="A278" s="336" t="s">
        <v>250</v>
      </c>
      <c r="B278" s="90" t="s">
        <v>249</v>
      </c>
      <c r="C278" s="140">
        <v>141383</v>
      </c>
      <c r="D278" s="92">
        <f>G278</f>
        <v>47570</v>
      </c>
      <c r="E278" s="92">
        <f t="shared" si="39"/>
        <v>35249</v>
      </c>
      <c r="F278" s="124"/>
      <c r="G278" s="127">
        <f>141383-93813</f>
        <v>47570</v>
      </c>
      <c r="H278" s="123">
        <v>35249</v>
      </c>
      <c r="I278" s="126">
        <f>H278/G278*100</f>
        <v>74.09922219886484</v>
      </c>
      <c r="J278" s="127"/>
      <c r="K278" s="123"/>
      <c r="L278" s="129"/>
      <c r="M278" s="127"/>
      <c r="N278" s="123"/>
      <c r="O278" s="126"/>
      <c r="P278" s="127"/>
      <c r="Q278" s="123"/>
      <c r="R278" s="129"/>
    </row>
    <row r="279" spans="1:18" s="141" customFormat="1" ht="4.5" customHeight="1">
      <c r="A279" s="336"/>
      <c r="B279" s="90"/>
      <c r="C279" s="140"/>
      <c r="D279" s="92"/>
      <c r="E279" s="92"/>
      <c r="F279" s="124"/>
      <c r="G279" s="370"/>
      <c r="H279" s="123"/>
      <c r="I279" s="126"/>
      <c r="J279" s="127"/>
      <c r="K279" s="123"/>
      <c r="L279" s="129"/>
      <c r="M279" s="127"/>
      <c r="N279" s="123"/>
      <c r="O279" s="126"/>
      <c r="P279" s="127"/>
      <c r="Q279" s="123"/>
      <c r="R279" s="129"/>
    </row>
    <row r="280" spans="1:18" s="373" customFormat="1" ht="24" customHeight="1">
      <c r="A280" s="371"/>
      <c r="B280" s="312" t="s">
        <v>318</v>
      </c>
      <c r="C280" s="313">
        <f>SUM(C281:C282)</f>
        <v>397151</v>
      </c>
      <c r="D280" s="314">
        <f>SUM(D281:D282)</f>
        <v>546600</v>
      </c>
      <c r="E280" s="314">
        <f t="shared" si="39"/>
        <v>514924</v>
      </c>
      <c r="F280" s="372">
        <f>E280/D280*100</f>
        <v>94.20490303695573</v>
      </c>
      <c r="H280" s="317"/>
      <c r="I280" s="374"/>
      <c r="J280" s="318"/>
      <c r="K280" s="317"/>
      <c r="L280" s="319"/>
      <c r="M280" s="318">
        <f>SUM(M281:M282)</f>
        <v>546600</v>
      </c>
      <c r="N280" s="317">
        <f>SUM(N281:N282)</f>
        <v>514924</v>
      </c>
      <c r="O280" s="374">
        <f>N280/M280*100</f>
        <v>94.20490303695573</v>
      </c>
      <c r="P280" s="318"/>
      <c r="Q280" s="317"/>
      <c r="R280" s="319"/>
    </row>
    <row r="281" spans="1:18" s="283" customFormat="1" ht="38.25" customHeight="1">
      <c r="A281" s="336" t="s">
        <v>248</v>
      </c>
      <c r="B281" s="90" t="s">
        <v>249</v>
      </c>
      <c r="C281" s="140">
        <v>337578</v>
      </c>
      <c r="D281" s="92">
        <f>M281</f>
        <v>539366</v>
      </c>
      <c r="E281" s="92">
        <f t="shared" si="39"/>
        <v>508109</v>
      </c>
      <c r="F281" s="375">
        <f>E281/D281*100</f>
        <v>94.20486274626136</v>
      </c>
      <c r="G281" s="376"/>
      <c r="H281" s="123"/>
      <c r="I281" s="322"/>
      <c r="J281" s="127"/>
      <c r="K281" s="123"/>
      <c r="L281" s="129"/>
      <c r="M281" s="127">
        <f>337578+149449+52339</f>
        <v>539366</v>
      </c>
      <c r="N281" s="123">
        <v>508109</v>
      </c>
      <c r="O281" s="322">
        <f>N281/M281*100</f>
        <v>94.20486274626136</v>
      </c>
      <c r="P281" s="281"/>
      <c r="Q281" s="282"/>
      <c r="R281" s="151"/>
    </row>
    <row r="282" spans="1:18" s="141" customFormat="1" ht="38.25" customHeight="1">
      <c r="A282" s="340" t="s">
        <v>250</v>
      </c>
      <c r="B282" s="176" t="s">
        <v>249</v>
      </c>
      <c r="C282" s="188">
        <v>59573</v>
      </c>
      <c r="D282" s="189">
        <f>M282</f>
        <v>7234</v>
      </c>
      <c r="E282" s="189">
        <f t="shared" si="39"/>
        <v>6815</v>
      </c>
      <c r="F282" s="377">
        <f>E282/D282*100</f>
        <v>94.2079071053359</v>
      </c>
      <c r="G282" s="191"/>
      <c r="H282" s="192"/>
      <c r="I282" s="378"/>
      <c r="J282" s="191"/>
      <c r="K282" s="192"/>
      <c r="L282" s="275"/>
      <c r="M282" s="191">
        <f>59573-52339</f>
        <v>7234</v>
      </c>
      <c r="N282" s="192">
        <v>6815</v>
      </c>
      <c r="O282" s="378">
        <f>N282/M282*100</f>
        <v>94.2079071053359</v>
      </c>
      <c r="P282" s="191"/>
      <c r="Q282" s="192"/>
      <c r="R282" s="275"/>
    </row>
    <row r="283" spans="1:18" s="381" customFormat="1" ht="39" customHeight="1">
      <c r="A283" s="371"/>
      <c r="B283" s="379" t="s">
        <v>319</v>
      </c>
      <c r="C283" s="313"/>
      <c r="D283" s="314">
        <f>SUM(D284:D285)</f>
        <v>48824</v>
      </c>
      <c r="E283" s="314">
        <f>H283</f>
        <v>21252</v>
      </c>
      <c r="F283" s="374">
        <f>E283/D283*100</f>
        <v>43.52777322628216</v>
      </c>
      <c r="G283" s="318">
        <f>SUM(G284:G285)</f>
        <v>48824</v>
      </c>
      <c r="H283" s="317">
        <f>SUM(H284:H285)</f>
        <v>21252</v>
      </c>
      <c r="I283" s="374">
        <f>H283/G283*100</f>
        <v>43.52777322628216</v>
      </c>
      <c r="J283" s="318"/>
      <c r="K283" s="317"/>
      <c r="L283" s="380"/>
      <c r="M283" s="318"/>
      <c r="N283" s="317"/>
      <c r="O283" s="374"/>
      <c r="P283" s="318"/>
      <c r="Q283" s="317"/>
      <c r="R283" s="380"/>
    </row>
    <row r="284" spans="1:18" ht="37.5" customHeight="1">
      <c r="A284" s="336" t="s">
        <v>248</v>
      </c>
      <c r="B284" s="90" t="s">
        <v>249</v>
      </c>
      <c r="C284" s="140"/>
      <c r="D284" s="92">
        <f>G284</f>
        <v>41500</v>
      </c>
      <c r="E284" s="92">
        <f>H284</f>
        <v>18064</v>
      </c>
      <c r="F284" s="375"/>
      <c r="G284" s="127">
        <v>41500</v>
      </c>
      <c r="H284" s="123">
        <v>18064</v>
      </c>
      <c r="I284" s="322">
        <f>H284/G284*100</f>
        <v>43.5277108433735</v>
      </c>
      <c r="J284" s="127"/>
      <c r="K284" s="123"/>
      <c r="L284" s="129"/>
      <c r="M284" s="127"/>
      <c r="N284" s="123"/>
      <c r="O284" s="322"/>
      <c r="P284" s="127"/>
      <c r="Q284" s="123"/>
      <c r="R284" s="129"/>
    </row>
    <row r="285" spans="1:18" ht="39" customHeight="1" thickBot="1">
      <c r="A285" s="336" t="s">
        <v>250</v>
      </c>
      <c r="B285" s="90" t="s">
        <v>249</v>
      </c>
      <c r="C285" s="140"/>
      <c r="D285" s="92">
        <f>G285</f>
        <v>7324</v>
      </c>
      <c r="E285" s="92">
        <f>H285</f>
        <v>3188</v>
      </c>
      <c r="F285" s="375"/>
      <c r="G285" s="127">
        <v>7324</v>
      </c>
      <c r="H285" s="123">
        <v>3188</v>
      </c>
      <c r="I285" s="322">
        <f>H285/G285*100</f>
        <v>43.52812670671764</v>
      </c>
      <c r="J285" s="127"/>
      <c r="K285" s="123"/>
      <c r="L285" s="129"/>
      <c r="M285" s="127"/>
      <c r="N285" s="123"/>
      <c r="O285" s="322"/>
      <c r="P285" s="127"/>
      <c r="Q285" s="123"/>
      <c r="R285" s="129"/>
    </row>
    <row r="286" spans="1:18" ht="30" customHeight="1" thickBot="1" thickTop="1">
      <c r="A286" s="329" t="s">
        <v>320</v>
      </c>
      <c r="B286" s="101" t="s">
        <v>321</v>
      </c>
      <c r="C286" s="245">
        <f>C287+C293+C297+C300+C303+C308</f>
        <v>338200</v>
      </c>
      <c r="D286" s="68">
        <f>G286+J286+M286+P286</f>
        <v>2469785</v>
      </c>
      <c r="E286" s="68">
        <f>E287+E293+E297+E300+E303+E308+E311</f>
        <v>1989316</v>
      </c>
      <c r="F286" s="105">
        <f t="shared" si="34"/>
        <v>80.54612041129087</v>
      </c>
      <c r="G286" s="106">
        <f>G287+G293+G297+G300+G303+G308+G311</f>
        <v>973625</v>
      </c>
      <c r="H286" s="103">
        <f>H287+H293+H297+H300+H303+H308+H311</f>
        <v>855194</v>
      </c>
      <c r="I286" s="105">
        <f>H286/G286*100</f>
        <v>87.83607651816665</v>
      </c>
      <c r="J286" s="106"/>
      <c r="K286" s="103"/>
      <c r="L286" s="107"/>
      <c r="M286" s="106">
        <f>M287+M293+M297+M300+M303+M311</f>
        <v>1496160</v>
      </c>
      <c r="N286" s="103">
        <f>N287+N293+N297+N300+N303+N311</f>
        <v>1134122</v>
      </c>
      <c r="O286" s="108">
        <f t="shared" si="38"/>
        <v>75.80218693187895</v>
      </c>
      <c r="P286" s="106"/>
      <c r="Q286" s="103"/>
      <c r="R286" s="107"/>
    </row>
    <row r="287" spans="1:18" ht="26.25" customHeight="1" thickTop="1">
      <c r="A287" s="334" t="s">
        <v>322</v>
      </c>
      <c r="B287" s="335" t="s">
        <v>323</v>
      </c>
      <c r="C287" s="211">
        <f>SUM(C288:C292)</f>
        <v>58400</v>
      </c>
      <c r="D287" s="112">
        <f>SUM(D288:D292)</f>
        <v>94600</v>
      </c>
      <c r="E287" s="181">
        <f>SUM(E288:E292)</f>
        <v>91587</v>
      </c>
      <c r="F287" s="182">
        <f t="shared" si="34"/>
        <v>96.81501057082453</v>
      </c>
      <c r="G287" s="184"/>
      <c r="H287" s="185"/>
      <c r="I287" s="190"/>
      <c r="J287" s="184"/>
      <c r="K287" s="185"/>
      <c r="L287" s="273"/>
      <c r="M287" s="211">
        <f>SUM(M288:M292)</f>
        <v>94600</v>
      </c>
      <c r="N287" s="112">
        <f>SUM(N288:N292)</f>
        <v>91587</v>
      </c>
      <c r="O287" s="273">
        <f t="shared" si="38"/>
        <v>96.81501057082453</v>
      </c>
      <c r="P287" s="184"/>
      <c r="Q287" s="185"/>
      <c r="R287" s="273"/>
    </row>
    <row r="288" spans="1:18" s="141" customFormat="1" ht="18" customHeight="1">
      <c r="A288" s="290" t="s">
        <v>53</v>
      </c>
      <c r="B288" s="309" t="s">
        <v>220</v>
      </c>
      <c r="C288" s="166">
        <v>50000</v>
      </c>
      <c r="D288" s="167">
        <f aca="true" t="shared" si="40" ref="D288:E292">G288+J288+M288+P288</f>
        <v>62000</v>
      </c>
      <c r="E288" s="167">
        <f t="shared" si="40"/>
        <v>56794</v>
      </c>
      <c r="F288" s="168">
        <f t="shared" si="34"/>
        <v>91.60322580645162</v>
      </c>
      <c r="G288" s="169"/>
      <c r="H288" s="170"/>
      <c r="I288" s="168"/>
      <c r="J288" s="169"/>
      <c r="K288" s="170"/>
      <c r="L288" s="172"/>
      <c r="M288" s="169">
        <f>50000+12000</f>
        <v>62000</v>
      </c>
      <c r="N288" s="170">
        <v>56794</v>
      </c>
      <c r="O288" s="168">
        <f t="shared" si="38"/>
        <v>91.60322580645162</v>
      </c>
      <c r="P288" s="169"/>
      <c r="Q288" s="170"/>
      <c r="R288" s="172"/>
    </row>
    <row r="289" spans="1:18" s="141" customFormat="1" ht="64.5" customHeight="1">
      <c r="A289" s="336" t="s">
        <v>55</v>
      </c>
      <c r="B289" s="90" t="s">
        <v>56</v>
      </c>
      <c r="C289" s="140">
        <v>2000</v>
      </c>
      <c r="D289" s="92">
        <f t="shared" si="40"/>
        <v>2000</v>
      </c>
      <c r="E289" s="92">
        <f t="shared" si="40"/>
        <v>1457</v>
      </c>
      <c r="F289" s="126">
        <f t="shared" si="34"/>
        <v>72.85000000000001</v>
      </c>
      <c r="G289" s="127"/>
      <c r="H289" s="123"/>
      <c r="I289" s="126"/>
      <c r="J289" s="127"/>
      <c r="K289" s="123"/>
      <c r="L289" s="129"/>
      <c r="M289" s="127">
        <v>2000</v>
      </c>
      <c r="N289" s="123">
        <v>1457</v>
      </c>
      <c r="O289" s="126">
        <f t="shared" si="38"/>
        <v>72.85000000000001</v>
      </c>
      <c r="P289" s="127"/>
      <c r="Q289" s="123"/>
      <c r="R289" s="129"/>
    </row>
    <row r="290" spans="1:18" s="141" customFormat="1" ht="14.25" customHeight="1">
      <c r="A290" s="336" t="s">
        <v>84</v>
      </c>
      <c r="B290" s="121" t="s">
        <v>105</v>
      </c>
      <c r="C290" s="140">
        <v>6000</v>
      </c>
      <c r="D290" s="92">
        <f t="shared" si="40"/>
        <v>28000</v>
      </c>
      <c r="E290" s="92">
        <f t="shared" si="40"/>
        <v>31014</v>
      </c>
      <c r="F290" s="126">
        <f t="shared" si="34"/>
        <v>110.76428571428572</v>
      </c>
      <c r="G290" s="127"/>
      <c r="H290" s="123"/>
      <c r="I290" s="126"/>
      <c r="J290" s="127"/>
      <c r="K290" s="123"/>
      <c r="L290" s="129"/>
      <c r="M290" s="127">
        <f>6000+10000+12000</f>
        <v>28000</v>
      </c>
      <c r="N290" s="123">
        <v>31014</v>
      </c>
      <c r="O290" s="126">
        <f t="shared" si="38"/>
        <v>110.76428571428572</v>
      </c>
      <c r="P290" s="127"/>
      <c r="Q290" s="123"/>
      <c r="R290" s="129"/>
    </row>
    <row r="291" spans="1:18" s="141" customFormat="1" ht="14.25" customHeight="1">
      <c r="A291" s="336" t="s">
        <v>121</v>
      </c>
      <c r="B291" s="121" t="s">
        <v>122</v>
      </c>
      <c r="C291" s="140">
        <v>200</v>
      </c>
      <c r="D291" s="92">
        <f t="shared" si="40"/>
        <v>200</v>
      </c>
      <c r="E291" s="92">
        <f t="shared" si="40"/>
        <v>177</v>
      </c>
      <c r="F291" s="126">
        <f t="shared" si="34"/>
        <v>88.5</v>
      </c>
      <c r="G291" s="127"/>
      <c r="H291" s="123"/>
      <c r="I291" s="126"/>
      <c r="J291" s="127"/>
      <c r="K291" s="123"/>
      <c r="L291" s="129"/>
      <c r="M291" s="127">
        <v>200</v>
      </c>
      <c r="N291" s="123">
        <v>177</v>
      </c>
      <c r="O291" s="126">
        <f t="shared" si="38"/>
        <v>88.5</v>
      </c>
      <c r="P291" s="127"/>
      <c r="Q291" s="123"/>
      <c r="R291" s="129"/>
    </row>
    <row r="292" spans="1:18" ht="14.25" customHeight="1">
      <c r="A292" s="340" t="s">
        <v>30</v>
      </c>
      <c r="B292" s="176" t="s">
        <v>41</v>
      </c>
      <c r="C292" s="188">
        <v>200</v>
      </c>
      <c r="D292" s="189">
        <f t="shared" si="40"/>
        <v>2400</v>
      </c>
      <c r="E292" s="189">
        <f t="shared" si="40"/>
        <v>2145</v>
      </c>
      <c r="F292" s="190">
        <f t="shared" si="34"/>
        <v>89.375</v>
      </c>
      <c r="G292" s="191"/>
      <c r="H292" s="192"/>
      <c r="I292" s="190"/>
      <c r="J292" s="191"/>
      <c r="K292" s="192"/>
      <c r="L292" s="275"/>
      <c r="M292" s="191">
        <f>200+2200</f>
        <v>2400</v>
      </c>
      <c r="N292" s="192">
        <v>2145</v>
      </c>
      <c r="O292" s="190">
        <f t="shared" si="38"/>
        <v>89.375</v>
      </c>
      <c r="P292" s="191"/>
      <c r="Q292" s="192"/>
      <c r="R292" s="275"/>
    </row>
    <row r="293" spans="1:18" ht="29.25" customHeight="1">
      <c r="A293" s="303" t="s">
        <v>324</v>
      </c>
      <c r="B293" s="337" t="s">
        <v>325</v>
      </c>
      <c r="C293" s="132">
        <f>C294</f>
        <v>2300</v>
      </c>
      <c r="D293" s="133">
        <f>SUM(D294:D296)</f>
        <v>8810</v>
      </c>
      <c r="E293" s="133">
        <f>SUM(E294:E296)</f>
        <v>10085</v>
      </c>
      <c r="F293" s="163">
        <f t="shared" si="34"/>
        <v>114.472190692395</v>
      </c>
      <c r="G293" s="135"/>
      <c r="H293" s="136"/>
      <c r="I293" s="174"/>
      <c r="J293" s="135"/>
      <c r="K293" s="136"/>
      <c r="L293" s="249"/>
      <c r="M293" s="135">
        <f>SUM(M294:M296)</f>
        <v>8810</v>
      </c>
      <c r="N293" s="136">
        <f>SUM(N294:N296)</f>
        <v>10085</v>
      </c>
      <c r="O293" s="134">
        <f t="shared" si="38"/>
        <v>114.472190692395</v>
      </c>
      <c r="P293" s="135"/>
      <c r="Q293" s="136"/>
      <c r="R293" s="174"/>
    </row>
    <row r="294" spans="1:18" s="141" customFormat="1" ht="62.25" customHeight="1">
      <c r="A294" s="290" t="s">
        <v>55</v>
      </c>
      <c r="B294" s="165" t="s">
        <v>56</v>
      </c>
      <c r="C294" s="166">
        <v>2300</v>
      </c>
      <c r="D294" s="167">
        <f aca="true" t="shared" si="41" ref="D294:E296">G294+J294+M294+P294</f>
        <v>2300</v>
      </c>
      <c r="E294" s="167">
        <f t="shared" si="41"/>
        <v>3565</v>
      </c>
      <c r="F294" s="168">
        <f t="shared" si="34"/>
        <v>155</v>
      </c>
      <c r="G294" s="169"/>
      <c r="H294" s="170"/>
      <c r="I294" s="168"/>
      <c r="J294" s="169"/>
      <c r="K294" s="170"/>
      <c r="L294" s="172"/>
      <c r="M294" s="169">
        <v>2300</v>
      </c>
      <c r="N294" s="170">
        <v>3565</v>
      </c>
      <c r="O294" s="168">
        <f t="shared" si="38"/>
        <v>155</v>
      </c>
      <c r="P294" s="169"/>
      <c r="Q294" s="170"/>
      <c r="R294" s="172"/>
    </row>
    <row r="295" spans="1:18" s="141" customFormat="1" ht="15.75" customHeight="1">
      <c r="A295" s="336" t="s">
        <v>121</v>
      </c>
      <c r="B295" s="121" t="s">
        <v>122</v>
      </c>
      <c r="C295" s="140"/>
      <c r="D295" s="92"/>
      <c r="E295" s="92">
        <f>N295</f>
        <v>8</v>
      </c>
      <c r="F295" s="126"/>
      <c r="G295" s="127"/>
      <c r="H295" s="123"/>
      <c r="I295" s="126"/>
      <c r="J295" s="127"/>
      <c r="K295" s="123"/>
      <c r="L295" s="129"/>
      <c r="M295" s="127"/>
      <c r="N295" s="123">
        <v>8</v>
      </c>
      <c r="O295" s="126"/>
      <c r="P295" s="127"/>
      <c r="Q295" s="123"/>
      <c r="R295" s="129"/>
    </row>
    <row r="296" spans="1:18" s="141" customFormat="1" ht="17.25" customHeight="1">
      <c r="A296" s="340" t="s">
        <v>30</v>
      </c>
      <c r="B296" s="307" t="s">
        <v>41</v>
      </c>
      <c r="C296" s="188"/>
      <c r="D296" s="189">
        <f t="shared" si="41"/>
        <v>6510</v>
      </c>
      <c r="E296" s="189">
        <f t="shared" si="41"/>
        <v>6512</v>
      </c>
      <c r="F296" s="190">
        <f t="shared" si="34"/>
        <v>100.03072196620583</v>
      </c>
      <c r="G296" s="191"/>
      <c r="H296" s="192"/>
      <c r="I296" s="190"/>
      <c r="J296" s="191"/>
      <c r="K296" s="192"/>
      <c r="L296" s="275"/>
      <c r="M296" s="191">
        <v>6510</v>
      </c>
      <c r="N296" s="192">
        <v>6512</v>
      </c>
      <c r="O296" s="190">
        <f>N296/M296*100</f>
        <v>100.03072196620583</v>
      </c>
      <c r="P296" s="191"/>
      <c r="Q296" s="192"/>
      <c r="R296" s="275"/>
    </row>
    <row r="297" spans="1:18" ht="28.5" customHeight="1">
      <c r="A297" s="303" t="s">
        <v>326</v>
      </c>
      <c r="B297" s="131" t="s">
        <v>327</v>
      </c>
      <c r="C297" s="132">
        <f>SUM(C298:C299)</f>
        <v>20500</v>
      </c>
      <c r="D297" s="133">
        <f>SUM(D298:D299)</f>
        <v>24000</v>
      </c>
      <c r="E297" s="133">
        <f>SUM(E298:E299)</f>
        <v>20780</v>
      </c>
      <c r="F297" s="163">
        <f t="shared" si="34"/>
        <v>86.58333333333333</v>
      </c>
      <c r="G297" s="135"/>
      <c r="H297" s="136"/>
      <c r="I297" s="174"/>
      <c r="J297" s="135"/>
      <c r="K297" s="136"/>
      <c r="L297" s="174"/>
      <c r="M297" s="135">
        <f>M298+M299</f>
        <v>24000</v>
      </c>
      <c r="N297" s="136">
        <f>N298+N299</f>
        <v>20780</v>
      </c>
      <c r="O297" s="134">
        <f t="shared" si="38"/>
        <v>86.58333333333333</v>
      </c>
      <c r="P297" s="135"/>
      <c r="Q297" s="136"/>
      <c r="R297" s="249"/>
    </row>
    <row r="298" spans="1:18" s="141" customFormat="1" ht="66" customHeight="1">
      <c r="A298" s="290" t="s">
        <v>55</v>
      </c>
      <c r="B298" s="90" t="s">
        <v>56</v>
      </c>
      <c r="C298" s="166">
        <v>12000</v>
      </c>
      <c r="D298" s="167">
        <f>G298+J298+M298+P298</f>
        <v>12000</v>
      </c>
      <c r="E298" s="167">
        <f>H298+K298+N298+Q298</f>
        <v>8255</v>
      </c>
      <c r="F298" s="168">
        <f t="shared" si="34"/>
        <v>68.79166666666666</v>
      </c>
      <c r="G298" s="169"/>
      <c r="H298" s="170"/>
      <c r="I298" s="168"/>
      <c r="J298" s="169"/>
      <c r="K298" s="170"/>
      <c r="L298" s="172"/>
      <c r="M298" s="169">
        <v>12000</v>
      </c>
      <c r="N298" s="170">
        <v>8255</v>
      </c>
      <c r="O298" s="168">
        <f t="shared" si="38"/>
        <v>68.79166666666666</v>
      </c>
      <c r="P298" s="169"/>
      <c r="Q298" s="170"/>
      <c r="R298" s="172"/>
    </row>
    <row r="299" spans="1:18" ht="15" customHeight="1">
      <c r="A299" s="340" t="s">
        <v>84</v>
      </c>
      <c r="B299" s="307" t="s">
        <v>105</v>
      </c>
      <c r="C299" s="188">
        <v>8500</v>
      </c>
      <c r="D299" s="189">
        <f>G299+J299+M299+P299</f>
        <v>12000</v>
      </c>
      <c r="E299" s="189">
        <f>H299+K299+N299+Q299</f>
        <v>12525</v>
      </c>
      <c r="F299" s="228">
        <f t="shared" si="34"/>
        <v>104.375</v>
      </c>
      <c r="G299" s="191"/>
      <c r="H299" s="192"/>
      <c r="I299" s="190"/>
      <c r="J299" s="191"/>
      <c r="K299" s="192"/>
      <c r="L299" s="275"/>
      <c r="M299" s="191">
        <f>8500+3500</f>
        <v>12000</v>
      </c>
      <c r="N299" s="192">
        <v>12525</v>
      </c>
      <c r="O299" s="190">
        <f t="shared" si="38"/>
        <v>104.375</v>
      </c>
      <c r="P299" s="191"/>
      <c r="Q299" s="192"/>
      <c r="R299" s="275"/>
    </row>
    <row r="300" spans="1:18" ht="18.75" customHeight="1">
      <c r="A300" s="303" t="s">
        <v>328</v>
      </c>
      <c r="B300" s="337" t="s">
        <v>329</v>
      </c>
      <c r="C300" s="132">
        <f>C301</f>
        <v>153000</v>
      </c>
      <c r="D300" s="133">
        <f>SUM(D301:D302)</f>
        <v>204000</v>
      </c>
      <c r="E300" s="133">
        <f>SUM(E301:E302)</f>
        <v>207177</v>
      </c>
      <c r="F300" s="163">
        <f t="shared" si="34"/>
        <v>101.55735294117648</v>
      </c>
      <c r="G300" s="135"/>
      <c r="H300" s="136"/>
      <c r="I300" s="174"/>
      <c r="J300" s="135"/>
      <c r="K300" s="136"/>
      <c r="L300" s="139"/>
      <c r="M300" s="135">
        <f>SUM(M301:M302)</f>
        <v>204000</v>
      </c>
      <c r="N300" s="136">
        <f>SUM(N301:N302)</f>
        <v>207177</v>
      </c>
      <c r="O300" s="134">
        <f t="shared" si="38"/>
        <v>101.55735294117648</v>
      </c>
      <c r="P300" s="135"/>
      <c r="Q300" s="136"/>
      <c r="R300" s="139"/>
    </row>
    <row r="301" spans="1:18" s="141" customFormat="1" ht="70.5" customHeight="1">
      <c r="A301" s="290" t="s">
        <v>55</v>
      </c>
      <c r="B301" s="90" t="s">
        <v>56</v>
      </c>
      <c r="C301" s="166">
        <v>153000</v>
      </c>
      <c r="D301" s="167">
        <f aca="true" t="shared" si="42" ref="D301:E304">G301+J301+M301+P301</f>
        <v>203700</v>
      </c>
      <c r="E301" s="167">
        <f t="shared" si="42"/>
        <v>207054</v>
      </c>
      <c r="F301" s="168">
        <f t="shared" si="34"/>
        <v>101.64653902798233</v>
      </c>
      <c r="G301" s="169"/>
      <c r="H301" s="170"/>
      <c r="I301" s="168"/>
      <c r="J301" s="169"/>
      <c r="K301" s="170"/>
      <c r="L301" s="172"/>
      <c r="M301" s="169">
        <f>153000+28000+22700</f>
        <v>203700</v>
      </c>
      <c r="N301" s="170">
        <v>207054</v>
      </c>
      <c r="O301" s="168">
        <f t="shared" si="38"/>
        <v>101.64653902798233</v>
      </c>
      <c r="P301" s="169"/>
      <c r="Q301" s="170"/>
      <c r="R301" s="172"/>
    </row>
    <row r="302" spans="1:18" s="141" customFormat="1" ht="24.75" customHeight="1">
      <c r="A302" s="340" t="s">
        <v>216</v>
      </c>
      <c r="B302" s="307" t="s">
        <v>330</v>
      </c>
      <c r="C302" s="188"/>
      <c r="D302" s="189">
        <f t="shared" si="42"/>
        <v>300</v>
      </c>
      <c r="E302" s="189">
        <f t="shared" si="42"/>
        <v>123</v>
      </c>
      <c r="F302" s="228">
        <f>E302/D302*100</f>
        <v>41</v>
      </c>
      <c r="G302" s="191"/>
      <c r="H302" s="192"/>
      <c r="I302" s="190"/>
      <c r="J302" s="191"/>
      <c r="K302" s="192"/>
      <c r="L302" s="275"/>
      <c r="M302" s="191">
        <v>300</v>
      </c>
      <c r="N302" s="192">
        <v>123</v>
      </c>
      <c r="O302" s="190">
        <f>N302/M302*100</f>
        <v>41</v>
      </c>
      <c r="P302" s="191"/>
      <c r="Q302" s="192"/>
      <c r="R302" s="275"/>
    </row>
    <row r="303" spans="1:18" ht="23.25" customHeight="1">
      <c r="A303" s="303" t="s">
        <v>331</v>
      </c>
      <c r="B303" s="337" t="s">
        <v>332</v>
      </c>
      <c r="C303" s="132"/>
      <c r="D303" s="133">
        <f t="shared" si="42"/>
        <v>2007115</v>
      </c>
      <c r="E303" s="133">
        <f t="shared" si="42"/>
        <v>1534545</v>
      </c>
      <c r="F303" s="163">
        <f t="shared" si="34"/>
        <v>76.45526041108755</v>
      </c>
      <c r="G303" s="135">
        <f>SUM(G304:G304)</f>
        <v>854625</v>
      </c>
      <c r="H303" s="136">
        <f>SUM(H304:H304)</f>
        <v>742066</v>
      </c>
      <c r="I303" s="134">
        <f>H303/G303*100</f>
        <v>86.82942811174492</v>
      </c>
      <c r="J303" s="135"/>
      <c r="K303" s="136"/>
      <c r="L303" s="139"/>
      <c r="M303" s="135">
        <f>M306+M307</f>
        <v>1152490</v>
      </c>
      <c r="N303" s="136">
        <f>N306+N307</f>
        <v>792479</v>
      </c>
      <c r="O303" s="134">
        <f t="shared" si="38"/>
        <v>68.76233199420385</v>
      </c>
      <c r="P303" s="135"/>
      <c r="Q303" s="136"/>
      <c r="R303" s="139"/>
    </row>
    <row r="304" spans="1:18" s="141" customFormat="1" ht="33.75" customHeight="1">
      <c r="A304" s="164" t="s">
        <v>237</v>
      </c>
      <c r="B304" s="309" t="s">
        <v>333</v>
      </c>
      <c r="C304" s="166"/>
      <c r="D304" s="167">
        <f t="shared" si="42"/>
        <v>854625</v>
      </c>
      <c r="E304" s="167">
        <f t="shared" si="42"/>
        <v>742066</v>
      </c>
      <c r="F304" s="218">
        <f t="shared" si="34"/>
        <v>86.82942811174492</v>
      </c>
      <c r="G304" s="169">
        <f>501827+72528+280270</f>
        <v>854625</v>
      </c>
      <c r="H304" s="170">
        <v>742066</v>
      </c>
      <c r="I304" s="168">
        <f>H304/G304*100</f>
        <v>86.82942811174492</v>
      </c>
      <c r="J304" s="169"/>
      <c r="K304" s="170"/>
      <c r="L304" s="172"/>
      <c r="M304" s="169"/>
      <c r="N304" s="170"/>
      <c r="O304" s="168"/>
      <c r="P304" s="169"/>
      <c r="Q304" s="170"/>
      <c r="R304" s="172"/>
    </row>
    <row r="305" spans="1:18" s="373" customFormat="1" ht="30" customHeight="1">
      <c r="A305" s="311"/>
      <c r="B305" s="379" t="s">
        <v>334</v>
      </c>
      <c r="C305" s="313"/>
      <c r="D305" s="314">
        <f>SUM(D306:D307)</f>
        <v>1152490</v>
      </c>
      <c r="E305" s="314">
        <f>N305</f>
        <v>792479</v>
      </c>
      <c r="F305" s="368">
        <f t="shared" si="34"/>
        <v>68.76233199420385</v>
      </c>
      <c r="G305" s="318"/>
      <c r="H305" s="317"/>
      <c r="I305" s="374"/>
      <c r="J305" s="318"/>
      <c r="K305" s="317"/>
      <c r="L305" s="319"/>
      <c r="M305" s="318">
        <f>SUM(M306:M307)</f>
        <v>1152490</v>
      </c>
      <c r="N305" s="317">
        <f>SUM(N306:N307)</f>
        <v>792479</v>
      </c>
      <c r="O305" s="315">
        <f>N305/M305*100</f>
        <v>68.76233199420385</v>
      </c>
      <c r="P305" s="318"/>
      <c r="Q305" s="317"/>
      <c r="R305" s="319"/>
    </row>
    <row r="306" spans="1:18" s="141" customFormat="1" ht="63.75" customHeight="1">
      <c r="A306" s="120" t="s">
        <v>335</v>
      </c>
      <c r="B306" s="121" t="s">
        <v>336</v>
      </c>
      <c r="C306" s="140"/>
      <c r="D306" s="92">
        <f>M306</f>
        <v>784270</v>
      </c>
      <c r="E306" s="92">
        <f>N306</f>
        <v>539282</v>
      </c>
      <c r="F306" s="124">
        <f>E306/D306*100</f>
        <v>68.76228849758374</v>
      </c>
      <c r="G306" s="127"/>
      <c r="H306" s="123"/>
      <c r="I306" s="126"/>
      <c r="J306" s="127"/>
      <c r="K306" s="123"/>
      <c r="L306" s="129"/>
      <c r="M306" s="127">
        <v>784270</v>
      </c>
      <c r="N306" s="123">
        <v>539282</v>
      </c>
      <c r="O306" s="126">
        <f>N306/M306*100</f>
        <v>68.76228849758374</v>
      </c>
      <c r="P306" s="127"/>
      <c r="Q306" s="123"/>
      <c r="R306" s="129"/>
    </row>
    <row r="307" spans="1:18" s="141" customFormat="1" ht="62.25" customHeight="1">
      <c r="A307" s="175" t="s">
        <v>337</v>
      </c>
      <c r="B307" s="307" t="s">
        <v>336</v>
      </c>
      <c r="C307" s="188"/>
      <c r="D307" s="189">
        <f>M307</f>
        <v>368220</v>
      </c>
      <c r="E307" s="189">
        <f>N307</f>
        <v>253197</v>
      </c>
      <c r="F307" s="228">
        <f>E307/D307*100</f>
        <v>68.76242463744501</v>
      </c>
      <c r="G307" s="191"/>
      <c r="H307" s="192"/>
      <c r="I307" s="190"/>
      <c r="J307" s="191"/>
      <c r="K307" s="192"/>
      <c r="L307" s="275"/>
      <c r="M307" s="191">
        <v>368220</v>
      </c>
      <c r="N307" s="192">
        <v>253197</v>
      </c>
      <c r="O307" s="190">
        <f>N307/M307*100</f>
        <v>68.76242463744501</v>
      </c>
      <c r="P307" s="191"/>
      <c r="Q307" s="192"/>
      <c r="R307" s="275"/>
    </row>
    <row r="308" spans="1:18" ht="24">
      <c r="A308" s="303" t="s">
        <v>338</v>
      </c>
      <c r="B308" s="337" t="s">
        <v>339</v>
      </c>
      <c r="C308" s="132">
        <f>SUM(C309:C310)</f>
        <v>104000</v>
      </c>
      <c r="D308" s="133">
        <f>SUM(D309:D310)</f>
        <v>119000</v>
      </c>
      <c r="E308" s="133">
        <f>SUM(E309:E310)</f>
        <v>113128</v>
      </c>
      <c r="F308" s="163">
        <f t="shared" si="34"/>
        <v>95.0655462184874</v>
      </c>
      <c r="G308" s="135">
        <f>SUM(G309:G310)</f>
        <v>119000</v>
      </c>
      <c r="H308" s="136">
        <f>SUM(H309:H310)</f>
        <v>113128</v>
      </c>
      <c r="I308" s="134">
        <f>H308/G308*100</f>
        <v>95.0655462184874</v>
      </c>
      <c r="J308" s="135"/>
      <c r="K308" s="136"/>
      <c r="L308" s="139"/>
      <c r="M308" s="135"/>
      <c r="N308" s="136"/>
      <c r="O308" s="134"/>
      <c r="P308" s="135"/>
      <c r="Q308" s="136"/>
      <c r="R308" s="134"/>
    </row>
    <row r="309" spans="1:18" ht="13.5" customHeight="1">
      <c r="A309" s="290" t="s">
        <v>84</v>
      </c>
      <c r="B309" s="309" t="s">
        <v>105</v>
      </c>
      <c r="C309" s="166">
        <v>100000</v>
      </c>
      <c r="D309" s="167">
        <f>G309+J309+M309+P309</f>
        <v>115000</v>
      </c>
      <c r="E309" s="167">
        <f>H309+K309+N309+Q309</f>
        <v>109824</v>
      </c>
      <c r="F309" s="168">
        <f t="shared" si="34"/>
        <v>95.49913043478261</v>
      </c>
      <c r="G309" s="169">
        <f>100000+15000</f>
        <v>115000</v>
      </c>
      <c r="H309" s="170">
        <v>109824</v>
      </c>
      <c r="I309" s="168">
        <f>H309/G309*100</f>
        <v>95.49913043478261</v>
      </c>
      <c r="J309" s="169"/>
      <c r="K309" s="170"/>
      <c r="L309" s="172"/>
      <c r="M309" s="169"/>
      <c r="N309" s="170"/>
      <c r="O309" s="172"/>
      <c r="P309" s="169"/>
      <c r="Q309" s="170"/>
      <c r="R309" s="172"/>
    </row>
    <row r="310" spans="1:18" ht="14.25" customHeight="1">
      <c r="A310" s="336" t="s">
        <v>30</v>
      </c>
      <c r="B310" s="90" t="s">
        <v>31</v>
      </c>
      <c r="C310" s="140">
        <v>4000</v>
      </c>
      <c r="D310" s="92">
        <f>G310+J310+M310+P310</f>
        <v>4000</v>
      </c>
      <c r="E310" s="92">
        <f>H310+K310+N310+Q310</f>
        <v>3304</v>
      </c>
      <c r="F310" s="126">
        <f t="shared" si="34"/>
        <v>82.6</v>
      </c>
      <c r="G310" s="127">
        <v>4000</v>
      </c>
      <c r="H310" s="123">
        <v>3304</v>
      </c>
      <c r="I310" s="126">
        <f>H310/G310*100</f>
        <v>82.6</v>
      </c>
      <c r="J310" s="127"/>
      <c r="K310" s="123"/>
      <c r="L310" s="129"/>
      <c r="M310" s="127"/>
      <c r="N310" s="123"/>
      <c r="O310" s="129"/>
      <c r="P310" s="127"/>
      <c r="Q310" s="123"/>
      <c r="R310" s="129"/>
    </row>
    <row r="311" spans="1:18" ht="14.25" customHeight="1">
      <c r="A311" s="303" t="s">
        <v>340</v>
      </c>
      <c r="B311" s="131" t="s">
        <v>17</v>
      </c>
      <c r="C311" s="216"/>
      <c r="D311" s="133">
        <f>D312</f>
        <v>12260</v>
      </c>
      <c r="E311" s="133">
        <f>E312</f>
        <v>12014</v>
      </c>
      <c r="F311" s="163">
        <f t="shared" si="34"/>
        <v>97.99347471451875</v>
      </c>
      <c r="G311" s="265"/>
      <c r="H311" s="136"/>
      <c r="I311" s="382"/>
      <c r="J311" s="135"/>
      <c r="K311" s="136"/>
      <c r="L311" s="139"/>
      <c r="M311" s="265">
        <f>M312</f>
        <v>12260</v>
      </c>
      <c r="N311" s="136">
        <f>N312</f>
        <v>12014</v>
      </c>
      <c r="O311" s="139">
        <f>N311/M311*100</f>
        <v>97.99347471451875</v>
      </c>
      <c r="P311" s="135"/>
      <c r="Q311" s="136"/>
      <c r="R311" s="139"/>
    </row>
    <row r="312" spans="1:18" ht="80.25" customHeight="1" thickBot="1">
      <c r="A312" s="290" t="s">
        <v>155</v>
      </c>
      <c r="B312" s="165" t="s">
        <v>341</v>
      </c>
      <c r="C312" s="304"/>
      <c r="D312" s="167">
        <f>G312+M312</f>
        <v>12260</v>
      </c>
      <c r="E312" s="167">
        <f>N312</f>
        <v>12014</v>
      </c>
      <c r="F312" s="218"/>
      <c r="G312" s="266"/>
      <c r="H312" s="170"/>
      <c r="I312" s="383"/>
      <c r="J312" s="169"/>
      <c r="K312" s="170"/>
      <c r="L312" s="172"/>
      <c r="M312" s="266">
        <v>12260</v>
      </c>
      <c r="N312" s="170">
        <v>12014</v>
      </c>
      <c r="O312" s="172"/>
      <c r="P312" s="169"/>
      <c r="Q312" s="170"/>
      <c r="R312" s="172"/>
    </row>
    <row r="313" spans="1:18" ht="42" customHeight="1" thickBot="1" thickTop="1">
      <c r="A313" s="329" t="s">
        <v>342</v>
      </c>
      <c r="B313" s="177" t="s">
        <v>343</v>
      </c>
      <c r="C313" s="103">
        <f>C316+C318+C320</f>
        <v>20000</v>
      </c>
      <c r="D313" s="103">
        <f>D314+D316+D318+D320</f>
        <v>50300</v>
      </c>
      <c r="E313" s="103">
        <f>E314+E316+E318+E320</f>
        <v>185620</v>
      </c>
      <c r="F313" s="104">
        <f t="shared" si="34"/>
        <v>369.02584493041746</v>
      </c>
      <c r="G313" s="103">
        <f>G314+G316+G318+G320</f>
        <v>50000</v>
      </c>
      <c r="H313" s="103">
        <f>H314+H316+H318+H320</f>
        <v>185470</v>
      </c>
      <c r="I313" s="384">
        <f>H313/G313*100</f>
        <v>370.94</v>
      </c>
      <c r="J313" s="106"/>
      <c r="K313" s="103"/>
      <c r="L313" s="385"/>
      <c r="M313" s="386">
        <f>M316+M318+M320</f>
        <v>300</v>
      </c>
      <c r="N313" s="103">
        <f>N316+N318+N320</f>
        <v>150</v>
      </c>
      <c r="O313" s="108">
        <f>N313/M313*100</f>
        <v>50</v>
      </c>
      <c r="P313" s="106"/>
      <c r="Q313" s="103"/>
      <c r="R313" s="107"/>
    </row>
    <row r="314" spans="1:18" ht="25.5" customHeight="1" thickTop="1">
      <c r="A314" s="387" t="s">
        <v>344</v>
      </c>
      <c r="B314" s="210" t="s">
        <v>345</v>
      </c>
      <c r="C314" s="388"/>
      <c r="D314" s="113">
        <f>G314</f>
        <v>30000</v>
      </c>
      <c r="E314" s="113">
        <f>H314</f>
        <v>30000</v>
      </c>
      <c r="F314" s="389">
        <f>E314/D314*100</f>
        <v>100</v>
      </c>
      <c r="G314" s="115">
        <f>G315</f>
        <v>30000</v>
      </c>
      <c r="H314" s="113">
        <f>H315</f>
        <v>30000</v>
      </c>
      <c r="I314" s="390">
        <f>H314/G314*100</f>
        <v>100</v>
      </c>
      <c r="J314" s="117"/>
      <c r="K314" s="113"/>
      <c r="L314" s="391"/>
      <c r="M314" s="115"/>
      <c r="N314" s="113"/>
      <c r="O314" s="119"/>
      <c r="P314" s="117"/>
      <c r="Q314" s="113"/>
      <c r="R314" s="119"/>
    </row>
    <row r="315" spans="1:18" ht="65.25" customHeight="1">
      <c r="A315" s="336" t="s">
        <v>155</v>
      </c>
      <c r="B315" s="173" t="s">
        <v>346</v>
      </c>
      <c r="C315" s="370"/>
      <c r="D315" s="123">
        <f>G315</f>
        <v>30000</v>
      </c>
      <c r="E315" s="123">
        <f>H315</f>
        <v>30000</v>
      </c>
      <c r="F315" s="375"/>
      <c r="G315" s="125">
        <v>30000</v>
      </c>
      <c r="H315" s="123">
        <v>30000</v>
      </c>
      <c r="I315" s="392"/>
      <c r="J315" s="127"/>
      <c r="K315" s="123"/>
      <c r="L315" s="393"/>
      <c r="M315" s="125"/>
      <c r="N315" s="123"/>
      <c r="O315" s="129"/>
      <c r="P315" s="127"/>
      <c r="Q315" s="123"/>
      <c r="R315" s="129"/>
    </row>
    <row r="316" spans="1:18" ht="17.25" customHeight="1">
      <c r="A316" s="303" t="s">
        <v>347</v>
      </c>
      <c r="B316" s="131" t="s">
        <v>348</v>
      </c>
      <c r="C316" s="132"/>
      <c r="D316" s="133">
        <f>SUM(D317:D317)</f>
        <v>300</v>
      </c>
      <c r="E316" s="133">
        <f>SUM(E317:E317)</f>
        <v>150</v>
      </c>
      <c r="F316" s="163">
        <f>E316/D316*100</f>
        <v>50</v>
      </c>
      <c r="G316" s="135"/>
      <c r="H316" s="136"/>
      <c r="I316" s="174"/>
      <c r="J316" s="135"/>
      <c r="K316" s="136"/>
      <c r="L316" s="174"/>
      <c r="M316" s="136">
        <f>M317</f>
        <v>300</v>
      </c>
      <c r="N316" s="136">
        <f>N317</f>
        <v>150</v>
      </c>
      <c r="O316" s="139">
        <f>N316/M316*100</f>
        <v>50</v>
      </c>
      <c r="P316" s="135"/>
      <c r="Q316" s="136"/>
      <c r="R316" s="139"/>
    </row>
    <row r="317" spans="1:18" ht="17.25" customHeight="1">
      <c r="A317" s="120" t="s">
        <v>30</v>
      </c>
      <c r="B317" s="90" t="s">
        <v>31</v>
      </c>
      <c r="C317" s="140"/>
      <c r="D317" s="92">
        <f>G317+J317+M317</f>
        <v>300</v>
      </c>
      <c r="E317" s="92">
        <f>H317+K317+N317+Q317</f>
        <v>150</v>
      </c>
      <c r="F317" s="124"/>
      <c r="G317" s="127"/>
      <c r="H317" s="123"/>
      <c r="I317" s="126"/>
      <c r="J317" s="127"/>
      <c r="K317" s="123"/>
      <c r="L317" s="129"/>
      <c r="M317" s="127">
        <v>300</v>
      </c>
      <c r="N317" s="123">
        <v>150</v>
      </c>
      <c r="O317" s="129"/>
      <c r="P317" s="127"/>
      <c r="Q317" s="123"/>
      <c r="R317" s="129"/>
    </row>
    <row r="318" spans="1:18" ht="15.75" customHeight="1">
      <c r="A318" s="303" t="s">
        <v>349</v>
      </c>
      <c r="B318" s="131" t="s">
        <v>350</v>
      </c>
      <c r="C318" s="132">
        <f>SUM(C319:C319)</f>
        <v>20000</v>
      </c>
      <c r="D318" s="133">
        <f>SUM(D319:D319)</f>
        <v>20000</v>
      </c>
      <c r="E318" s="133">
        <f>SUM(E319:E319)</f>
        <v>12309</v>
      </c>
      <c r="F318" s="163">
        <f>E318/D318*100</f>
        <v>61.545</v>
      </c>
      <c r="G318" s="135">
        <f>G319</f>
        <v>20000</v>
      </c>
      <c r="H318" s="136">
        <f>H319</f>
        <v>12309</v>
      </c>
      <c r="I318" s="134">
        <f>H318/G318*100</f>
        <v>61.545</v>
      </c>
      <c r="J318" s="135"/>
      <c r="K318" s="136"/>
      <c r="L318" s="174"/>
      <c r="M318" s="135"/>
      <c r="N318" s="136"/>
      <c r="O318" s="139"/>
      <c r="P318" s="135"/>
      <c r="Q318" s="136"/>
      <c r="R318" s="139"/>
    </row>
    <row r="319" spans="1:18" ht="15.75" customHeight="1">
      <c r="A319" s="341" t="s">
        <v>84</v>
      </c>
      <c r="B319" s="342" t="s">
        <v>351</v>
      </c>
      <c r="C319" s="222">
        <v>20000</v>
      </c>
      <c r="D319" s="189">
        <f>G319+J319+M319+P319</f>
        <v>20000</v>
      </c>
      <c r="E319" s="189">
        <f>H319+K319+N319+Q319</f>
        <v>12309</v>
      </c>
      <c r="F319" s="228"/>
      <c r="G319" s="225">
        <v>20000</v>
      </c>
      <c r="H319" s="226">
        <v>12309</v>
      </c>
      <c r="I319" s="174"/>
      <c r="J319" s="225"/>
      <c r="K319" s="226"/>
      <c r="L319" s="249"/>
      <c r="M319" s="225"/>
      <c r="N319" s="226"/>
      <c r="O319" s="249"/>
      <c r="P319" s="225"/>
      <c r="Q319" s="226"/>
      <c r="R319" s="249"/>
    </row>
    <row r="320" spans="1:18" ht="16.5" customHeight="1">
      <c r="A320" s="334" t="s">
        <v>352</v>
      </c>
      <c r="B320" s="179" t="s">
        <v>17</v>
      </c>
      <c r="C320" s="180"/>
      <c r="D320" s="181"/>
      <c r="E320" s="181">
        <f>SUM(E321:E322)</f>
        <v>143161</v>
      </c>
      <c r="F320" s="237"/>
      <c r="G320" s="184"/>
      <c r="H320" s="185">
        <f>SUM(H321:H322)</f>
        <v>143161</v>
      </c>
      <c r="I320" s="174"/>
      <c r="J320" s="184"/>
      <c r="K320" s="185"/>
      <c r="L320" s="190"/>
      <c r="M320" s="184"/>
      <c r="N320" s="185"/>
      <c r="O320" s="273"/>
      <c r="P320" s="184"/>
      <c r="Q320" s="185"/>
      <c r="R320" s="273"/>
    </row>
    <row r="321" spans="1:18" ht="16.5" customHeight="1">
      <c r="A321" s="336" t="s">
        <v>30</v>
      </c>
      <c r="B321" s="90" t="s">
        <v>31</v>
      </c>
      <c r="C321" s="140"/>
      <c r="D321" s="92"/>
      <c r="E321" s="92">
        <f>H321</f>
        <v>30624</v>
      </c>
      <c r="F321" s="124"/>
      <c r="G321" s="127"/>
      <c r="H321" s="123">
        <v>30624</v>
      </c>
      <c r="I321" s="126"/>
      <c r="J321" s="127"/>
      <c r="K321" s="123"/>
      <c r="L321" s="126"/>
      <c r="M321" s="127"/>
      <c r="N321" s="123"/>
      <c r="O321" s="129"/>
      <c r="P321" s="127"/>
      <c r="Q321" s="123"/>
      <c r="R321" s="129"/>
    </row>
    <row r="322" spans="1:18" s="141" customFormat="1" ht="59.25" customHeight="1">
      <c r="A322" s="340" t="s">
        <v>353</v>
      </c>
      <c r="B322" s="307" t="s">
        <v>354</v>
      </c>
      <c r="C322" s="188"/>
      <c r="D322" s="189"/>
      <c r="E322" s="189">
        <f>H322+K322+N322+Q322</f>
        <v>112537</v>
      </c>
      <c r="F322" s="228"/>
      <c r="G322" s="191"/>
      <c r="H322" s="192">
        <v>112537</v>
      </c>
      <c r="I322" s="190"/>
      <c r="J322" s="191"/>
      <c r="K322" s="192"/>
      <c r="L322" s="275"/>
      <c r="M322" s="191"/>
      <c r="N322" s="192"/>
      <c r="O322" s="275"/>
      <c r="P322" s="191"/>
      <c r="Q322" s="192"/>
      <c r="R322" s="275"/>
    </row>
    <row r="323" spans="1:18" ht="40.5" customHeight="1">
      <c r="A323" s="394" t="s">
        <v>355</v>
      </c>
      <c r="B323" s="395" t="s">
        <v>356</v>
      </c>
      <c r="C323" s="396">
        <f>C326+C331+C333</f>
        <v>1424079</v>
      </c>
      <c r="D323" s="397">
        <f>G323+J323+M323+P323</f>
        <v>689144</v>
      </c>
      <c r="E323" s="398">
        <f>H323+K323+N323+Q323</f>
        <v>746705</v>
      </c>
      <c r="F323" s="248">
        <f>E323/D323*100</f>
        <v>108.35253589960878</v>
      </c>
      <c r="G323" s="398">
        <f>G326+G331+G333+G324</f>
        <v>76144</v>
      </c>
      <c r="H323" s="398">
        <f>H324</f>
        <v>76144</v>
      </c>
      <c r="I323" s="248">
        <f>H323/G323*100</f>
        <v>100</v>
      </c>
      <c r="J323" s="396">
        <f>J326+J331+J333</f>
        <v>5000</v>
      </c>
      <c r="K323" s="398"/>
      <c r="L323" s="399"/>
      <c r="M323" s="396">
        <f>M326+M331+M333</f>
        <v>540000</v>
      </c>
      <c r="N323" s="398">
        <f>N326+N331+N333</f>
        <v>602561</v>
      </c>
      <c r="O323" s="248">
        <f>N323/M323*100</f>
        <v>111.58537037037037</v>
      </c>
      <c r="P323" s="400">
        <f>P326</f>
        <v>68000</v>
      </c>
      <c r="Q323" s="401">
        <f>Q326</f>
        <v>68000</v>
      </c>
      <c r="R323" s="247">
        <f>Q323/P323*100</f>
        <v>100</v>
      </c>
    </row>
    <row r="324" spans="1:18" ht="25.5" customHeight="1">
      <c r="A324" s="178" t="s">
        <v>357</v>
      </c>
      <c r="B324" s="335" t="s">
        <v>358</v>
      </c>
      <c r="C324" s="180"/>
      <c r="D324" s="402">
        <f>D325</f>
        <v>76144</v>
      </c>
      <c r="E324" s="181">
        <f>E325</f>
        <v>76144</v>
      </c>
      <c r="F324" s="182">
        <f>E324/D324*100</f>
        <v>100</v>
      </c>
      <c r="G324" s="403">
        <f>G325</f>
        <v>76144</v>
      </c>
      <c r="H324" s="181">
        <f>H325</f>
        <v>76144</v>
      </c>
      <c r="I324" s="182">
        <f>H324/G324*100</f>
        <v>100</v>
      </c>
      <c r="J324" s="180"/>
      <c r="K324" s="181"/>
      <c r="L324" s="182"/>
      <c r="M324" s="180"/>
      <c r="N324" s="181"/>
      <c r="O324" s="182"/>
      <c r="P324" s="184"/>
      <c r="Q324" s="185"/>
      <c r="R324" s="273"/>
    </row>
    <row r="325" spans="1:18" ht="66" customHeight="1">
      <c r="A325" s="120" t="s">
        <v>106</v>
      </c>
      <c r="B325" s="90" t="s">
        <v>359</v>
      </c>
      <c r="C325" s="140"/>
      <c r="D325" s="346">
        <f>G325</f>
        <v>76144</v>
      </c>
      <c r="E325" s="92">
        <f>H325</f>
        <v>76144</v>
      </c>
      <c r="F325" s="126"/>
      <c r="G325" s="214">
        <v>76144</v>
      </c>
      <c r="H325" s="92">
        <v>76144</v>
      </c>
      <c r="I325" s="174"/>
      <c r="J325" s="140"/>
      <c r="K325" s="92"/>
      <c r="L325" s="126"/>
      <c r="M325" s="140"/>
      <c r="N325" s="92"/>
      <c r="O325" s="126"/>
      <c r="P325" s="127"/>
      <c r="Q325" s="123"/>
      <c r="R325" s="129"/>
    </row>
    <row r="326" spans="1:18" ht="24">
      <c r="A326" s="130" t="s">
        <v>360</v>
      </c>
      <c r="B326" s="337" t="s">
        <v>361</v>
      </c>
      <c r="C326" s="132">
        <f>C329</f>
        <v>1424079</v>
      </c>
      <c r="D326" s="133">
        <f>SUM(D327:D330)</f>
        <v>568000</v>
      </c>
      <c r="E326" s="133">
        <f>SUM(E327:E330)</f>
        <v>630561</v>
      </c>
      <c r="F326" s="134">
        <f>E326/D326*100</f>
        <v>111.01426056338029</v>
      </c>
      <c r="G326" s="135"/>
      <c r="H326" s="136"/>
      <c r="I326" s="134"/>
      <c r="J326" s="135"/>
      <c r="K326" s="136"/>
      <c r="L326" s="139"/>
      <c r="M326" s="135">
        <f>SUM(M328:M330)</f>
        <v>500000</v>
      </c>
      <c r="N326" s="136">
        <f>SUM(N327:N329)</f>
        <v>562561</v>
      </c>
      <c r="O326" s="134">
        <f>N326/M326*100</f>
        <v>112.51219999999999</v>
      </c>
      <c r="P326" s="135">
        <f>P330</f>
        <v>68000</v>
      </c>
      <c r="Q326" s="136">
        <f>Q330</f>
        <v>68000</v>
      </c>
      <c r="R326" s="139">
        <f>Q326/P326*100</f>
        <v>100</v>
      </c>
    </row>
    <row r="327" spans="1:18" ht="38.25" customHeight="1">
      <c r="A327" s="120" t="s">
        <v>30</v>
      </c>
      <c r="B327" s="90" t="s">
        <v>362</v>
      </c>
      <c r="C327" s="140"/>
      <c r="D327" s="92"/>
      <c r="E327" s="92">
        <f>N327</f>
        <v>62561</v>
      </c>
      <c r="F327" s="126"/>
      <c r="G327" s="127"/>
      <c r="H327" s="123"/>
      <c r="I327" s="126"/>
      <c r="J327" s="127"/>
      <c r="K327" s="123"/>
      <c r="L327" s="129"/>
      <c r="M327" s="127"/>
      <c r="N327" s="123">
        <v>62561</v>
      </c>
      <c r="O327" s="168"/>
      <c r="P327" s="169"/>
      <c r="Q327" s="123"/>
      <c r="R327" s="129"/>
    </row>
    <row r="328" spans="1:18" s="141" customFormat="1" ht="53.25" customHeight="1">
      <c r="A328" s="120" t="s">
        <v>363</v>
      </c>
      <c r="B328" s="121" t="s">
        <v>364</v>
      </c>
      <c r="C328" s="140"/>
      <c r="D328" s="92">
        <f>M328</f>
        <v>500000</v>
      </c>
      <c r="E328" s="92">
        <f>N328</f>
        <v>500000</v>
      </c>
      <c r="F328" s="126"/>
      <c r="G328" s="127"/>
      <c r="H328" s="123"/>
      <c r="I328" s="126"/>
      <c r="J328" s="127"/>
      <c r="K328" s="123"/>
      <c r="L328" s="129"/>
      <c r="M328" s="127">
        <v>500000</v>
      </c>
      <c r="N328" s="123">
        <v>500000</v>
      </c>
      <c r="O328" s="126"/>
      <c r="P328" s="127"/>
      <c r="Q328" s="123"/>
      <c r="R328" s="129"/>
    </row>
    <row r="329" spans="1:18" s="141" customFormat="1" ht="49.5" customHeight="1">
      <c r="A329" s="120" t="s">
        <v>32</v>
      </c>
      <c r="B329" s="121" t="s">
        <v>365</v>
      </c>
      <c r="C329" s="140">
        <v>1424079</v>
      </c>
      <c r="D329" s="92"/>
      <c r="E329" s="92"/>
      <c r="F329" s="126"/>
      <c r="G329" s="127"/>
      <c r="H329" s="123"/>
      <c r="I329" s="302"/>
      <c r="J329" s="127"/>
      <c r="K329" s="123"/>
      <c r="L329" s="129"/>
      <c r="M329" s="127"/>
      <c r="N329" s="123"/>
      <c r="O329" s="126"/>
      <c r="P329" s="127"/>
      <c r="Q329" s="123"/>
      <c r="R329" s="129"/>
    </row>
    <row r="330" spans="1:18" s="141" customFormat="1" ht="102" customHeight="1">
      <c r="A330" s="120" t="s">
        <v>366</v>
      </c>
      <c r="B330" s="121" t="s">
        <v>367</v>
      </c>
      <c r="C330" s="140"/>
      <c r="D330" s="92">
        <f>P330</f>
        <v>68000</v>
      </c>
      <c r="E330" s="92">
        <f>Q330</f>
        <v>68000</v>
      </c>
      <c r="F330" s="126"/>
      <c r="G330" s="127"/>
      <c r="H330" s="123"/>
      <c r="I330" s="302"/>
      <c r="J330" s="127"/>
      <c r="K330" s="123"/>
      <c r="L330" s="129"/>
      <c r="M330" s="127"/>
      <c r="N330" s="123"/>
      <c r="O330" s="190"/>
      <c r="P330" s="127">
        <v>68000</v>
      </c>
      <c r="Q330" s="123">
        <v>68000</v>
      </c>
      <c r="R330" s="129"/>
    </row>
    <row r="331" spans="1:18" s="235" customFormat="1" ht="23.25" customHeight="1">
      <c r="A331" s="130" t="s">
        <v>368</v>
      </c>
      <c r="B331" s="337" t="s">
        <v>369</v>
      </c>
      <c r="C331" s="132"/>
      <c r="D331" s="133">
        <f>D332</f>
        <v>5000</v>
      </c>
      <c r="E331" s="133"/>
      <c r="F331" s="134"/>
      <c r="G331" s="135"/>
      <c r="H331" s="136"/>
      <c r="I331" s="134"/>
      <c r="J331" s="135">
        <f>J332</f>
        <v>5000</v>
      </c>
      <c r="K331" s="136"/>
      <c r="L331" s="139"/>
      <c r="M331" s="135"/>
      <c r="N331" s="136"/>
      <c r="O331" s="134"/>
      <c r="P331" s="135"/>
      <c r="Q331" s="136"/>
      <c r="R331" s="139"/>
    </row>
    <row r="332" spans="1:18" ht="78.75" customHeight="1">
      <c r="A332" s="120" t="s">
        <v>81</v>
      </c>
      <c r="B332" s="404" t="s">
        <v>370</v>
      </c>
      <c r="C332" s="140"/>
      <c r="D332" s="92">
        <f>G332+J332+M332+P332</f>
        <v>5000</v>
      </c>
      <c r="E332" s="92"/>
      <c r="F332" s="126"/>
      <c r="G332" s="191"/>
      <c r="H332" s="123"/>
      <c r="I332" s="302"/>
      <c r="J332" s="127">
        <v>5000</v>
      </c>
      <c r="K332" s="123"/>
      <c r="L332" s="249"/>
      <c r="M332" s="127"/>
      <c r="N332" s="123"/>
      <c r="O332" s="126"/>
      <c r="P332" s="127"/>
      <c r="Q332" s="123"/>
      <c r="R332" s="129"/>
    </row>
    <row r="333" spans="1:18" ht="15.75" customHeight="1">
      <c r="A333" s="130" t="s">
        <v>371</v>
      </c>
      <c r="B333" s="337" t="s">
        <v>372</v>
      </c>
      <c r="C333" s="132"/>
      <c r="D333" s="133">
        <f>SUM(D334:D334)</f>
        <v>40000</v>
      </c>
      <c r="E333" s="133">
        <f>SUM(E334:E334)</f>
        <v>40000</v>
      </c>
      <c r="F333" s="134">
        <f>E333/D333*100</f>
        <v>100</v>
      </c>
      <c r="G333" s="135"/>
      <c r="H333" s="136"/>
      <c r="I333" s="134"/>
      <c r="J333" s="135"/>
      <c r="K333" s="136"/>
      <c r="L333" s="139"/>
      <c r="M333" s="135">
        <f>SUM(M334:M334)</f>
        <v>40000</v>
      </c>
      <c r="N333" s="136">
        <f>SUM(N334:N334)</f>
        <v>40000</v>
      </c>
      <c r="O333" s="134">
        <f>N333/M333*100</f>
        <v>100</v>
      </c>
      <c r="P333" s="135"/>
      <c r="Q333" s="136"/>
      <c r="R333" s="139"/>
    </row>
    <row r="334" spans="1:18" ht="49.5" customHeight="1" thickBot="1">
      <c r="A334" s="120" t="s">
        <v>275</v>
      </c>
      <c r="B334" s="121" t="s">
        <v>276</v>
      </c>
      <c r="C334" s="140"/>
      <c r="D334" s="92">
        <f>G334+J334+M334+P334</f>
        <v>40000</v>
      </c>
      <c r="E334" s="92">
        <f>H334+K334+N334+Q334</f>
        <v>40000</v>
      </c>
      <c r="F334" s="126"/>
      <c r="G334" s="127"/>
      <c r="H334" s="123"/>
      <c r="I334" s="302"/>
      <c r="J334" s="127"/>
      <c r="K334" s="123"/>
      <c r="L334" s="129"/>
      <c r="M334" s="127">
        <v>40000</v>
      </c>
      <c r="N334" s="123">
        <v>40000</v>
      </c>
      <c r="O334" s="126"/>
      <c r="P334" s="127"/>
      <c r="Q334" s="123"/>
      <c r="R334" s="129"/>
    </row>
    <row r="335" spans="1:18" ht="26.25" customHeight="1" thickBot="1" thickTop="1">
      <c r="A335" s="329" t="s">
        <v>373</v>
      </c>
      <c r="B335" s="177" t="s">
        <v>374</v>
      </c>
      <c r="C335" s="106">
        <f>C336</f>
        <v>1332000</v>
      </c>
      <c r="D335" s="68">
        <f>G335+J335+M335+P335</f>
        <v>2416000</v>
      </c>
      <c r="E335" s="68">
        <f>H335+K335+N335+Q335</f>
        <v>3120260</v>
      </c>
      <c r="F335" s="105">
        <f>E335/D335*100</f>
        <v>129.1498344370861</v>
      </c>
      <c r="G335" s="106">
        <f>G336+G342</f>
        <v>2416000</v>
      </c>
      <c r="H335" s="103">
        <f>H336+H342</f>
        <v>3120260</v>
      </c>
      <c r="I335" s="105">
        <f>H335/G335*100</f>
        <v>129.1498344370861</v>
      </c>
      <c r="J335" s="106"/>
      <c r="K335" s="103"/>
      <c r="L335" s="107"/>
      <c r="M335" s="106"/>
      <c r="N335" s="103"/>
      <c r="O335" s="246"/>
      <c r="P335" s="106"/>
      <c r="Q335" s="103"/>
      <c r="R335" s="107"/>
    </row>
    <row r="336" spans="1:18" ht="15.75" customHeight="1" thickTop="1">
      <c r="A336" s="387" t="s">
        <v>375</v>
      </c>
      <c r="B336" s="210" t="s">
        <v>376</v>
      </c>
      <c r="C336" s="211">
        <f>SUM(C340:C341)</f>
        <v>1332000</v>
      </c>
      <c r="D336" s="112">
        <f>D337+D340+D341+D338</f>
        <v>1866000</v>
      </c>
      <c r="E336" s="112">
        <f>E337+E340+E341+E338</f>
        <v>2570260</v>
      </c>
      <c r="F336" s="116">
        <f>E336/D336*100</f>
        <v>137.7416934619507</v>
      </c>
      <c r="G336" s="112">
        <f>G337+G340+G341+G338</f>
        <v>1866000</v>
      </c>
      <c r="H336" s="112">
        <f>H337+H340+H341+H338</f>
        <v>2570260</v>
      </c>
      <c r="I336" s="116">
        <f>H336/G336*100</f>
        <v>137.7416934619507</v>
      </c>
      <c r="J336" s="117"/>
      <c r="K336" s="113"/>
      <c r="L336" s="119"/>
      <c r="M336" s="117"/>
      <c r="N336" s="113"/>
      <c r="O336" s="119"/>
      <c r="P336" s="117"/>
      <c r="Q336" s="113"/>
      <c r="R336" s="119"/>
    </row>
    <row r="337" spans="1:18" s="141" customFormat="1" ht="54.75" customHeight="1">
      <c r="A337" s="290" t="s">
        <v>32</v>
      </c>
      <c r="B337" s="309" t="s">
        <v>377</v>
      </c>
      <c r="C337" s="244"/>
      <c r="D337" s="167"/>
      <c r="E337" s="167">
        <f>H337</f>
        <v>15751</v>
      </c>
      <c r="F337" s="168"/>
      <c r="G337" s="169"/>
      <c r="H337" s="170">
        <v>15751</v>
      </c>
      <c r="I337" s="168"/>
      <c r="J337" s="169"/>
      <c r="K337" s="170"/>
      <c r="L337" s="172"/>
      <c r="M337" s="169"/>
      <c r="N337" s="170"/>
      <c r="O337" s="172"/>
      <c r="P337" s="169"/>
      <c r="Q337" s="170"/>
      <c r="R337" s="172"/>
    </row>
    <row r="338" spans="1:18" s="141" customFormat="1" ht="60.75" customHeight="1">
      <c r="A338" s="336" t="s">
        <v>34</v>
      </c>
      <c r="B338" s="90" t="s">
        <v>378</v>
      </c>
      <c r="C338" s="215"/>
      <c r="D338" s="92">
        <f>G338</f>
        <v>534000</v>
      </c>
      <c r="E338" s="92">
        <f>H338</f>
        <v>1222509</v>
      </c>
      <c r="F338" s="126">
        <f>E338/D338*100</f>
        <v>228.93426966292134</v>
      </c>
      <c r="G338" s="127">
        <v>534000</v>
      </c>
      <c r="H338" s="123">
        <v>1222509</v>
      </c>
      <c r="I338" s="126">
        <f>H338/G338*100</f>
        <v>228.93426966292134</v>
      </c>
      <c r="J338" s="127"/>
      <c r="K338" s="123"/>
      <c r="L338" s="129"/>
      <c r="M338" s="127"/>
      <c r="N338" s="123"/>
      <c r="O338" s="129"/>
      <c r="P338" s="127"/>
      <c r="Q338" s="123"/>
      <c r="R338" s="129"/>
    </row>
    <row r="339" spans="1:18" s="152" customFormat="1" ht="14.25" customHeight="1">
      <c r="A339" s="371"/>
      <c r="B339" s="405" t="s">
        <v>379</v>
      </c>
      <c r="C339" s="406">
        <f>SUM(C340:C341)</f>
        <v>1332000</v>
      </c>
      <c r="D339" s="407">
        <f>SUM(D340:D341)</f>
        <v>1332000</v>
      </c>
      <c r="E339" s="407">
        <f>E340+E341</f>
        <v>1332000</v>
      </c>
      <c r="F339" s="315">
        <f>E339/D339*100</f>
        <v>100</v>
      </c>
      <c r="G339" s="408">
        <f>SUM(G340:G341)</f>
        <v>1332000</v>
      </c>
      <c r="H339" s="317">
        <f>SUM(H340:H341)</f>
        <v>1332000</v>
      </c>
      <c r="I339" s="315">
        <f>H339/G339*100</f>
        <v>100</v>
      </c>
      <c r="J339" s="318"/>
      <c r="K339" s="317"/>
      <c r="L339" s="319"/>
      <c r="M339" s="318"/>
      <c r="N339" s="317"/>
      <c r="O339" s="319"/>
      <c r="P339" s="318"/>
      <c r="Q339" s="317"/>
      <c r="R339" s="319"/>
    </row>
    <row r="340" spans="1:18" s="141" customFormat="1" ht="67.5" customHeight="1">
      <c r="A340" s="336" t="s">
        <v>380</v>
      </c>
      <c r="B340" s="90" t="s">
        <v>381</v>
      </c>
      <c r="C340" s="215">
        <v>666000</v>
      </c>
      <c r="D340" s="92">
        <f>G340</f>
        <v>666000</v>
      </c>
      <c r="E340" s="92">
        <f>H340</f>
        <v>666000</v>
      </c>
      <c r="F340" s="126"/>
      <c r="G340" s="127">
        <v>666000</v>
      </c>
      <c r="H340" s="123">
        <v>666000</v>
      </c>
      <c r="I340" s="126"/>
      <c r="J340" s="127"/>
      <c r="K340" s="123"/>
      <c r="L340" s="129"/>
      <c r="M340" s="127"/>
      <c r="N340" s="123"/>
      <c r="O340" s="129"/>
      <c r="P340" s="127"/>
      <c r="Q340" s="123"/>
      <c r="R340" s="129"/>
    </row>
    <row r="341" spans="1:18" s="141" customFormat="1" ht="50.25" customHeight="1">
      <c r="A341" s="340" t="s">
        <v>34</v>
      </c>
      <c r="B341" s="176" t="s">
        <v>382</v>
      </c>
      <c r="C341" s="213">
        <v>666000</v>
      </c>
      <c r="D341" s="189">
        <f>G341+J341+M341+P341</f>
        <v>666000</v>
      </c>
      <c r="E341" s="358">
        <f>H341+K341+N341+Q341</f>
        <v>666000</v>
      </c>
      <c r="F341" s="190"/>
      <c r="G341" s="191">
        <v>666000</v>
      </c>
      <c r="H341" s="192">
        <v>666000</v>
      </c>
      <c r="I341" s="190"/>
      <c r="J341" s="191"/>
      <c r="K341" s="192"/>
      <c r="L341" s="275"/>
      <c r="M341" s="191"/>
      <c r="N341" s="192"/>
      <c r="O341" s="275"/>
      <c r="P341" s="191"/>
      <c r="Q341" s="192"/>
      <c r="R341" s="275"/>
    </row>
    <row r="342" spans="1:18" s="243" customFormat="1" ht="19.5" customHeight="1">
      <c r="A342" s="303" t="s">
        <v>383</v>
      </c>
      <c r="B342" s="131" t="s">
        <v>17</v>
      </c>
      <c r="C342" s="138"/>
      <c r="D342" s="133">
        <f>SUM(D344:D345)</f>
        <v>550000</v>
      </c>
      <c r="E342" s="362">
        <f>H342</f>
        <v>550000</v>
      </c>
      <c r="F342" s="134">
        <f>E342/D342*100</f>
        <v>100</v>
      </c>
      <c r="G342" s="135">
        <f>SUM(G344:G345)</f>
        <v>550000</v>
      </c>
      <c r="H342" s="136">
        <f>H344+H345</f>
        <v>550000</v>
      </c>
      <c r="I342" s="134">
        <f>H342/G342*100</f>
        <v>100</v>
      </c>
      <c r="J342" s="135"/>
      <c r="K342" s="136"/>
      <c r="L342" s="139"/>
      <c r="M342" s="135"/>
      <c r="N342" s="136"/>
      <c r="O342" s="139"/>
      <c r="P342" s="135"/>
      <c r="Q342" s="136"/>
      <c r="R342" s="139"/>
    </row>
    <row r="343" spans="1:18" s="413" customFormat="1" ht="12.75" customHeight="1">
      <c r="A343" s="409"/>
      <c r="B343" s="410" t="s">
        <v>384</v>
      </c>
      <c r="C343" s="406"/>
      <c r="D343" s="407"/>
      <c r="E343" s="411"/>
      <c r="F343" s="315"/>
      <c r="G343" s="408"/>
      <c r="H343" s="412"/>
      <c r="I343" s="315"/>
      <c r="J343" s="408"/>
      <c r="K343" s="412"/>
      <c r="L343" s="319"/>
      <c r="M343" s="408"/>
      <c r="N343" s="412"/>
      <c r="O343" s="319"/>
      <c r="P343" s="408"/>
      <c r="Q343" s="412"/>
      <c r="R343" s="319"/>
    </row>
    <row r="344" spans="1:18" ht="53.25" customHeight="1">
      <c r="A344" s="336" t="s">
        <v>363</v>
      </c>
      <c r="B344" s="121" t="s">
        <v>364</v>
      </c>
      <c r="C344" s="215"/>
      <c r="D344" s="92">
        <f>G344</f>
        <v>485000</v>
      </c>
      <c r="E344" s="92">
        <f>H344</f>
        <v>485000</v>
      </c>
      <c r="F344" s="126"/>
      <c r="G344" s="127">
        <f>550000-65000</f>
        <v>485000</v>
      </c>
      <c r="H344" s="123">
        <v>485000</v>
      </c>
      <c r="I344" s="126"/>
      <c r="J344" s="127"/>
      <c r="K344" s="123"/>
      <c r="L344" s="129"/>
      <c r="M344" s="127"/>
      <c r="N344" s="123"/>
      <c r="O344" s="129"/>
      <c r="P344" s="127"/>
      <c r="Q344" s="123"/>
      <c r="R344" s="129"/>
    </row>
    <row r="345" spans="1:18" ht="62.25" customHeight="1" thickBot="1">
      <c r="A345" s="336" t="s">
        <v>380</v>
      </c>
      <c r="B345" s="90" t="s">
        <v>381</v>
      </c>
      <c r="C345" s="215"/>
      <c r="D345" s="92">
        <f>G345</f>
        <v>65000</v>
      </c>
      <c r="E345" s="92">
        <f>H345</f>
        <v>65000</v>
      </c>
      <c r="F345" s="126"/>
      <c r="G345" s="127">
        <v>65000</v>
      </c>
      <c r="H345" s="123">
        <v>65000</v>
      </c>
      <c r="I345" s="126"/>
      <c r="J345" s="127"/>
      <c r="K345" s="123"/>
      <c r="L345" s="129"/>
      <c r="M345" s="127"/>
      <c r="N345" s="123"/>
      <c r="O345" s="129"/>
      <c r="P345" s="127"/>
      <c r="Q345" s="123"/>
      <c r="R345" s="129"/>
    </row>
    <row r="346" spans="1:18" ht="27" customHeight="1" thickBot="1" thickTop="1">
      <c r="A346" s="414" t="s">
        <v>385</v>
      </c>
      <c r="B346" s="415"/>
      <c r="C346" s="106">
        <f>C8+C11+C30+C43+C57+C78+C83+C93+C138+C153+C207+C214+C266+C286+C313+C323+C335</f>
        <v>351510313</v>
      </c>
      <c r="D346" s="416">
        <f>D8+D11+D30+D43+D57+D78+D83+D93+D138+D153+D207+D214+D266+D286+D313+D323+D335</f>
        <v>352375065</v>
      </c>
      <c r="E346" s="103">
        <f>E8+E11+E30+E43+E57+E78+E83+E93+E138+E153+E207+E214+E266+E286+E313+E323+E335</f>
        <v>338022848</v>
      </c>
      <c r="F346" s="107">
        <f>E346/D346*100</f>
        <v>95.92700550477373</v>
      </c>
      <c r="G346" s="271">
        <f>G8+G11+G30+G43+G57+G78+G83+G93+G138+G153+G207+G214+G266+G286+G313+G323+G335</f>
        <v>230904234</v>
      </c>
      <c r="H346" s="271">
        <f>H8+H11+H30+H43+H57+H78+H83+H93+H138+H153+H207+H214+H266+H286+H313+H323+H335</f>
        <v>219027221</v>
      </c>
      <c r="I346" s="246">
        <f>H346/G346*100</f>
        <v>94.85630350113026</v>
      </c>
      <c r="J346" s="271">
        <f>J8+J11+J30+J43+J57+J78+J83+J93+J138+J153+J207+J214+J266+J286+J313+J323+J335</f>
        <v>19870474</v>
      </c>
      <c r="K346" s="271">
        <f>K8+K11+K30+K43+K57+K78+K83+K93+K138+K153+K207+K214+K266+K286+K313+K323+K335</f>
        <v>19801674</v>
      </c>
      <c r="L346" s="269">
        <f>K346/J346*100</f>
        <v>99.65375763054269</v>
      </c>
      <c r="M346" s="271">
        <f>M8+M11+M30+M43+M57+M78+M83+M93+M138+M153+M207+M214+M266+M286+M313+M323+M335</f>
        <v>92008713</v>
      </c>
      <c r="N346" s="271">
        <f>N8+N11+N30+N43+N57+N78+N83+N93+N138+N153+N207+N214+N266+N286+N313+N323+N335</f>
        <v>89604073</v>
      </c>
      <c r="O346" s="246">
        <f>N346/M346*100</f>
        <v>97.38650838426574</v>
      </c>
      <c r="P346" s="103">
        <f>P8+P11+P30+P43+P57+P78+P83+P93+P138+P153+P207+P214+P266+P286+P313+P323+P335</f>
        <v>9591644</v>
      </c>
      <c r="Q346" s="103">
        <f>Q8+Q11+Q30+Q43+Q57+Q78+Q83+Q93+Q138+Q153+Q207+Q214+Q266+Q286+Q313+Q323+Q335</f>
        <v>9589880</v>
      </c>
      <c r="R346" s="105">
        <f>Q346/P346*100</f>
        <v>99.98160899216026</v>
      </c>
    </row>
    <row r="347" spans="1:18" s="235" customFormat="1" ht="15.75" customHeight="1" thickTop="1">
      <c r="A347" s="417" t="s">
        <v>386</v>
      </c>
      <c r="B347" s="418"/>
      <c r="C347" s="419">
        <f>C346-C350-C351</f>
        <v>319795936</v>
      </c>
      <c r="D347" s="420">
        <f>G347+M347</f>
        <v>322912947</v>
      </c>
      <c r="E347" s="420">
        <f aca="true" t="shared" si="43" ref="D347:E349">H347+K347+N347+Q347</f>
        <v>308631294</v>
      </c>
      <c r="F347" s="421">
        <f>E347/D347*100</f>
        <v>95.57724360925052</v>
      </c>
      <c r="G347" s="419">
        <f>G346</f>
        <v>230904234</v>
      </c>
      <c r="H347" s="422">
        <f>H346</f>
        <v>219027221</v>
      </c>
      <c r="I347" s="421">
        <f>H347/G347*100</f>
        <v>94.85630350113026</v>
      </c>
      <c r="J347" s="419"/>
      <c r="K347" s="423"/>
      <c r="L347" s="421"/>
      <c r="M347" s="424">
        <f>M346</f>
        <v>92008713</v>
      </c>
      <c r="N347" s="425">
        <f>N346</f>
        <v>89604073</v>
      </c>
      <c r="O347" s="421">
        <f>N347/M347*100</f>
        <v>97.38650838426574</v>
      </c>
      <c r="P347" s="419"/>
      <c r="Q347" s="423"/>
      <c r="R347" s="369"/>
    </row>
    <row r="348" spans="1:18" s="235" customFormat="1" ht="9.75" customHeight="1">
      <c r="A348" s="426" t="s">
        <v>387</v>
      </c>
      <c r="B348" s="427"/>
      <c r="C348" s="419"/>
      <c r="D348" s="420"/>
      <c r="E348" s="420"/>
      <c r="F348" s="421"/>
      <c r="G348" s="419"/>
      <c r="H348" s="423"/>
      <c r="I348" s="428"/>
      <c r="J348" s="419"/>
      <c r="K348" s="423"/>
      <c r="L348" s="421"/>
      <c r="M348" s="419"/>
      <c r="N348" s="423"/>
      <c r="O348" s="429"/>
      <c r="P348" s="419"/>
      <c r="Q348" s="423"/>
      <c r="R348" s="369"/>
    </row>
    <row r="349" spans="1:18" ht="18" customHeight="1">
      <c r="A349" s="430" t="s">
        <v>388</v>
      </c>
      <c r="B349" s="431"/>
      <c r="C349" s="432">
        <v>1061000</v>
      </c>
      <c r="D349" s="280">
        <f t="shared" si="43"/>
        <v>1670342</v>
      </c>
      <c r="E349" s="280">
        <f t="shared" si="43"/>
        <v>1358251</v>
      </c>
      <c r="F349" s="433">
        <f>E349/D349*100</f>
        <v>81.31574252458479</v>
      </c>
      <c r="G349" s="432"/>
      <c r="H349" s="434"/>
      <c r="I349" s="435"/>
      <c r="J349" s="432"/>
      <c r="K349" s="434"/>
      <c r="L349" s="433"/>
      <c r="M349" s="434">
        <f>M230+M334+M270+M305</f>
        <v>1670342</v>
      </c>
      <c r="N349" s="434">
        <f>N230+N334+N270+N305</f>
        <v>1358251</v>
      </c>
      <c r="O349" s="436">
        <f>N349/M349*100</f>
        <v>81.31574252458479</v>
      </c>
      <c r="P349" s="432"/>
      <c r="Q349" s="434"/>
      <c r="R349" s="151"/>
    </row>
    <row r="350" spans="1:18" s="235" customFormat="1" ht="14.25" customHeight="1">
      <c r="A350" s="437" t="s">
        <v>389</v>
      </c>
      <c r="B350" s="438"/>
      <c r="C350" s="419">
        <v>31692277</v>
      </c>
      <c r="D350" s="420">
        <f>J350+P350</f>
        <v>29314448</v>
      </c>
      <c r="E350" s="420">
        <f>K350+Q350</f>
        <v>29248905</v>
      </c>
      <c r="F350" s="421">
        <f>E350/D350*100</f>
        <v>99.7764140058172</v>
      </c>
      <c r="G350" s="419"/>
      <c r="H350" s="434"/>
      <c r="I350" s="428"/>
      <c r="J350" s="419">
        <f>J346-J351</f>
        <v>19846374</v>
      </c>
      <c r="K350" s="423">
        <f>K346-K351</f>
        <v>19782579</v>
      </c>
      <c r="L350" s="421">
        <f>K350/J350*100</f>
        <v>99.67855589136838</v>
      </c>
      <c r="M350" s="419"/>
      <c r="N350" s="423"/>
      <c r="O350" s="428"/>
      <c r="P350" s="419">
        <f>P346-P351</f>
        <v>9468074</v>
      </c>
      <c r="Q350" s="423">
        <f>Q346-Q351</f>
        <v>9466326</v>
      </c>
      <c r="R350" s="369">
        <f>Q350/P350*100</f>
        <v>99.98153795587149</v>
      </c>
    </row>
    <row r="351" spans="1:18" ht="21" customHeight="1" thickBot="1">
      <c r="A351" s="439" t="s">
        <v>390</v>
      </c>
      <c r="B351" s="440"/>
      <c r="C351" s="441">
        <v>22100</v>
      </c>
      <c r="D351" s="442">
        <f>J351+P351</f>
        <v>147670</v>
      </c>
      <c r="E351" s="442">
        <f>K351+Q351</f>
        <v>142649</v>
      </c>
      <c r="F351" s="443">
        <f>E351/D351*100</f>
        <v>96.59985101916435</v>
      </c>
      <c r="G351" s="444"/>
      <c r="H351" s="445"/>
      <c r="I351" s="446"/>
      <c r="J351" s="447">
        <f>J54+J332+J195</f>
        <v>24100</v>
      </c>
      <c r="K351" s="447">
        <f>K54+K332+K195</f>
        <v>19095</v>
      </c>
      <c r="L351" s="443">
        <f>K351/J351*100</f>
        <v>79.23236514522821</v>
      </c>
      <c r="M351" s="444"/>
      <c r="N351" s="445"/>
      <c r="O351" s="446"/>
      <c r="P351" s="447">
        <f>P71+P92+P330</f>
        <v>123570</v>
      </c>
      <c r="Q351" s="447">
        <f>Q71+Q92+Q330</f>
        <v>123554</v>
      </c>
      <c r="R351" s="448">
        <f>Q351/P351*100</f>
        <v>99.98705187343207</v>
      </c>
    </row>
    <row r="352" spans="1:18" s="460" customFormat="1" ht="14.25" customHeight="1" thickBot="1" thickTop="1">
      <c r="A352" s="449" t="s">
        <v>391</v>
      </c>
      <c r="B352" s="450"/>
      <c r="C352" s="451">
        <v>244973460</v>
      </c>
      <c r="D352" s="407">
        <f>G346+J346</f>
        <v>250774708</v>
      </c>
      <c r="E352" s="407">
        <f>H346+K346</f>
        <v>238828895</v>
      </c>
      <c r="F352" s="452">
        <f>E352/D352*100</f>
        <v>95.23643628367817</v>
      </c>
      <c r="G352" s="453"/>
      <c r="H352" s="454"/>
      <c r="I352" s="455"/>
      <c r="J352" s="453"/>
      <c r="K352" s="454"/>
      <c r="L352" s="456"/>
      <c r="M352" s="453"/>
      <c r="N352" s="454"/>
      <c r="O352" s="457"/>
      <c r="P352" s="458"/>
      <c r="Q352" s="454"/>
      <c r="R352" s="459"/>
    </row>
    <row r="353" spans="1:18" s="460" customFormat="1" ht="12.75" customHeight="1" thickBot="1" thickTop="1">
      <c r="A353" s="461" t="s">
        <v>392</v>
      </c>
      <c r="B353" s="462"/>
      <c r="C353" s="463">
        <v>106536853</v>
      </c>
      <c r="D353" s="464">
        <f>M346+P346</f>
        <v>101600357</v>
      </c>
      <c r="E353" s="464">
        <f>N346+Q346</f>
        <v>99193953</v>
      </c>
      <c r="F353" s="456">
        <f>E353/D353*100</f>
        <v>97.6315004483695</v>
      </c>
      <c r="G353" s="454"/>
      <c r="H353" s="454"/>
      <c r="I353" s="457"/>
      <c r="J353" s="453"/>
      <c r="K353" s="454"/>
      <c r="L353" s="465"/>
      <c r="M353" s="453"/>
      <c r="N353" s="454"/>
      <c r="O353" s="457"/>
      <c r="P353" s="453"/>
      <c r="Q353" s="454"/>
      <c r="R353" s="459"/>
    </row>
    <row r="354" s="466" customFormat="1" ht="12.75" thickTop="1"/>
    <row r="355" ht="12.75">
      <c r="A355" s="467"/>
    </row>
    <row r="356" s="466" customFormat="1" ht="12"/>
  </sheetData>
  <mergeCells count="17">
    <mergeCell ref="A351:B351"/>
    <mergeCell ref="A352:B352"/>
    <mergeCell ref="A353:B353"/>
    <mergeCell ref="A346:B346"/>
    <mergeCell ref="A347:B347"/>
    <mergeCell ref="A349:B349"/>
    <mergeCell ref="A350:B350"/>
    <mergeCell ref="Q3:R3"/>
    <mergeCell ref="A4:A6"/>
    <mergeCell ref="B4:B6"/>
    <mergeCell ref="C4:F5"/>
    <mergeCell ref="G4:L4"/>
    <mergeCell ref="M4:R4"/>
    <mergeCell ref="G5:I5"/>
    <mergeCell ref="J5:L5"/>
    <mergeCell ref="M5:O5"/>
    <mergeCell ref="P5:R5"/>
  </mergeCells>
  <printOptions horizontalCentered="1"/>
  <pageMargins left="0.2" right="0.2" top="0.46" bottom="0.29" header="0.28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2010-04-27T08:43:15Z</cp:lastPrinted>
  <dcterms:created xsi:type="dcterms:W3CDTF">2010-04-27T08:42:12Z</dcterms:created>
  <dcterms:modified xsi:type="dcterms:W3CDTF">2010-04-27T11:54:11Z</dcterms:modified>
  <cp:category/>
  <cp:version/>
  <cp:contentType/>
  <cp:contentStatus/>
</cp:coreProperties>
</file>