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80" windowWidth="13260" windowHeight="7275" activeTab="0"/>
  </bookViews>
  <sheets>
    <sheet name="Arkusz1" sheetId="1" r:id="rId1"/>
  </sheets>
  <definedNames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szpak</author>
    <author>User</author>
  </authors>
  <commentList>
    <comment ref="N17" authorId="0">
      <text>
        <r>
          <rPr>
            <b/>
            <sz val="8"/>
            <rFont val="Tahoma"/>
            <family val="0"/>
          </rPr>
          <t>szpak:</t>
        </r>
        <r>
          <rPr>
            <sz val="8"/>
            <rFont val="Tahoma"/>
            <family val="0"/>
          </rPr>
          <t xml:space="preserve">
wadium odzyskane od ubezpieczyciela z tytułu nie podpisania umowy</t>
        </r>
      </text>
    </comment>
    <comment ref="B24" authorId="1">
      <text>
        <r>
          <rPr>
            <b/>
            <sz val="8"/>
            <rFont val="Tahoma"/>
            <family val="2"/>
          </rPr>
          <t xml:space="preserve">szpak:
poroz. Z PARR zarządzająca Słupską strefą Ekon. A UM w sprawie zwrotu części kosztów poniesionych na uzbrojenie strefy ( sieć wodociągowa i kanalizacja ul. Cegielskiego i Łukasiewicza) - 480tys.brutto
</t>
        </r>
        <r>
          <rPr>
            <sz val="10"/>
            <rFont val="Tahoma"/>
            <family val="0"/>
          </rPr>
          <t xml:space="preserve">
</t>
        </r>
      </text>
    </comment>
    <comment ref="H119" authorId="0">
      <text>
        <r>
          <rPr>
            <b/>
            <sz val="8"/>
            <rFont val="Tahoma"/>
            <family val="0"/>
          </rPr>
          <t>szpak:</t>
        </r>
        <r>
          <rPr>
            <sz val="8"/>
            <rFont val="Tahoma"/>
            <family val="0"/>
          </rPr>
          <t xml:space="preserve">
taxi - 6.540
prolongata - 2.414
wpis de ewid - 129.420</t>
        </r>
      </text>
    </comment>
    <comment ref="N119" authorId="0">
      <text>
        <r>
          <rPr>
            <b/>
            <sz val="8"/>
            <rFont val="Tahoma"/>
            <family val="0"/>
          </rPr>
          <t>szpak:</t>
        </r>
        <r>
          <rPr>
            <sz val="8"/>
            <rFont val="Tahoma"/>
            <family val="0"/>
          </rPr>
          <t xml:space="preserve">
zezwolenia,licencje, zaświadczenia
50.894
zezw. na linie komunikacyjne 47.676
Zezwolenia na analizę 10.744</t>
        </r>
      </text>
    </comment>
    <comment ref="H120" authorId="0">
      <text>
        <r>
          <rPr>
            <b/>
            <sz val="8"/>
            <rFont val="Tahoma"/>
            <family val="0"/>
          </rPr>
          <t>szpak:</t>
        </r>
        <r>
          <rPr>
            <sz val="8"/>
            <rFont val="Tahoma"/>
            <family val="0"/>
          </rPr>
          <t xml:space="preserve">
adiacencka
plan 356.000, wyk. 513.881
planistyczna
plan 100.000, wyk. 215.930</t>
        </r>
      </text>
    </comment>
    <comment ref="H143" authorId="0">
      <text>
        <r>
          <rPr>
            <b/>
            <sz val="8"/>
            <rFont val="Tahoma"/>
            <family val="0"/>
          </rPr>
          <t>szpak:</t>
        </r>
        <r>
          <rPr>
            <sz val="8"/>
            <rFont val="Tahoma"/>
            <family val="0"/>
          </rPr>
          <t xml:space="preserve">
1) 34 tys - f-ra koryg ZDM,
2) zwroty ze stowarzyszeń
3)szkolenia które się nie odbyły
4) refundacje świadczeń
5) ok.. 11 tys szkoły za ZUS i US</t>
        </r>
      </text>
    </comment>
    <comment ref="M200" authorId="0">
      <text>
        <r>
          <rPr>
            <b/>
            <sz val="8"/>
            <rFont val="Tahoma"/>
            <family val="0"/>
          </rPr>
          <t>szpak:</t>
        </r>
        <r>
          <rPr>
            <sz val="8"/>
            <rFont val="Tahoma"/>
            <family val="0"/>
          </rPr>
          <t xml:space="preserve">
28.715- ZS nr 10
132 - ZS nr1
8.734 - CKU</t>
        </r>
      </text>
    </comment>
    <comment ref="N200" authorId="0">
      <text>
        <r>
          <rPr>
            <b/>
            <sz val="8"/>
            <rFont val="Tahoma"/>
            <family val="0"/>
          </rPr>
          <t>szpak:</t>
        </r>
        <r>
          <rPr>
            <sz val="8"/>
            <rFont val="Tahoma"/>
            <family val="0"/>
          </rPr>
          <t xml:space="preserve">
ZS Nr 10 - 56.169,16
CKU - 8.733,19
ZS Nr 1 - 132,00
</t>
        </r>
      </text>
    </comment>
  </commentList>
</comments>
</file>

<file path=xl/sharedStrings.xml><?xml version="1.0" encoding="utf-8"?>
<sst xmlns="http://schemas.openxmlformats.org/spreadsheetml/2006/main" count="723" uniqueCount="410">
  <si>
    <t>Tabela nr 4</t>
  </si>
  <si>
    <t>WYKONANIE   PLANU   DOCHODÓW   MIASTA   KOSZALINA   ZA   2008   ROK</t>
  </si>
  <si>
    <t>w złotych</t>
  </si>
  <si>
    <t xml:space="preserve">Dział 
Rozdz.
 § </t>
  </si>
  <si>
    <t>Wyszczególnienie</t>
  </si>
  <si>
    <t>OGÓŁEM</t>
  </si>
  <si>
    <t xml:space="preserve">GMINA </t>
  </si>
  <si>
    <t>POWIAT</t>
  </si>
  <si>
    <t>WŁASNE</t>
  </si>
  <si>
    <t>ZLECONE 
 I  POROZUMIENIA</t>
  </si>
  <si>
    <t>ZLECONE  
I  POROZUMIENIA</t>
  </si>
  <si>
    <t>Plan         
pierwotny</t>
  </si>
  <si>
    <t xml:space="preserve">Plan po zmianach </t>
  </si>
  <si>
    <t>Wykonanie</t>
  </si>
  <si>
    <t>% wyk. planu</t>
  </si>
  <si>
    <t>Plan po zmianach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</si>
  <si>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</si>
  <si>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</si>
  <si>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</si>
  <si>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</si>
  <si>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</si>
  <si>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administracji rządowej zleconych gminom</t>
  </si>
  <si>
    <t>600</t>
  </si>
  <si>
    <t>TRANSPORT  I  ŁĄCZNOŚĆ</t>
  </si>
  <si>
    <t>60004</t>
  </si>
  <si>
    <t>Lokalny transport zbiorowy</t>
  </si>
  <si>
    <t>2310</t>
  </si>
  <si>
    <t>Dotacje celowe otrzymane z gminy na zadania bieżące realizowane na podstawie porozumień z jst</t>
  </si>
  <si>
    <t>60015</t>
  </si>
  <si>
    <t>Drogi publiczne w miastach na prawach powiatu</t>
  </si>
  <si>
    <t>0580</t>
  </si>
  <si>
    <t>Grzywny, mandaty i inne kary pieniężne od osób prawnych i innych jednostek organizacyjnych</t>
  </si>
  <si>
    <t>0870</t>
  </si>
  <si>
    <t>Wpływy ze sprzedaży składników majątkowych</t>
  </si>
  <si>
    <t>0970</t>
  </si>
  <si>
    <t>Wpływy z różnych dochodów</t>
  </si>
  <si>
    <t>6423</t>
  </si>
  <si>
    <r>
      <t xml:space="preserve">Dotacje celowe przekazane z budżetu państwa na inwestycję i zakupy inwestycyjne realizowane przez powiat na podstawie porozumień z organami administracji rządowej - </t>
    </r>
    <r>
      <rPr>
        <b/>
        <i/>
        <sz val="8"/>
        <rFont val="Times New Roman CE"/>
        <family val="0"/>
      </rPr>
      <t>UL. Jana Pawla II-Staszica</t>
    </r>
  </si>
  <si>
    <t>60016</t>
  </si>
  <si>
    <t>Drogi publiczne gminne</t>
  </si>
  <si>
    <t>Grzywny i inne kary pieniężne od osób prawnych i innych jednostek organizacyjnych</t>
  </si>
  <si>
    <t>Wpływy z różnych dochodów - ZDM</t>
  </si>
  <si>
    <t xml:space="preserve">Wpływy z różnych dochodów: </t>
  </si>
  <si>
    <t xml:space="preserve">dokumentacja projektowa dla MWiK </t>
  </si>
  <si>
    <t>porozumienie z Pomorską Agencją Rozwoju Regionalnego (uzbrojenie Strefy Ekonom.)</t>
  </si>
  <si>
    <t>60017</t>
  </si>
  <si>
    <t>Drogi wewnętrzne</t>
  </si>
  <si>
    <t>60095</t>
  </si>
  <si>
    <t xml:space="preserve">Wpływy z różnych dochodów </t>
  </si>
  <si>
    <t>630</t>
  </si>
  <si>
    <t>TURYSTYKA</t>
  </si>
  <si>
    <t>63095</t>
  </si>
  <si>
    <t>2708</t>
  </si>
  <si>
    <r>
      <t xml:space="preserve">Środki na dofinansowanie własnych zadań bieżących gmin, powiatów pozyskane z innych źródeł </t>
    </r>
    <r>
      <rPr>
        <b/>
        <i/>
        <sz val="8"/>
        <rFont val="Times New Roman CE"/>
        <family val="0"/>
      </rPr>
      <t>(Transgraniczna wymiana doświadczeń...)</t>
    </r>
  </si>
  <si>
    <t>2709</t>
  </si>
  <si>
    <t>700</t>
  </si>
  <si>
    <t>GOSPODARKA MIESZKANIOWA</t>
  </si>
  <si>
    <t>70005</t>
  </si>
  <si>
    <t>Gospodarka gruntami i nieruchomościami</t>
  </si>
  <si>
    <t>0470</t>
  </si>
  <si>
    <t xml:space="preserve">Wpływy z opłat za zarząd, użytkowanie i użytkowanie wieczyste nieruchomości  </t>
  </si>
  <si>
    <t>0690</t>
  </si>
  <si>
    <r>
      <t>Wpływy z różnych opłat</t>
    </r>
    <r>
      <rPr>
        <i/>
        <sz val="9"/>
        <rFont val="Times New Roman CE"/>
        <family val="1"/>
      </rPr>
      <t xml:space="preserve"> </t>
    </r>
    <r>
      <rPr>
        <sz val="7"/>
        <rFont val="Times New Roman CE"/>
        <family val="1"/>
      </rPr>
      <t>(za zajęcie nieruchomości, za nieterminową zabudowę, za służebność, za bezumowne korzystanie)</t>
    </r>
  </si>
  <si>
    <t>0750</t>
  </si>
  <si>
    <t>Dochody z najmu i dzierżawy składników majątkowych Skarbu Państwa, jst lub innych jednostek zaliczanych do sektora finansów publicznych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</si>
  <si>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</si>
  <si>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</si>
  <si>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</si>
  <si>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 oraz prawa użytkowania wieczystego nieruchomości</t>
  </si>
  <si>
    <t>Wpływy z różnych dochodów (zwrot kosztów przygotowania nieruchomości do zbycia)</t>
  </si>
  <si>
    <t>2110</t>
  </si>
  <si>
    <t>Dotacje celowe otrzymane z budżetu państwa na zadania bieżące z zakresu administracji rządowej oraz inne zadania zlecone ustawami realizowane przez powiat</t>
  </si>
  <si>
    <t>2360</t>
  </si>
  <si>
    <r>
      <t>Dochody jst związane z realizacją zadań z zakresu administracji rządowej oraz innych zadań zleconych ustawami</t>
    </r>
    <r>
      <rPr>
        <i/>
        <sz val="8"/>
        <rFont val="Times New Roman CE"/>
        <family val="0"/>
      </rPr>
      <t xml:space="preserve"> (25%  z majątku Skarbu Państwa)</t>
    </r>
  </si>
  <si>
    <t>70095</t>
  </si>
  <si>
    <t>710</t>
  </si>
  <si>
    <t>DZIAŁALNOŚĆ USŁUGOWA</t>
  </si>
  <si>
    <t>71004</t>
  </si>
  <si>
    <t>Plany zagospodarowania przestrzennego</t>
  </si>
  <si>
    <t>71013</t>
  </si>
  <si>
    <t>Prace geodezyjne i kartograficzne</t>
  </si>
  <si>
    <t>71014</t>
  </si>
  <si>
    <t>Opracowania geodezyjne i kartograficzne</t>
  </si>
  <si>
    <t>71015</t>
  </si>
  <si>
    <t xml:space="preserve">Nadzór  budowlany </t>
  </si>
  <si>
    <t>0920</t>
  </si>
  <si>
    <t xml:space="preserve">Pozostałe odsetki </t>
  </si>
  <si>
    <t>6410</t>
  </si>
  <si>
    <t>Dotacje celowe otrzymane z budżetu państwa na inwestycje i zakupy inwestycyjne z zakresu administracji rządowej oraz inne zadania zlecone ustawami realizowane przez powiat</t>
  </si>
  <si>
    <t>71035</t>
  </si>
  <si>
    <t>Cmentarze</t>
  </si>
  <si>
    <t xml:space="preserve"> </t>
  </si>
  <si>
    <t>2020</t>
  </si>
  <si>
    <t xml:space="preserve">Dotacje celowe otrzymane z budżetu państwa na zadania bieżące realizowane przez gminę na podstawie porozumień z organami administracji rządowej  </t>
  </si>
  <si>
    <t>71095</t>
  </si>
  <si>
    <t>0830</t>
  </si>
  <si>
    <t>Wpływy z usług</t>
  </si>
  <si>
    <t>750</t>
  </si>
  <si>
    <t>ADMINISTRACJA  PUBLICZNA</t>
  </si>
  <si>
    <t>75011</t>
  </si>
  <si>
    <t>Urzędy wojewódzkie</t>
  </si>
  <si>
    <r>
      <t xml:space="preserve">Dochody jst związane z realizacją zadań z zakresu administracji rządowej oraz innych zadań zleconych ustawami </t>
    </r>
    <r>
      <rPr>
        <sz val="7"/>
        <rFont val="Times New Roman CE"/>
        <family val="1"/>
      </rPr>
      <t>(5% za dowody osobiste)</t>
    </r>
  </si>
  <si>
    <t>75020</t>
  </si>
  <si>
    <t>Starostwa powiatowe</t>
  </si>
  <si>
    <t>0420</t>
  </si>
  <si>
    <t>Wpływy z opłaty komunikacyjnej</t>
  </si>
  <si>
    <r>
      <t>Wpływy z różnych opłat</t>
    </r>
    <r>
      <rPr>
        <sz val="7"/>
        <rFont val="Times New Roman CE"/>
        <family val="1"/>
      </rPr>
      <t xml:space="preserve"> (za karty wędkarskie)</t>
    </r>
  </si>
  <si>
    <t>75023</t>
  </si>
  <si>
    <t>Urzędy gmin</t>
  </si>
  <si>
    <r>
      <t xml:space="preserve">Wpływy z różnych opłat </t>
    </r>
    <r>
      <rPr>
        <i/>
        <sz val="8"/>
        <rFont val="Times New Roman CE"/>
        <family val="0"/>
      </rPr>
      <t>(czynności egzekucyjne, koszty procesowe, karta parkingowa)</t>
    </r>
  </si>
  <si>
    <t>Dochody z najmu i dzierżawy składników majątkowych Skarbu Państwa, jst lub innych jednostek zaliczanych do sektora fin. publ.</t>
  </si>
  <si>
    <r>
      <t xml:space="preserve">Wpływy z różnych dochodów </t>
    </r>
    <r>
      <rPr>
        <i/>
        <sz val="8"/>
        <rFont val="Times New Roman CE"/>
        <family val="0"/>
      </rPr>
      <t>(rozmowy tel., media, recykling, szkolenia, koszty upomnień)</t>
    </r>
  </si>
  <si>
    <t>75045</t>
  </si>
  <si>
    <t>Komisje poborowe</t>
  </si>
  <si>
    <t>2120</t>
  </si>
  <si>
    <t>Dotacje celowe otrzymane z budżetu państwa na zadania bieżące realizowane przez powiat na podstawie porozumień z organami administracji rządowej</t>
  </si>
  <si>
    <t>75095</t>
  </si>
  <si>
    <t>0570</t>
  </si>
  <si>
    <r>
      <t xml:space="preserve">Grzywny, mandaty i inne kary pieniężne od ludności - </t>
    </r>
    <r>
      <rPr>
        <sz val="8"/>
        <rFont val="Times New Roman CE"/>
        <family val="0"/>
      </rPr>
      <t>SM</t>
    </r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</si>
  <si>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</si>
  <si>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</si>
  <si>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</si>
  <si>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</si>
  <si>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</si>
  <si>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</si>
  <si>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75411</t>
  </si>
  <si>
    <t>Komendy  powiatowe Państwowej Straży Pożarnej</t>
  </si>
  <si>
    <t>Pozostałe odsetki</t>
  </si>
  <si>
    <t>Dochody jst związane z realizacją zadań z zakresu administracji rządowej oraz innych zadań zleconych ustawami</t>
  </si>
  <si>
    <t>75414</t>
  </si>
  <si>
    <t>Obrona cywilna</t>
  </si>
  <si>
    <t>Dotacje celowe otrzymane z budżetu państwa na zadania bieżące z zakresu administracji rządowej oraz inne zadania zlecone ustawami realizowane przez gminę</t>
  </si>
  <si>
    <t>756</t>
  </si>
  <si>
    <t xml:space="preserve">DOCHODY OD OSÓB PRAWNYCH, OD OSÓB  FIZYCZNYCH I OD INNYCH JEDNOSTEK NIEPOSIADAJĄCYCH OSOBOWOŚCI PRAWNEJ ORAZ WYDATKI ZWIĄZANE Z ICH POBOREM </t>
  </si>
  <si>
    <t>75601</t>
  </si>
  <si>
    <t>Wpływy z podatku dochodowego od osób fizycznych</t>
  </si>
  <si>
    <t>0350</t>
  </si>
  <si>
    <r>
      <t xml:space="preserve">Podatek od działalności gospodarczej osób fizycznych, opłacanych w formie </t>
    </r>
    <r>
      <rPr>
        <b/>
        <sz val="9"/>
        <rFont val="Times New Roman CE"/>
        <family val="1"/>
      </rPr>
      <t>karty podatkowej</t>
    </r>
  </si>
  <si>
    <t>75615</t>
  </si>
  <si>
    <t>Wpływy z podatku rolnego, podatku leśnego, podatku od czynności cywilnoprawnych, podatków i opłat lokalnych od osób prawnych 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</si>
  <si>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</si>
  <si>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</si>
  <si>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</si>
  <si>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</si>
  <si>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</si>
  <si>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</si>
  <si>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</si>
  <si>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</si>
  <si>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</si>
  <si>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</si>
  <si>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0500</t>
  </si>
  <si>
    <t>Podatek od czynności cywilno-prawnych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</si>
  <si>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</si>
  <si>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</si>
  <si>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</si>
  <si>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</si>
  <si>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0560</t>
  </si>
  <si>
    <t>Zaległości z podatków zniesionych</t>
  </si>
  <si>
    <t>2440</t>
  </si>
  <si>
    <t>Dotacje otrzymane z funduszy celowych na realizację zadań bieżących jednostek sektora finansów publicznych</t>
  </si>
  <si>
    <t>75618</t>
  </si>
  <si>
    <t xml:space="preserve">Wpływy z innych opłat stanowiących dochody  j.s.t.  na podstawie ustaw </t>
  </si>
  <si>
    <t>0410</t>
  </si>
  <si>
    <t>Wpływy z opłaty skarbowej</t>
  </si>
  <si>
    <t>0480</t>
  </si>
  <si>
    <t>Wpływy z opłat za zezwolenia na sprzedaż alkoholu</t>
  </si>
  <si>
    <t>0490</t>
  </si>
  <si>
    <r>
      <t xml:space="preserve">Wpływy z innych lokalnych opłat pobieranych przez jednostki samorządu terytorialnego na podstawie odrębnych ustaw </t>
    </r>
    <r>
      <rPr>
        <i/>
        <sz val="7"/>
        <rFont val="Times New Roman CE"/>
        <family val="0"/>
      </rPr>
      <t>(licencje na przewóz osób i rzeczy,wpis do ewid.dział.gosp., opłata prolongacyjna)</t>
    </r>
  </si>
  <si>
    <r>
      <t xml:space="preserve">Wpływy z innych lokalnych opłat pobieranych przez jednostki samorządu terytorialnego na podstawie odrębnych ustaw </t>
    </r>
    <r>
      <rPr>
        <i/>
        <sz val="8"/>
        <rFont val="Times New Roman CE"/>
        <family val="0"/>
      </rPr>
      <t>(adiacencka, planistyczna)</t>
    </r>
  </si>
  <si>
    <t>75619</t>
  </si>
  <si>
    <t>Wpływy z różnych rozliczeń</t>
  </si>
  <si>
    <t>0910</t>
  </si>
  <si>
    <t>Odsetki od nieterminowych wpłat z tytułu podatków i opłat</t>
  </si>
  <si>
    <t>75621</t>
  </si>
  <si>
    <t>Udziały gmin w podatkach stanowiących dochód budżetu państwa</t>
  </si>
  <si>
    <t>0010</t>
  </si>
  <si>
    <t xml:space="preserve">Podatek dochodowy od osób fizycznych  </t>
  </si>
  <si>
    <t>0020</t>
  </si>
  <si>
    <t xml:space="preserve">Podatek dochodowy od osób prawnych  </t>
  </si>
  <si>
    <t>75622</t>
  </si>
  <si>
    <t>Udziały  powiatów  w podatkach stanowiących dochód budżetu państwa</t>
  </si>
  <si>
    <t xml:space="preserve">Podatek dochodowy od osób fizycznych </t>
  </si>
  <si>
    <t>75624</t>
  </si>
  <si>
    <t>Dywidendy</t>
  </si>
  <si>
    <t>0740</t>
  </si>
  <si>
    <t>Wpływy z dywidend</t>
  </si>
  <si>
    <t>75647</t>
  </si>
  <si>
    <t>Pobór podatków, opłat i nieopodatkowanych należności budżetowych</t>
  </si>
  <si>
    <r>
      <t>Wpływy z różnych opłat</t>
    </r>
    <r>
      <rPr>
        <i/>
        <sz val="8"/>
        <rFont val="Times New Roman CE"/>
        <family val="0"/>
      </rPr>
      <t xml:space="preserve"> (za czynności egzekucyjne, zwrot kosztów procesowych) </t>
    </r>
  </si>
  <si>
    <r>
      <t xml:space="preserve">Wpływy z różnych dochodów </t>
    </r>
    <r>
      <rPr>
        <i/>
        <sz val="8"/>
        <rFont val="Times New Roman CE"/>
        <family val="0"/>
      </rPr>
      <t>(koszty upomnień)</t>
    </r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</si>
  <si>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</si>
  <si>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</si>
  <si>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</si>
  <si>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</si>
  <si>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</si>
  <si>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</si>
  <si>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75802</t>
  </si>
  <si>
    <t>Uzupełnienie subwencji ogólnej dla j.s.t.</t>
  </si>
  <si>
    <t>2750</t>
  </si>
  <si>
    <t>Środki na uzupełnienie dochodów gmin</t>
  </si>
  <si>
    <t>2790</t>
  </si>
  <si>
    <t>Środki na utrzymanie rzecznych przepraw promowych oraz budowę, modernizację, utrzymanie, ochronę i zarządzanie drogami krajowymi i wojewódzkimi w granicach miast na prawach powiatu</t>
  </si>
  <si>
    <t>75814</t>
  </si>
  <si>
    <t>Różne rozliczenia finansowe</t>
  </si>
  <si>
    <r>
      <t xml:space="preserve">Wpływy z różnych dochodów </t>
    </r>
    <r>
      <rPr>
        <i/>
        <sz val="7"/>
        <rFont val="Times New Roman CE"/>
        <family val="1"/>
      </rPr>
      <t>(rozliczenia lat ubiegłych-zwroty dotacji, kosztów sądowych, szkoły za rozliczenia z ZUS i US)</t>
    </r>
  </si>
  <si>
    <t>75831</t>
  </si>
  <si>
    <t>Część równoważąca subwencji ogólnej dla  gmin</t>
  </si>
  <si>
    <t>75832</t>
  </si>
  <si>
    <t>Część równoważąca subwencji ogólnej dla  powiatów</t>
  </si>
  <si>
    <t>gmina</t>
  </si>
  <si>
    <t>powiat</t>
  </si>
  <si>
    <t>801</t>
  </si>
  <si>
    <t>OŚWIATA I WYCHOWANIE</t>
  </si>
  <si>
    <t>pl pier</t>
  </si>
  <si>
    <t>planpozm</t>
  </si>
  <si>
    <t>wyk</t>
  </si>
  <si>
    <t>80101</t>
  </si>
  <si>
    <t>Szkoły podstawowe</t>
  </si>
  <si>
    <r>
      <t xml:space="preserve">Wpływy z różnych opłat </t>
    </r>
    <r>
      <rPr>
        <sz val="7"/>
        <rFont val="Times New Roman CE"/>
        <family val="1"/>
      </rPr>
      <t>(za legitymacje i inne druki)</t>
    </r>
  </si>
  <si>
    <t>2030</t>
  </si>
  <si>
    <t>Dotacje celowe przekazane z budżetu państwa na realizację własnych zadań bieżących gmin</t>
  </si>
  <si>
    <t>80102</t>
  </si>
  <si>
    <t>Szkoły podstawowe specjalne</t>
  </si>
  <si>
    <t>Wpływy z różnych opłat</t>
  </si>
  <si>
    <t>Kraj</t>
  </si>
  <si>
    <t>80104</t>
  </si>
  <si>
    <t>Przedszkola</t>
  </si>
  <si>
    <r>
      <t xml:space="preserve">Wpływy z różnych dochodów </t>
    </r>
    <r>
      <rPr>
        <i/>
        <sz val="8"/>
        <rFont val="Times New Roman CE"/>
        <family val="0"/>
      </rPr>
      <t>(zwroty z urzędów gmin za dzieci  spoza K-lina)</t>
    </r>
  </si>
  <si>
    <t>80110</t>
  </si>
  <si>
    <t>Gimnazja</t>
  </si>
  <si>
    <t>80114</t>
  </si>
  <si>
    <t>Zespoły obsługi ekonomiczno-administracyjnej szkół</t>
  </si>
  <si>
    <t>80120</t>
  </si>
  <si>
    <t>Licea ogólnokształcące</t>
  </si>
  <si>
    <t>80130</t>
  </si>
  <si>
    <t xml:space="preserve">Szkoły zawodowe </t>
  </si>
  <si>
    <r>
      <t>Wpływy z różnych opłat</t>
    </r>
    <r>
      <rPr>
        <sz val="7"/>
        <rFont val="Times New Roman CE"/>
        <family val="1"/>
      </rPr>
      <t xml:space="preserve"> (za legitymacje i inne druki)</t>
    </r>
  </si>
  <si>
    <t>80140</t>
  </si>
  <si>
    <t>Centrum Kształcenia Ustawicznego</t>
  </si>
  <si>
    <t>80195</t>
  </si>
  <si>
    <t>Dotacje celowe przekazane z budżetu państwa na realizację własnych  zadań bieżących gmin</t>
  </si>
  <si>
    <t>Dotacje celowe przekazane z budżetu państwa na zadania bieżące realizowane przez gminę na podstawie porozumień z organami administracji rządowej</t>
  </si>
  <si>
    <t>2130</t>
  </si>
  <si>
    <t>Dotacje celowe przekazane z budżetu państwa na realizację bieżących zadań własnych powiatu</t>
  </si>
  <si>
    <t>2700</t>
  </si>
  <si>
    <r>
      <t>Środki na dofinansowanie własnych zadań bieżących gmin pozyskane z innych źródeł -</t>
    </r>
    <r>
      <rPr>
        <b/>
        <i/>
        <sz val="8"/>
        <rFont val="Times New Roman CE"/>
        <family val="0"/>
      </rPr>
      <t xml:space="preserve"> "Śpiewająca Polska" </t>
    </r>
  </si>
  <si>
    <t>2707</t>
  </si>
  <si>
    <t xml:space="preserve">Środki na dofinansowanie własnych zadań bieżących gmin pozyskane z innych źródeł </t>
  </si>
  <si>
    <t>Program Comenius Partnerskie Projekty Szkół 2007/2008</t>
  </si>
  <si>
    <t>Szkolne Projekty Socrates Comenius 2006/2007</t>
  </si>
  <si>
    <t>Knowledge is Power - Wiedza to potęga</t>
  </si>
  <si>
    <t>Healthy lifestyle - ZS Sportowych</t>
  </si>
  <si>
    <t>Leonardo da Vinci</t>
  </si>
  <si>
    <r>
      <t xml:space="preserve">Środki na dofinansowanie własnych zadań bieżących gmin pozyskane z innych źródeł - </t>
    </r>
    <r>
      <rPr>
        <b/>
        <i/>
        <sz val="8"/>
        <rFont val="Times New Roman CE"/>
        <family val="0"/>
      </rPr>
      <t>Kraj naszych sąsiadów widziany oczami dzieci</t>
    </r>
  </si>
  <si>
    <r>
      <t xml:space="preserve">Dotacje celowe przekazane z budżetu państwa na realizację inwestycji i zakupów inwestycyjnych własnych powiatu - </t>
    </r>
    <r>
      <rPr>
        <b/>
        <i/>
        <sz val="8"/>
        <rFont val="Times New Roman"/>
        <family val="1"/>
      </rPr>
      <t>monitoring</t>
    </r>
  </si>
  <si>
    <t>851</t>
  </si>
  <si>
    <t>OCHRONA ZDROWIA</t>
  </si>
  <si>
    <t>85156</t>
  </si>
  <si>
    <t>Składki na ubezpieczenie zdrowotne oraz świadczenia dla osób nieobjętych obowiązkiem ubezpieczenia zdrowotnego</t>
  </si>
  <si>
    <t>85195</t>
  </si>
  <si>
    <t>Wpływy z różnych dochodów (Izby wytrzeźwień)</t>
  </si>
  <si>
    <t>Dotacje celowe otrzymane z budżetu państwa na realizację zadań bieżących z zakresu administracji rządowej oraz innych zadań zleconych gminie ustawami</t>
  </si>
  <si>
    <t>852</t>
  </si>
  <si>
    <t>POMOC SPOŁECZNA</t>
  </si>
  <si>
    <t>85201</t>
  </si>
  <si>
    <t>Placówki opiekuńczo-wychowawcze</t>
  </si>
  <si>
    <t>2320</t>
  </si>
  <si>
    <t>Dotacje celowe otrzymane z powiatu na zadania bieżące realizowane na podstawie porozumień (umów) między jst</t>
  </si>
  <si>
    <t>85202</t>
  </si>
  <si>
    <t>Domy pomocy społecznej</t>
  </si>
  <si>
    <t>0960</t>
  </si>
  <si>
    <t>Otrzymane spadki, zapisy i darowizny w postaci pieniężnej</t>
  </si>
  <si>
    <t>85203</t>
  </si>
  <si>
    <t>Ośrodki wsparcia</t>
  </si>
  <si>
    <r>
      <t>Wpływy z usług</t>
    </r>
    <r>
      <rPr>
        <sz val="7"/>
        <rFont val="Times New Roman CE"/>
        <family val="1"/>
      </rPr>
      <t xml:space="preserve"> (odpłatność za  pobyt w "Złotym Wieku" i  Hotelu dla Bezdomnych)</t>
    </r>
  </si>
  <si>
    <t>85204</t>
  </si>
  <si>
    <t>Rodziny zastępcze</t>
  </si>
  <si>
    <t>85212</t>
  </si>
  <si>
    <t>Świadczenia rodzinne, zaliczka alimentacyjna oraz składki na ubezpieczenia emerytalne i rentowe z ubezpieczenia społecznego</t>
  </si>
  <si>
    <t>6310</t>
  </si>
  <si>
    <t>Dotacje celowe otrzymane z budżetu państwa na inwestycje i zakupy inwestycyjne z zakresu administracji rządowej oraz innych zadań zleconych gminom ustawami</t>
  </si>
  <si>
    <t>85213</t>
  </si>
  <si>
    <t>Składki na ubezpieczenia zdrowotne opłacane za osoby pobierające niektóre świadczenia z pomocy społecznej oraz niektóre świadczenia rodzinne</t>
  </si>
  <si>
    <t>85214</t>
  </si>
  <si>
    <t>Zasiłki i pomoc w  naturze oraz składki na ubezpieczenia emerytalne i rentowe</t>
  </si>
  <si>
    <r>
      <t xml:space="preserve">Wpływy z różnych dochodów  </t>
    </r>
    <r>
      <rPr>
        <sz val="8"/>
        <rFont val="Times New Roman CE"/>
        <family val="1"/>
      </rPr>
      <t>(spłata pożyczek i zasiłków celowych)</t>
    </r>
  </si>
  <si>
    <t>Dotacje celowe otrzymane z budżetu państwa na realizację własnych zadań bieżących gmin</t>
  </si>
  <si>
    <t>85215</t>
  </si>
  <si>
    <t>Dodatki mieszkaniowe</t>
  </si>
  <si>
    <r>
      <t xml:space="preserve">Wpływy z różnych dochodów </t>
    </r>
    <r>
      <rPr>
        <sz val="8"/>
        <rFont val="Times New Roman CE"/>
        <family val="1"/>
      </rPr>
      <t xml:space="preserve"> (zwrot nadpłaconych dodatków)</t>
    </r>
  </si>
  <si>
    <t>85218</t>
  </si>
  <si>
    <t>Powiatowe centra pomocy społecznej</t>
  </si>
  <si>
    <t>85219</t>
  </si>
  <si>
    <t>Ośrodki pomocy społecznej</t>
  </si>
  <si>
    <t>85220</t>
  </si>
  <si>
    <t xml:space="preserve">Jednostki specjalistycznego poradnictwa, mieszkania chronione i ośrodki interwencji kryzysowej </t>
  </si>
  <si>
    <r>
      <t>Wpływy z usług</t>
    </r>
    <r>
      <rPr>
        <sz val="8"/>
        <rFont val="Times New Roman CE"/>
        <family val="1"/>
      </rPr>
      <t xml:space="preserve"> (odpłatność za pobyt w mieszkaniach chronionych)</t>
    </r>
  </si>
  <si>
    <t>Dotacje celowe przekazane z budżetu państwa na realizację bieżących żądań własnych powiatu</t>
  </si>
  <si>
    <t>85226</t>
  </si>
  <si>
    <t>Ośrodki opiekuńczo-wychowawcze</t>
  </si>
  <si>
    <t>85228</t>
  </si>
  <si>
    <t>Usługi opiekuńcze i specjalistyczne usługi opiekuńcze</t>
  </si>
  <si>
    <r>
      <t xml:space="preserve">Wpływy z usług  </t>
    </r>
    <r>
      <rPr>
        <sz val="7"/>
        <rFont val="Times New Roman CE"/>
        <family val="1"/>
      </rPr>
      <t>(odpłatność za usługi opiekuńcze)</t>
    </r>
  </si>
  <si>
    <t>85295</t>
  </si>
  <si>
    <r>
      <t>Wpływy z usług  (</t>
    </r>
    <r>
      <rPr>
        <sz val="7"/>
        <rFont val="Times New Roman CE"/>
        <family val="1"/>
      </rPr>
      <t>odpłatność za usługi transportowe)</t>
    </r>
  </si>
  <si>
    <r>
      <t>Wpływy z różnych dochodów -</t>
    </r>
    <r>
      <rPr>
        <sz val="8"/>
        <rFont val="Times New Roman CE"/>
        <family val="0"/>
      </rPr>
      <t xml:space="preserve"> </t>
    </r>
    <r>
      <rPr>
        <b/>
        <i/>
        <sz val="8"/>
        <rFont val="Times New Roman CE"/>
        <family val="0"/>
      </rPr>
      <t>prace społecznie-użyteczne</t>
    </r>
  </si>
  <si>
    <t xml:space="preserve">Dotacje celowe otrzymane z budżetu państwa na zadania bieżące realizowane przez gminę na podstawie porozumień z organami administracji rządowej </t>
  </si>
  <si>
    <t>Karuzela - Program profilaktyczny dla rodzin z małoletnimi dziećmi w placówce opiekuńczo-wychowawczej wsparcia dziennego</t>
  </si>
  <si>
    <t>Rozwój niespokrewnionych z dzieckiem zawodowych rodzin zastępczych w Ośrodku Adopcyjno - Opiekuńczym w Koszalinie</t>
  </si>
  <si>
    <t>853</t>
  </si>
  <si>
    <t>POZOSTAŁE ZADANIA W ZAKRESIE POLITYKI SPOŁECZNEJ</t>
  </si>
  <si>
    <t>85305</t>
  </si>
  <si>
    <t>Żłobki</t>
  </si>
  <si>
    <t>85311</t>
  </si>
  <si>
    <t>Rehabilitacja zawodowa i społeczna osób niepełnosprawnych</t>
  </si>
  <si>
    <t>85321</t>
  </si>
  <si>
    <t>Zespoły do spraw orzekania o niepełnosprawności</t>
  </si>
  <si>
    <t>Dotacje celowe otrzymane z budżetu państwa na zadania  bieżące z zakresu administracji rządowej  oraz inne zadania zlecone ustawami realizowane przez powiat</t>
  </si>
  <si>
    <t>85324</t>
  </si>
  <si>
    <t>Państwowy Fundusz Rehabilitacji Osób Niepełnosprawnych</t>
  </si>
  <si>
    <t>Wpływy z różnych dochodów (PFRON)</t>
  </si>
  <si>
    <t>85395</t>
  </si>
  <si>
    <t>2008</t>
  </si>
  <si>
    <t>Dotacje rozwojowe oraz środki na finansowanie Wspólnej Polityki Rolnej</t>
  </si>
  <si>
    <t>"Start"</t>
  </si>
  <si>
    <t>Mam skrzydła-lecę do pracy</t>
  </si>
  <si>
    <t>Szkoły zawodowe dodają skrzydeł</t>
  </si>
  <si>
    <t>2009</t>
  </si>
  <si>
    <t>854</t>
  </si>
  <si>
    <t>EDUKACYJNA   OPIEKA WYCHOWAWCZA</t>
  </si>
  <si>
    <t>85403</t>
  </si>
  <si>
    <t>Specjalne ośrodki szkolno -wychowawcze</t>
  </si>
  <si>
    <t>85406</t>
  </si>
  <si>
    <t>Poradnia psychologiczno - pedagogiczna</t>
  </si>
  <si>
    <t>85407</t>
  </si>
  <si>
    <t>Placówki wychowania pozaszkolnego MDK</t>
  </si>
  <si>
    <t>Dochody z najmu i dzierżawy składników majątkowych Skarbu Państwa, jst lub innych jednostek zaliczanych do sektora finansów publicznych oraz innych umów o podobnym charakterze</t>
  </si>
  <si>
    <t>85410</t>
  </si>
  <si>
    <t>Internaty i bursy szkolne</t>
  </si>
  <si>
    <t xml:space="preserve">Wpływy ze sprzedaż składników majątkowych </t>
  </si>
  <si>
    <t>85415</t>
  </si>
  <si>
    <t>Pomoc materialna dla uczniów</t>
  </si>
  <si>
    <t>2888</t>
  </si>
  <si>
    <t xml:space="preserve">Dotacja celowa otrzymana przez jst od innej jst będącej instytucją wdrażającą na zadania bieżące realizowane na podstawie porozumień </t>
  </si>
  <si>
    <t>2889</t>
  </si>
  <si>
    <t>85417</t>
  </si>
  <si>
    <t>Szkolne schroniska młodzieżowe</t>
  </si>
  <si>
    <t>85495</t>
  </si>
  <si>
    <r>
      <t xml:space="preserve">Dotacje otrzymane z funduszy celowych na realizację zadań bieżących jednostek sektora finansów publicznych </t>
    </r>
    <r>
      <rPr>
        <i/>
        <sz val="8"/>
        <rFont val="Times New Roman CE"/>
        <family val="0"/>
      </rPr>
      <t>(Pałac Młodzieży -konkurs ekologiczny)</t>
    </r>
  </si>
  <si>
    <t>900</t>
  </si>
  <si>
    <t>GOSPODARKA KOMUNALNA I  OCHRONA ŚRODOWISKA</t>
  </si>
  <si>
    <t>90003</t>
  </si>
  <si>
    <t>Oczyszczanie miast i wsi</t>
  </si>
  <si>
    <t>90013</t>
  </si>
  <si>
    <t>Schroniska dla zwierząt</t>
  </si>
  <si>
    <t>Opłaty za schronisko</t>
  </si>
  <si>
    <t>90095</t>
  </si>
  <si>
    <r>
      <t xml:space="preserve">Środki na dofinansowanie własnych zadań bieżących gmin, powiatów, pozyskane z innych źródeł - </t>
    </r>
    <r>
      <rPr>
        <b/>
        <i/>
        <sz val="7"/>
        <rFont val="Times New Roman CE"/>
        <family val="0"/>
      </rPr>
      <t>CONCERTO ACT</t>
    </r>
  </si>
  <si>
    <t>6290</t>
  </si>
  <si>
    <r>
      <t xml:space="preserve">Środki na dofinansowanie własnych inwestycji gmin pozyskane z innych źródeł - </t>
    </r>
    <r>
      <rPr>
        <b/>
        <i/>
        <sz val="8"/>
        <rFont val="Times New Roman CE"/>
        <family val="0"/>
      </rPr>
      <t>inwestycyjne inicjatywy społeczne</t>
    </r>
  </si>
  <si>
    <t>921</t>
  </si>
  <si>
    <t>KULTURA I OCHRONA DZIEDZICTWA NARODOWEGO</t>
  </si>
  <si>
    <t>92105</t>
  </si>
  <si>
    <t>Pozostałe zadania w zakresie kultury</t>
  </si>
  <si>
    <t>2705</t>
  </si>
  <si>
    <r>
      <t>Środki na dofinansowanie własnych zadań bieżących pozyskane z innych źródeł -</t>
    </r>
    <r>
      <rPr>
        <b/>
        <i/>
        <sz val="7"/>
        <rFont val="Times New Roman CE"/>
        <family val="0"/>
      </rPr>
      <t>POMERN DESIGN 2007</t>
    </r>
  </si>
  <si>
    <t>POMERN DESIGN 2006</t>
  </si>
  <si>
    <t xml:space="preserve">Środki na dofinansowanie własnych zadań bieżących pozyskane z innych źródeł </t>
  </si>
  <si>
    <t>Festiwal Kulinarny 2006</t>
  </si>
  <si>
    <t>Środki na dofinansowanie własnych zadań bieżących pozyskane z innych źródeł</t>
  </si>
  <si>
    <t>92106</t>
  </si>
  <si>
    <t>Teatry dramatyczne i lalkowe</t>
  </si>
  <si>
    <t>6298</t>
  </si>
  <si>
    <r>
      <t>Środki na dofinansowanie własnych inwestycji gmin, powiatów pozyskane z innych źródeł</t>
    </r>
  </si>
  <si>
    <t>92108</t>
  </si>
  <si>
    <t>Filharmonie, orkiestry, chóry i kapele</t>
  </si>
  <si>
    <t>92116</t>
  </si>
  <si>
    <t>Biblioteki</t>
  </si>
  <si>
    <t>92118</t>
  </si>
  <si>
    <t>Muzea</t>
  </si>
  <si>
    <t>92195</t>
  </si>
  <si>
    <r>
      <t xml:space="preserve">Środki na dofinansowanie własnych zadań bieżących pozyskane z innych źródeł </t>
    </r>
    <r>
      <rPr>
        <sz val="8"/>
        <rFont val="Times New Roman CE"/>
        <family val="0"/>
      </rPr>
      <t>-</t>
    </r>
    <r>
      <rPr>
        <b/>
        <i/>
        <sz val="8"/>
        <rFont val="Times New Roman CE"/>
        <family val="0"/>
      </rPr>
      <t xml:space="preserve"> XII Polsko-Niemiecki Festiwal Młodzieży 2007</t>
    </r>
  </si>
  <si>
    <t>926</t>
  </si>
  <si>
    <t>KULTURA FIZYCZNA I SPORT</t>
  </si>
  <si>
    <t>92601</t>
  </si>
  <si>
    <t>Obiekty sportowe</t>
  </si>
  <si>
    <r>
      <t>Środki na dofinansowanie własnych inwestycji gmin, powiatów pozyskane z innych źródeł -</t>
    </r>
    <r>
      <rPr>
        <b/>
        <i/>
        <sz val="8"/>
        <rFont val="Times New Roman CE"/>
        <family val="0"/>
      </rPr>
      <t>Centrum Rekreacyjno-Sportowe</t>
    </r>
  </si>
  <si>
    <t>Euroboiska</t>
  </si>
  <si>
    <t xml:space="preserve">Środki na dofinansowanie własnych inwestycji gmin, powiatów pozyskane z innych źródeł </t>
  </si>
  <si>
    <t>6299</t>
  </si>
  <si>
    <t>Moje Boisko Orlik - 2012</t>
  </si>
  <si>
    <t>6300</t>
  </si>
  <si>
    <r>
      <t>Wpływy z tytułu pomocy finansowej udzielanej między jst na dofinansowanie własnych zadań inwestycyjnych i zakupów inwestycyjnych</t>
    </r>
    <r>
      <rPr>
        <b/>
        <i/>
        <sz val="8"/>
        <rFont val="Times New Roman CE"/>
        <family val="0"/>
      </rPr>
      <t xml:space="preserve"> </t>
    </r>
  </si>
  <si>
    <t>6330</t>
  </si>
  <si>
    <t xml:space="preserve">Dotacje celowe przekazane z budżetu państwa na realizację inwestycji i zakupów inwestycyjnych własnych gmin </t>
  </si>
  <si>
    <t>92695</t>
  </si>
  <si>
    <r>
      <t xml:space="preserve">Środki na dofinansowanie własnych zadań bieżących pozyskane z innych źródeł - </t>
    </r>
    <r>
      <rPr>
        <b/>
        <i/>
        <sz val="8"/>
        <rFont val="Times New Roman CE"/>
        <family val="0"/>
      </rPr>
      <t>Polsko-niemiecki turniej w tenisie stołowym</t>
    </r>
  </si>
  <si>
    <t>2710</t>
  </si>
  <si>
    <r>
      <t>Wpływy z tytułu pomocy finansowej udzielanej między jednostkami samorządu terytorialnego na dofinansowanie własnych zadań bieżących -</t>
    </r>
    <r>
      <rPr>
        <b/>
        <i/>
        <sz val="8"/>
        <rFont val="Times New Roman CE"/>
        <family val="0"/>
      </rPr>
      <t xml:space="preserve"> VI Bałtyckie Igrzyska Młodzieży</t>
    </r>
  </si>
  <si>
    <t>OGÓŁEM DOCHODY</t>
  </si>
  <si>
    <t>NA ZADANIA WŁASNE</t>
  </si>
  <si>
    <t>w tym:</t>
  </si>
  <si>
    <t xml:space="preserve">           porozumienia z jednostkami 
           samorządu terytorialnego</t>
  </si>
  <si>
    <t>NA ZADANIA ZLECONE</t>
  </si>
  <si>
    <t>POROZUMIENIA Z ORGANAMI ADMINISTRACJI RZĄDOWEJ</t>
  </si>
  <si>
    <t>GMINA OGÓŁEM</t>
  </si>
  <si>
    <t>POWIAT OGÓŁEM</t>
  </si>
  <si>
    <t>Autor dokumentu: Sylwia Szpak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</si>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</sst>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39">
    <font>
      <sz val="10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b/>
      <sz val="10"/>
      <color indexed="10"/>
      <name val="Arial CE"/>
      <family val="0"/>
    </font>
    <font>
      <sz val="9"/>
      <name val="Arial CE"/>
      <family val="0"/>
    </font>
    <font>
      <b/>
      <sz val="11"/>
      <name val="Times New Roman CE"/>
      <family val="1"/>
    </font>
    <font>
      <sz val="12"/>
      <name val="Arial CE"/>
      <family val="0"/>
    </font>
    <font>
      <sz val="11"/>
      <name val="Arial CE"/>
      <family val="0"/>
    </font>
    <font>
      <b/>
      <sz val="8"/>
      <name val="Times New Roman CE"/>
      <family val="1"/>
    </font>
    <font>
      <b/>
      <sz val="9"/>
      <name val="Arial CE"/>
      <family val="0"/>
    </font>
    <font>
      <b/>
      <sz val="6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0"/>
    </font>
    <font>
      <i/>
      <sz val="9"/>
      <name val="Times New Roman CE"/>
      <family val="0"/>
    </font>
    <font>
      <i/>
      <sz val="7"/>
      <name val="Times New Roman CE"/>
      <family val="0"/>
    </font>
    <font>
      <b/>
      <sz val="10"/>
      <name val="Arial CE"/>
      <family val="0"/>
    </font>
    <font>
      <b/>
      <i/>
      <sz val="9"/>
      <name val="Times New Roman CE"/>
      <family val="0"/>
    </font>
    <font>
      <i/>
      <sz val="10"/>
      <name val="Arial CE"/>
      <family val="0"/>
    </font>
    <font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0"/>
    </font>
    <font>
      <sz val="7"/>
      <name val="MS Sans Serif"/>
      <family val="0"/>
    </font>
    <font>
      <b/>
      <sz val="9"/>
      <name val="MS Sans Serif"/>
      <family val="2"/>
    </font>
    <font>
      <i/>
      <sz val="8"/>
      <name val="Arial CE"/>
      <family val="0"/>
    </font>
    <font>
      <b/>
      <i/>
      <sz val="7"/>
      <name val="Times New Roman CE"/>
      <family val="0"/>
    </font>
    <font>
      <b/>
      <i/>
      <sz val="10"/>
      <name val="Arial CE"/>
      <family val="0"/>
    </font>
    <font>
      <sz val="10"/>
      <color indexed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ahoma"/>
      <family val="0"/>
    </font>
    <font>
      <sz val="12"/>
      <name val="Times New Roman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1" xfId="0" applyNumberFormat="1" applyFont="1" applyFill="1" applyBorder="1" applyAlignment="1" applyProtection="1">
      <alignment horizontal="centerContinuous"/>
      <protection locked="0"/>
    </xf>
    <xf numFmtId="164" fontId="6" fillId="0" borderId="2" xfId="0" applyNumberFormat="1" applyFont="1" applyFill="1" applyBorder="1" applyAlignment="1" applyProtection="1">
      <alignment horizontal="centerContinuous"/>
      <protection locked="0"/>
    </xf>
    <xf numFmtId="1" fontId="7" fillId="0" borderId="3" xfId="0" applyNumberFormat="1" applyFont="1" applyFill="1" applyBorder="1" applyAlignment="1" applyProtection="1">
      <alignment horizontal="centerContinuous"/>
      <protection locked="0"/>
    </xf>
    <xf numFmtId="1" fontId="7" fillId="0" borderId="4" xfId="0" applyNumberFormat="1" applyFont="1" applyFill="1" applyBorder="1" applyAlignment="1" applyProtection="1">
      <alignment horizontal="centerContinuous"/>
      <protection locked="0"/>
    </xf>
    <xf numFmtId="1" fontId="8" fillId="0" borderId="5" xfId="0" applyNumberFormat="1" applyFont="1" applyFill="1" applyBorder="1" applyAlignment="1" applyProtection="1">
      <alignment horizontal="centerContinuous"/>
      <protection locked="0"/>
    </xf>
    <xf numFmtId="1" fontId="7" fillId="0" borderId="3" xfId="0" applyNumberFormat="1" applyFont="1" applyFill="1" applyBorder="1" applyAlignment="1" applyProtection="1">
      <alignment horizontal="centerContinuous"/>
      <protection locked="0"/>
    </xf>
    <xf numFmtId="1" fontId="7" fillId="0" borderId="4" xfId="0" applyNumberFormat="1" applyFont="1" applyFill="1" applyBorder="1" applyAlignment="1" applyProtection="1">
      <alignment horizontal="centerContinuous"/>
      <protection locked="0"/>
    </xf>
    <xf numFmtId="164" fontId="8" fillId="0" borderId="5" xfId="0" applyNumberFormat="1" applyFont="1" applyFill="1" applyBorder="1" applyAlignment="1" applyProtection="1">
      <alignment horizontal="centerContinuous"/>
      <protection locked="0"/>
    </xf>
    <xf numFmtId="1" fontId="7" fillId="0" borderId="6" xfId="0" applyNumberFormat="1" applyFont="1" applyFill="1" applyBorder="1" applyAlignment="1" applyProtection="1">
      <alignment horizontal="centerContinuous"/>
      <protection locked="0"/>
    </xf>
    <xf numFmtId="1" fontId="5" fillId="0" borderId="4" xfId="0" applyNumberFormat="1" applyFont="1" applyFill="1" applyBorder="1" applyAlignment="1" applyProtection="1">
      <alignment horizontal="centerContinuous"/>
      <protection locked="0"/>
    </xf>
    <xf numFmtId="1" fontId="8" fillId="0" borderId="0" xfId="0" applyNumberFormat="1" applyFont="1" applyFill="1" applyBorder="1" applyAlignment="1" applyProtection="1">
      <alignment horizontal="centerContinuous"/>
      <protection locked="0"/>
    </xf>
    <xf numFmtId="1" fontId="5" fillId="0" borderId="0" xfId="0" applyNumberFormat="1" applyFont="1" applyFill="1" applyBorder="1" applyAlignment="1" applyProtection="1">
      <alignment horizontal="left" wrapText="1"/>
      <protection locked="0"/>
    </xf>
    <xf numFmtId="1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164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4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164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3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164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164" fontId="8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1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1" fontId="8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0" applyNumberFormat="1" applyFont="1" applyFill="1" applyBorder="1" applyAlignment="1" applyProtection="1">
      <alignment horizontal="left" vertical="center" wrapText="1"/>
      <protection locked="0"/>
    </xf>
    <xf numFmtId="1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6" xfId="0" applyNumberFormat="1" applyFont="1" applyFill="1" applyBorder="1" applyAlignment="1" applyProtection="1">
      <alignment vertical="center" wrapText="1"/>
      <protection locked="0"/>
    </xf>
    <xf numFmtId="3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1" fontId="15" fillId="0" borderId="37" xfId="0" applyNumberFormat="1" applyFont="1" applyFill="1" applyBorder="1" applyAlignment="1" applyProtection="1">
      <alignment vertical="center" wrapText="1"/>
      <protection locked="0"/>
    </xf>
    <xf numFmtId="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30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 horizontal="left"/>
    </xf>
    <xf numFmtId="49" fontId="5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9" xfId="0" applyNumberFormat="1" applyFont="1" applyFill="1" applyBorder="1" applyAlignment="1" applyProtection="1">
      <alignment horizontal="left" vertical="center" wrapText="1"/>
      <protection locked="0"/>
    </xf>
    <xf numFmtId="1" fontId="5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1" xfId="0" applyNumberFormat="1" applyFont="1" applyFill="1" applyBorder="1" applyAlignment="1" applyProtection="1">
      <alignment horizontal="right" vertical="center" wrapText="1"/>
      <protection locked="0"/>
    </xf>
    <xf numFmtId="1" fontId="15" fillId="0" borderId="42" xfId="0" applyNumberFormat="1" applyFont="1" applyFill="1" applyBorder="1" applyAlignment="1" applyProtection="1">
      <alignment vertical="center" wrapText="1"/>
      <protection locked="0"/>
    </xf>
    <xf numFmtId="4" fontId="5" fillId="0" borderId="4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4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3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44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43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41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vertical="center" wrapText="1"/>
      <protection locked="0"/>
    </xf>
    <xf numFmtId="1" fontId="6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6" xfId="0" applyNumberFormat="1" applyFont="1" applyFill="1" applyBorder="1" applyAlignment="1" applyProtection="1">
      <alignment vertical="center" wrapText="1"/>
      <protection locked="0"/>
    </xf>
    <xf numFmtId="1" fontId="6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49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47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5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51" xfId="0" applyNumberFormat="1" applyFont="1" applyFill="1" applyBorder="1" applyAlignment="1" applyProtection="1">
      <alignment horizontal="centerContinuous" vertical="center"/>
      <protection locked="0"/>
    </xf>
    <xf numFmtId="0" fontId="5" fillId="0" borderId="52" xfId="0" applyNumberFormat="1" applyFont="1" applyFill="1" applyBorder="1" applyAlignment="1" applyProtection="1">
      <alignment vertical="center" wrapText="1"/>
      <protection locked="0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164" fontId="15" fillId="0" borderId="37" xfId="0" applyNumberFormat="1" applyFont="1" applyFill="1" applyBorder="1" applyAlignment="1" applyProtection="1">
      <alignment vertical="center" wrapText="1"/>
      <protection locked="0"/>
    </xf>
    <xf numFmtId="3" fontId="5" fillId="0" borderId="36" xfId="0" applyNumberFormat="1" applyFont="1" applyFill="1" applyBorder="1" applyAlignment="1" applyProtection="1">
      <alignment vertical="center"/>
      <protection locked="0"/>
    </xf>
    <xf numFmtId="165" fontId="17" fillId="0" borderId="54" xfId="0" applyNumberFormat="1" applyFont="1" applyFill="1" applyBorder="1" applyAlignment="1" applyProtection="1">
      <alignment vertical="center" wrapText="1"/>
      <protection locked="0"/>
    </xf>
    <xf numFmtId="3" fontId="5" fillId="0" borderId="55" xfId="0" applyNumberFormat="1" applyFont="1" applyFill="1" applyBorder="1" applyAlignment="1" applyProtection="1">
      <alignment vertical="center"/>
      <protection locked="0"/>
    </xf>
    <xf numFmtId="164" fontId="9" fillId="0" borderId="54" xfId="0" applyNumberFormat="1" applyFont="1" applyFill="1" applyBorder="1" applyAlignment="1" applyProtection="1">
      <alignment vertical="center"/>
      <protection locked="0"/>
    </xf>
    <xf numFmtId="165" fontId="9" fillId="0" borderId="54" xfId="0" applyNumberFormat="1" applyFont="1" applyFill="1" applyBorder="1" applyAlignment="1" applyProtection="1">
      <alignment vertical="center"/>
      <protection locked="0"/>
    </xf>
    <xf numFmtId="165" fontId="9" fillId="0" borderId="56" xfId="0" applyNumberFormat="1" applyFont="1" applyFill="1" applyBorder="1" applyAlignment="1" applyProtection="1">
      <alignment vertical="center"/>
      <protection locked="0"/>
    </xf>
    <xf numFmtId="49" fontId="5" fillId="0" borderId="38" xfId="0" applyNumberFormat="1" applyFont="1" applyFill="1" applyBorder="1" applyAlignment="1" applyProtection="1">
      <alignment horizontal="centerContinuous" vertical="center"/>
      <protection locked="0"/>
    </xf>
    <xf numFmtId="0" fontId="5" fillId="0" borderId="39" xfId="0" applyNumberFormat="1" applyFont="1" applyFill="1" applyBorder="1" applyAlignment="1" applyProtection="1">
      <alignment vertical="center" wrapText="1"/>
      <protection locked="0"/>
    </xf>
    <xf numFmtId="3" fontId="5" fillId="0" borderId="40" xfId="0" applyNumberFormat="1" applyFont="1" applyFill="1" applyBorder="1" applyAlignment="1" applyProtection="1">
      <alignment vertical="center"/>
      <protection locked="0"/>
    </xf>
    <xf numFmtId="3" fontId="5" fillId="0" borderId="41" xfId="0" applyNumberFormat="1" applyFont="1" applyFill="1" applyBorder="1" applyAlignment="1" applyProtection="1">
      <alignment vertical="center" wrapText="1"/>
      <protection locked="0"/>
    </xf>
    <xf numFmtId="164" fontId="15" fillId="0" borderId="57" xfId="0" applyNumberFormat="1" applyFont="1" applyFill="1" applyBorder="1" applyAlignment="1" applyProtection="1">
      <alignment vertical="center" wrapText="1"/>
      <protection locked="0"/>
    </xf>
    <xf numFmtId="3" fontId="5" fillId="0" borderId="58" xfId="0" applyNumberFormat="1" applyFont="1" applyFill="1" applyBorder="1" applyAlignment="1" applyProtection="1">
      <alignment vertical="center"/>
      <protection locked="0"/>
    </xf>
    <xf numFmtId="3" fontId="5" fillId="0" borderId="41" xfId="0" applyNumberFormat="1" applyFont="1" applyFill="1" applyBorder="1" applyAlignment="1" applyProtection="1">
      <alignment vertical="center"/>
      <protection locked="0"/>
    </xf>
    <xf numFmtId="165" fontId="9" fillId="0" borderId="44" xfId="0" applyNumberFormat="1" applyFont="1" applyFill="1" applyBorder="1" applyAlignment="1" applyProtection="1">
      <alignment vertical="center" wrapText="1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164" fontId="9" fillId="0" borderId="44" xfId="0" applyNumberFormat="1" applyFont="1" applyFill="1" applyBorder="1" applyAlignment="1" applyProtection="1">
      <alignment vertical="center"/>
      <protection locked="0"/>
    </xf>
    <xf numFmtId="165" fontId="9" fillId="0" borderId="44" xfId="0" applyNumberFormat="1" applyFont="1" applyFill="1" applyBorder="1" applyAlignment="1" applyProtection="1">
      <alignment vertical="center"/>
      <protection locked="0"/>
    </xf>
    <xf numFmtId="165" fontId="9" fillId="0" borderId="45" xfId="0" applyNumberFormat="1" applyFont="1" applyFill="1" applyBorder="1" applyAlignment="1" applyProtection="1">
      <alignment vertical="center"/>
      <protection locked="0"/>
    </xf>
    <xf numFmtId="49" fontId="7" fillId="0" borderId="59" xfId="0" applyNumberFormat="1" applyFont="1" applyFill="1" applyBorder="1" applyAlignment="1" applyProtection="1">
      <alignment horizontal="centerContinuous" vertical="center"/>
      <protection locked="0"/>
    </xf>
    <xf numFmtId="0" fontId="7" fillId="0" borderId="60" xfId="0" applyNumberFormat="1" applyFont="1" applyFill="1" applyBorder="1" applyAlignment="1" applyProtection="1">
      <alignment vertical="center" wrapText="1"/>
      <protection locked="0"/>
    </xf>
    <xf numFmtId="3" fontId="7" fillId="0" borderId="61" xfId="0" applyNumberFormat="1" applyFont="1" applyFill="1" applyBorder="1" applyAlignment="1" applyProtection="1">
      <alignment vertical="center"/>
      <protection locked="0"/>
    </xf>
    <xf numFmtId="3" fontId="7" fillId="0" borderId="62" xfId="0" applyNumberFormat="1" applyFont="1" applyFill="1" applyBorder="1" applyAlignment="1" applyProtection="1">
      <alignment vertical="center" wrapText="1"/>
      <protection locked="0"/>
    </xf>
    <xf numFmtId="164" fontId="6" fillId="0" borderId="63" xfId="0" applyNumberFormat="1" applyFont="1" applyFill="1" applyBorder="1" applyAlignment="1" applyProtection="1">
      <alignment vertical="center" wrapText="1"/>
      <protection locked="0"/>
    </xf>
    <xf numFmtId="3" fontId="7" fillId="0" borderId="64" xfId="0" applyNumberFormat="1" applyFont="1" applyFill="1" applyBorder="1" applyAlignment="1" applyProtection="1">
      <alignment vertical="center"/>
      <protection locked="0"/>
    </xf>
    <xf numFmtId="3" fontId="7" fillId="0" borderId="62" xfId="0" applyNumberFormat="1" applyFont="1" applyFill="1" applyBorder="1" applyAlignment="1" applyProtection="1">
      <alignment vertical="center"/>
      <protection locked="0"/>
    </xf>
    <xf numFmtId="165" fontId="8" fillId="0" borderId="42" xfId="0" applyNumberFormat="1" applyFont="1" applyFill="1" applyBorder="1" applyAlignment="1" applyProtection="1">
      <alignment vertical="center" wrapText="1"/>
      <protection locked="0"/>
    </xf>
    <xf numFmtId="3" fontId="7" fillId="0" borderId="65" xfId="0" applyNumberFormat="1" applyFont="1" applyFill="1" applyBorder="1" applyAlignment="1" applyProtection="1">
      <alignment vertical="center"/>
      <protection locked="0"/>
    </xf>
    <xf numFmtId="164" fontId="8" fillId="0" borderId="42" xfId="0" applyNumberFormat="1" applyFont="1" applyFill="1" applyBorder="1" applyAlignment="1" applyProtection="1">
      <alignment vertical="center"/>
      <protection locked="0"/>
    </xf>
    <xf numFmtId="165" fontId="8" fillId="0" borderId="42" xfId="0" applyNumberFormat="1" applyFont="1" applyFill="1" applyBorder="1" applyAlignment="1" applyProtection="1">
      <alignment vertical="center"/>
      <protection locked="0"/>
    </xf>
    <xf numFmtId="165" fontId="8" fillId="0" borderId="6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9" fontId="5" fillId="0" borderId="67" xfId="0" applyNumberFormat="1" applyFont="1" applyFill="1" applyBorder="1" applyAlignment="1" applyProtection="1">
      <alignment horizontal="centerContinuous" vertical="center"/>
      <protection locked="0"/>
    </xf>
    <xf numFmtId="0" fontId="5" fillId="0" borderId="68" xfId="0" applyNumberFormat="1" applyFont="1" applyFill="1" applyBorder="1" applyAlignment="1" applyProtection="1">
      <alignment vertical="center" wrapText="1"/>
      <protection locked="0"/>
    </xf>
    <xf numFmtId="3" fontId="5" fillId="0" borderId="69" xfId="0" applyNumberFormat="1" applyFont="1" applyFill="1" applyBorder="1" applyAlignment="1" applyProtection="1">
      <alignment vertical="center" wrapText="1"/>
      <protection locked="0"/>
    </xf>
    <xf numFmtId="3" fontId="5" fillId="0" borderId="70" xfId="0" applyNumberFormat="1" applyFont="1" applyFill="1" applyBorder="1" applyAlignment="1" applyProtection="1">
      <alignment vertical="center" wrapText="1"/>
      <protection locked="0"/>
    </xf>
    <xf numFmtId="164" fontId="15" fillId="0" borderId="68" xfId="0" applyNumberFormat="1" applyFont="1" applyFill="1" applyBorder="1" applyAlignment="1" applyProtection="1">
      <alignment vertical="center" wrapText="1"/>
      <protection locked="0"/>
    </xf>
    <xf numFmtId="3" fontId="5" fillId="0" borderId="71" xfId="0" applyNumberFormat="1" applyFont="1" applyFill="1" applyBorder="1" applyAlignment="1" applyProtection="1">
      <alignment vertical="center"/>
      <protection locked="0"/>
    </xf>
    <xf numFmtId="3" fontId="5" fillId="0" borderId="70" xfId="0" applyNumberFormat="1" applyFont="1" applyFill="1" applyBorder="1" applyAlignment="1" applyProtection="1">
      <alignment vertical="center"/>
      <protection locked="0"/>
    </xf>
    <xf numFmtId="165" fontId="9" fillId="0" borderId="68" xfId="0" applyNumberFormat="1" applyFont="1" applyFill="1" applyBorder="1" applyAlignment="1" applyProtection="1">
      <alignment vertical="center" wrapText="1"/>
      <protection locked="0"/>
    </xf>
    <xf numFmtId="164" fontId="9" fillId="0" borderId="68" xfId="0" applyNumberFormat="1" applyFont="1" applyFill="1" applyBorder="1" applyAlignment="1" applyProtection="1">
      <alignment vertical="center"/>
      <protection locked="0"/>
    </xf>
    <xf numFmtId="3" fontId="5" fillId="0" borderId="71" xfId="0" applyNumberFormat="1" applyFont="1" applyFill="1" applyBorder="1" applyAlignment="1" applyProtection="1">
      <alignment vertical="center" wrapText="1"/>
      <protection locked="0"/>
    </xf>
    <xf numFmtId="165" fontId="9" fillId="0" borderId="68" xfId="0" applyNumberFormat="1" applyFont="1" applyFill="1" applyBorder="1" applyAlignment="1" applyProtection="1">
      <alignment vertical="center"/>
      <protection locked="0"/>
    </xf>
    <xf numFmtId="165" fontId="9" fillId="0" borderId="72" xfId="0" applyNumberFormat="1" applyFont="1" applyFill="1" applyBorder="1" applyAlignment="1" applyProtection="1">
      <alignment vertical="center"/>
      <protection locked="0"/>
    </xf>
    <xf numFmtId="49" fontId="7" fillId="0" borderId="73" xfId="0" applyNumberFormat="1" applyFont="1" applyFill="1" applyBorder="1" applyAlignment="1" applyProtection="1">
      <alignment horizontal="centerContinuous" vertical="center"/>
      <protection locked="0"/>
    </xf>
    <xf numFmtId="0" fontId="7" fillId="0" borderId="16" xfId="0" applyNumberFormat="1" applyFont="1" applyFill="1" applyBorder="1" applyAlignment="1" applyProtection="1">
      <alignment vertical="center" wrapText="1"/>
      <protection locked="0"/>
    </xf>
    <xf numFmtId="3" fontId="7" fillId="0" borderId="26" xfId="0" applyNumberFormat="1" applyFont="1" applyFill="1" applyBorder="1" applyAlignment="1" applyProtection="1">
      <alignment vertical="center" wrapText="1"/>
      <protection locked="0"/>
    </xf>
    <xf numFmtId="164" fontId="8" fillId="0" borderId="27" xfId="0" applyNumberFormat="1" applyFont="1" applyFill="1" applyBorder="1" applyAlignment="1" applyProtection="1">
      <alignment vertical="center" wrapText="1"/>
      <protection locked="0"/>
    </xf>
    <xf numFmtId="3" fontId="7" fillId="0" borderId="74" xfId="0" applyNumberFormat="1" applyFont="1" applyFill="1" applyBorder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164" fontId="8" fillId="0" borderId="16" xfId="0" applyNumberFormat="1" applyFont="1" applyFill="1" applyBorder="1" applyAlignment="1" applyProtection="1">
      <alignment vertical="center"/>
      <protection locked="0"/>
    </xf>
    <xf numFmtId="165" fontId="8" fillId="0" borderId="5" xfId="0" applyNumberFormat="1" applyFont="1" applyFill="1" applyBorder="1" applyAlignment="1" applyProtection="1">
      <alignment vertical="center"/>
      <protection locked="0"/>
    </xf>
    <xf numFmtId="164" fontId="6" fillId="0" borderId="27" xfId="0" applyNumberFormat="1" applyFont="1" applyFill="1" applyBorder="1" applyAlignment="1" applyProtection="1">
      <alignment vertical="center" wrapText="1"/>
      <protection locked="0"/>
    </xf>
    <xf numFmtId="165" fontId="8" fillId="0" borderId="16" xfId="0" applyNumberFormat="1" applyFont="1" applyFill="1" applyBorder="1" applyAlignment="1" applyProtection="1">
      <alignment vertical="center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6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9" fontId="5" fillId="0" borderId="59" xfId="0" applyNumberFormat="1" applyFont="1" applyFill="1" applyBorder="1" applyAlignment="1" applyProtection="1">
      <alignment horizontal="centerContinuous" vertical="center"/>
      <protection locked="0"/>
    </xf>
    <xf numFmtId="0" fontId="5" fillId="0" borderId="42" xfId="0" applyNumberFormat="1" applyFont="1" applyFill="1" applyBorder="1" applyAlignment="1" applyProtection="1">
      <alignment vertical="center" wrapText="1"/>
      <protection locked="0"/>
    </xf>
    <xf numFmtId="3" fontId="5" fillId="0" borderId="61" xfId="0" applyNumberFormat="1" applyFont="1" applyFill="1" applyBorder="1" applyAlignment="1" applyProtection="1">
      <alignment vertical="center" wrapText="1"/>
      <protection locked="0"/>
    </xf>
    <xf numFmtId="3" fontId="5" fillId="0" borderId="62" xfId="0" applyNumberFormat="1" applyFont="1" applyFill="1" applyBorder="1" applyAlignment="1" applyProtection="1">
      <alignment vertical="center" wrapText="1"/>
      <protection locked="0"/>
    </xf>
    <xf numFmtId="164" fontId="17" fillId="0" borderId="63" xfId="0" applyNumberFormat="1" applyFont="1" applyFill="1" applyBorder="1" applyAlignment="1" applyProtection="1">
      <alignment vertical="center" wrapText="1"/>
      <protection locked="0"/>
    </xf>
    <xf numFmtId="3" fontId="5" fillId="0" borderId="65" xfId="0" applyNumberFormat="1" applyFont="1" applyFill="1" applyBorder="1" applyAlignment="1" applyProtection="1">
      <alignment vertical="center"/>
      <protection locked="0"/>
    </xf>
    <xf numFmtId="3" fontId="5" fillId="0" borderId="62" xfId="0" applyNumberFormat="1" applyFont="1" applyFill="1" applyBorder="1" applyAlignment="1" applyProtection="1">
      <alignment vertical="center"/>
      <protection locked="0"/>
    </xf>
    <xf numFmtId="165" fontId="17" fillId="0" borderId="42" xfId="0" applyNumberFormat="1" applyFont="1" applyFill="1" applyBorder="1" applyAlignment="1" applyProtection="1">
      <alignment vertical="center" wrapText="1"/>
      <protection locked="0"/>
    </xf>
    <xf numFmtId="164" fontId="9" fillId="0" borderId="42" xfId="0" applyNumberFormat="1" applyFont="1" applyFill="1" applyBorder="1" applyAlignment="1" applyProtection="1">
      <alignment vertical="center"/>
      <protection locked="0"/>
    </xf>
    <xf numFmtId="165" fontId="9" fillId="0" borderId="42" xfId="0" applyNumberFormat="1" applyFont="1" applyFill="1" applyBorder="1" applyAlignment="1" applyProtection="1">
      <alignment vertical="center"/>
      <protection locked="0"/>
    </xf>
    <xf numFmtId="165" fontId="9" fillId="0" borderId="66" xfId="0" applyNumberFormat="1" applyFont="1" applyFill="1" applyBorder="1" applyAlignment="1" applyProtection="1">
      <alignment vertical="center"/>
      <protection locked="0"/>
    </xf>
    <xf numFmtId="49" fontId="7" fillId="0" borderId="75" xfId="0" applyNumberFormat="1" applyFont="1" applyFill="1" applyBorder="1" applyAlignment="1" applyProtection="1">
      <alignment horizontal="centerContinuous" vertical="center"/>
      <protection locked="0"/>
    </xf>
    <xf numFmtId="0" fontId="6" fillId="0" borderId="76" xfId="0" applyNumberFormat="1" applyFont="1" applyFill="1" applyBorder="1" applyAlignment="1" applyProtection="1">
      <alignment vertical="center" wrapText="1"/>
      <protection locked="0"/>
    </xf>
    <xf numFmtId="3" fontId="7" fillId="0" borderId="77" xfId="0" applyNumberFormat="1" applyFont="1" applyFill="1" applyBorder="1" applyAlignment="1" applyProtection="1">
      <alignment vertical="center" wrapText="1"/>
      <protection locked="0"/>
    </xf>
    <xf numFmtId="3" fontId="7" fillId="0" borderId="78" xfId="0" applyNumberFormat="1" applyFont="1" applyFill="1" applyBorder="1" applyAlignment="1" applyProtection="1">
      <alignment vertical="center" wrapText="1"/>
      <protection locked="0"/>
    </xf>
    <xf numFmtId="164" fontId="6" fillId="0" borderId="76" xfId="0" applyNumberFormat="1" applyFont="1" applyFill="1" applyBorder="1" applyAlignment="1" applyProtection="1">
      <alignment vertical="center" wrapText="1"/>
      <protection locked="0"/>
    </xf>
    <xf numFmtId="3" fontId="7" fillId="0" borderId="79" xfId="0" applyNumberFormat="1" applyFont="1" applyFill="1" applyBorder="1" applyAlignment="1" applyProtection="1">
      <alignment vertical="center"/>
      <protection locked="0"/>
    </xf>
    <xf numFmtId="3" fontId="7" fillId="0" borderId="78" xfId="0" applyNumberFormat="1" applyFont="1" applyFill="1" applyBorder="1" applyAlignment="1" applyProtection="1">
      <alignment vertical="center"/>
      <protection locked="0"/>
    </xf>
    <xf numFmtId="165" fontId="8" fillId="0" borderId="76" xfId="0" applyNumberFormat="1" applyFont="1" applyFill="1" applyBorder="1" applyAlignment="1" applyProtection="1">
      <alignment vertical="center" wrapText="1"/>
      <protection locked="0"/>
    </xf>
    <xf numFmtId="164" fontId="8" fillId="0" borderId="76" xfId="0" applyNumberFormat="1" applyFont="1" applyFill="1" applyBorder="1" applyAlignment="1" applyProtection="1">
      <alignment vertical="center"/>
      <protection locked="0"/>
    </xf>
    <xf numFmtId="165" fontId="8" fillId="0" borderId="76" xfId="0" applyNumberFormat="1" applyFont="1" applyFill="1" applyBorder="1" applyAlignment="1" applyProtection="1">
      <alignment vertical="center"/>
      <protection locked="0"/>
    </xf>
    <xf numFmtId="165" fontId="8" fillId="0" borderId="80" xfId="0" applyNumberFormat="1" applyFont="1" applyFill="1" applyBorder="1" applyAlignment="1" applyProtection="1">
      <alignment vertical="center"/>
      <protection locked="0"/>
    </xf>
    <xf numFmtId="164" fontId="6" fillId="0" borderId="16" xfId="0" applyNumberFormat="1" applyFont="1" applyFill="1" applyBorder="1" applyAlignment="1" applyProtection="1">
      <alignment vertical="center" wrapText="1"/>
      <protection locked="0"/>
    </xf>
    <xf numFmtId="3" fontId="7" fillId="0" borderId="74" xfId="0" applyNumberFormat="1" applyFont="1" applyFill="1" applyBorder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165" fontId="8" fillId="0" borderId="16" xfId="0" applyNumberFormat="1" applyFont="1" applyFill="1" applyBorder="1" applyAlignment="1" applyProtection="1">
      <alignment vertical="center"/>
      <protection locked="0"/>
    </xf>
    <xf numFmtId="165" fontId="8" fillId="0" borderId="5" xfId="0" applyNumberFormat="1" applyFont="1" applyFill="1" applyBorder="1" applyAlignment="1" applyProtection="1">
      <alignment vertical="center"/>
      <protection locked="0"/>
    </xf>
    <xf numFmtId="0" fontId="19" fillId="0" borderId="16" xfId="0" applyNumberFormat="1" applyFont="1" applyFill="1" applyBorder="1" applyAlignment="1" applyProtection="1">
      <alignment vertical="center" wrapText="1"/>
      <protection locked="0"/>
    </xf>
    <xf numFmtId="3" fontId="20" fillId="0" borderId="26" xfId="0" applyNumberFormat="1" applyFont="1" applyFill="1" applyBorder="1" applyAlignment="1" applyProtection="1">
      <alignment vertical="center" wrapText="1"/>
      <protection locked="0"/>
    </xf>
    <xf numFmtId="3" fontId="20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  <protection locked="0"/>
    </xf>
    <xf numFmtId="3" fontId="20" fillId="0" borderId="74" xfId="0" applyNumberFormat="1" applyFont="1" applyFill="1" applyBorder="1" applyAlignment="1" applyProtection="1">
      <alignment vertical="center"/>
      <protection locked="0"/>
    </xf>
    <xf numFmtId="3" fontId="20" fillId="0" borderId="6" xfId="0" applyNumberFormat="1" applyFont="1" applyFill="1" applyBorder="1" applyAlignment="1" applyProtection="1">
      <alignment vertical="center"/>
      <protection locked="0"/>
    </xf>
    <xf numFmtId="49" fontId="7" fillId="0" borderId="67" xfId="0" applyNumberFormat="1" applyFont="1" applyFill="1" applyBorder="1" applyAlignment="1" applyProtection="1">
      <alignment horizontal="centerContinuous" vertical="center"/>
      <protection locked="0"/>
    </xf>
    <xf numFmtId="0" fontId="19" fillId="0" borderId="68" xfId="0" applyNumberFormat="1" applyFont="1" applyFill="1" applyBorder="1" applyAlignment="1" applyProtection="1">
      <alignment vertical="center" wrapText="1"/>
      <protection locked="0"/>
    </xf>
    <xf numFmtId="3" fontId="20" fillId="0" borderId="69" xfId="0" applyNumberFormat="1" applyFont="1" applyFill="1" applyBorder="1" applyAlignment="1" applyProtection="1">
      <alignment vertical="center" wrapText="1"/>
      <protection locked="0"/>
    </xf>
    <xf numFmtId="3" fontId="20" fillId="0" borderId="70" xfId="0" applyNumberFormat="1" applyFont="1" applyFill="1" applyBorder="1" applyAlignment="1" applyProtection="1">
      <alignment vertical="center" wrapText="1"/>
      <protection locked="0"/>
    </xf>
    <xf numFmtId="164" fontId="19" fillId="0" borderId="68" xfId="0" applyNumberFormat="1" applyFont="1" applyFill="1" applyBorder="1" applyAlignment="1" applyProtection="1">
      <alignment vertical="center" wrapText="1"/>
      <protection locked="0"/>
    </xf>
    <xf numFmtId="3" fontId="20" fillId="0" borderId="71" xfId="0" applyNumberFormat="1" applyFont="1" applyFill="1" applyBorder="1" applyAlignment="1" applyProtection="1">
      <alignment vertical="center"/>
      <protection locked="0"/>
    </xf>
    <xf numFmtId="3" fontId="20" fillId="0" borderId="70" xfId="0" applyNumberFormat="1" applyFont="1" applyFill="1" applyBorder="1" applyAlignment="1" applyProtection="1">
      <alignment vertical="center"/>
      <protection locked="0"/>
    </xf>
    <xf numFmtId="165" fontId="8" fillId="0" borderId="68" xfId="0" applyNumberFormat="1" applyFont="1" applyFill="1" applyBorder="1" applyAlignment="1" applyProtection="1">
      <alignment vertical="center" wrapText="1"/>
      <protection locked="0"/>
    </xf>
    <xf numFmtId="3" fontId="7" fillId="0" borderId="71" xfId="0" applyNumberFormat="1" applyFont="1" applyFill="1" applyBorder="1" applyAlignment="1" applyProtection="1">
      <alignment vertical="center"/>
      <protection locked="0"/>
    </xf>
    <xf numFmtId="3" fontId="7" fillId="0" borderId="70" xfId="0" applyNumberFormat="1" applyFont="1" applyFill="1" applyBorder="1" applyAlignment="1" applyProtection="1">
      <alignment vertical="center"/>
      <protection locked="0"/>
    </xf>
    <xf numFmtId="164" fontId="8" fillId="0" borderId="68" xfId="0" applyNumberFormat="1" applyFont="1" applyFill="1" applyBorder="1" applyAlignment="1" applyProtection="1">
      <alignment vertical="center"/>
      <protection locked="0"/>
    </xf>
    <xf numFmtId="165" fontId="8" fillId="0" borderId="68" xfId="0" applyNumberFormat="1" applyFont="1" applyFill="1" applyBorder="1" applyAlignment="1" applyProtection="1">
      <alignment vertical="center"/>
      <protection locked="0"/>
    </xf>
    <xf numFmtId="165" fontId="8" fillId="0" borderId="72" xfId="0" applyNumberFormat="1" applyFont="1" applyFill="1" applyBorder="1" applyAlignment="1" applyProtection="1">
      <alignment vertical="center"/>
      <protection locked="0"/>
    </xf>
    <xf numFmtId="3" fontId="5" fillId="0" borderId="62" xfId="0" applyNumberFormat="1" applyFont="1" applyFill="1" applyBorder="1" applyAlignment="1" applyProtection="1">
      <alignment vertical="center" wrapText="1"/>
      <protection locked="0"/>
    </xf>
    <xf numFmtId="164" fontId="5" fillId="0" borderId="42" xfId="0" applyNumberFormat="1" applyFont="1" applyFill="1" applyBorder="1" applyAlignment="1" applyProtection="1">
      <alignment vertical="center" wrapText="1"/>
      <protection locked="0"/>
    </xf>
    <xf numFmtId="165" fontId="5" fillId="0" borderId="42" xfId="0" applyNumberFormat="1" applyFont="1" applyFill="1" applyBorder="1" applyAlignment="1" applyProtection="1">
      <alignment vertical="center" wrapText="1"/>
      <protection locked="0"/>
    </xf>
    <xf numFmtId="3" fontId="5" fillId="0" borderId="71" xfId="0" applyNumberFormat="1" applyFont="1" applyFill="1" applyBorder="1" applyAlignment="1" applyProtection="1">
      <alignment vertical="center"/>
      <protection locked="0"/>
    </xf>
    <xf numFmtId="3" fontId="5" fillId="0" borderId="70" xfId="0" applyNumberFormat="1" applyFont="1" applyFill="1" applyBorder="1" applyAlignment="1" applyProtection="1">
      <alignment vertical="center"/>
      <protection locked="0"/>
    </xf>
    <xf numFmtId="164" fontId="5" fillId="0" borderId="68" xfId="0" applyNumberFormat="1" applyFont="1" applyFill="1" applyBorder="1" applyAlignment="1" applyProtection="1">
      <alignment vertical="center"/>
      <protection locked="0"/>
    </xf>
    <xf numFmtId="165" fontId="5" fillId="0" borderId="68" xfId="0" applyNumberFormat="1" applyFont="1" applyFill="1" applyBorder="1" applyAlignment="1" applyProtection="1">
      <alignment vertical="center"/>
      <protection locked="0"/>
    </xf>
    <xf numFmtId="165" fontId="5" fillId="0" borderId="7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6" fillId="0" borderId="42" xfId="0" applyNumberFormat="1" applyFont="1" applyFill="1" applyBorder="1" applyAlignment="1" applyProtection="1">
      <alignment vertical="center" wrapText="1"/>
      <protection locked="0"/>
    </xf>
    <xf numFmtId="3" fontId="7" fillId="0" borderId="69" xfId="0" applyNumberFormat="1" applyFont="1" applyFill="1" applyBorder="1" applyAlignment="1" applyProtection="1">
      <alignment vertical="center" wrapText="1"/>
      <protection locked="0"/>
    </xf>
    <xf numFmtId="3" fontId="7" fillId="0" borderId="70" xfId="0" applyNumberFormat="1" applyFont="1" applyFill="1" applyBorder="1" applyAlignment="1" applyProtection="1">
      <alignment vertical="center" wrapText="1"/>
      <protection locked="0"/>
    </xf>
    <xf numFmtId="164" fontId="6" fillId="0" borderId="68" xfId="0" applyNumberFormat="1" applyFont="1" applyFill="1" applyBorder="1" applyAlignment="1" applyProtection="1">
      <alignment vertical="center" wrapText="1"/>
      <protection locked="0"/>
    </xf>
    <xf numFmtId="3" fontId="7" fillId="0" borderId="71" xfId="0" applyNumberFormat="1" applyFont="1" applyFill="1" applyBorder="1" applyAlignment="1" applyProtection="1">
      <alignment vertical="center"/>
      <protection locked="0"/>
    </xf>
    <xf numFmtId="3" fontId="7" fillId="0" borderId="70" xfId="0" applyNumberFormat="1" applyFont="1" applyFill="1" applyBorder="1" applyAlignment="1" applyProtection="1">
      <alignment vertical="center"/>
      <protection locked="0"/>
    </xf>
    <xf numFmtId="49" fontId="5" fillId="0" borderId="51" xfId="0" applyNumberFormat="1" applyFont="1" applyFill="1" applyBorder="1" applyAlignment="1" applyProtection="1">
      <alignment horizontal="centerContinuous" vertical="center"/>
      <protection locked="0"/>
    </xf>
    <xf numFmtId="0" fontId="5" fillId="0" borderId="54" xfId="0" applyNumberFormat="1" applyFont="1" applyFill="1" applyBorder="1" applyAlignment="1" applyProtection="1">
      <alignment vertical="center" wrapText="1"/>
      <protection locked="0"/>
    </xf>
    <xf numFmtId="3" fontId="5" fillId="0" borderId="53" xfId="0" applyNumberFormat="1" applyFont="1" applyFill="1" applyBorder="1" applyAlignment="1" applyProtection="1">
      <alignment vertical="center" wrapText="1"/>
      <protection locked="0"/>
    </xf>
    <xf numFmtId="3" fontId="5" fillId="0" borderId="36" xfId="0" applyNumberFormat="1" applyFont="1" applyFill="1" applyBorder="1" applyAlignment="1" applyProtection="1">
      <alignment vertical="center" wrapText="1"/>
      <protection locked="0"/>
    </xf>
    <xf numFmtId="3" fontId="5" fillId="0" borderId="55" xfId="0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Fill="1" applyBorder="1" applyAlignment="1" applyProtection="1">
      <alignment vertical="center"/>
      <protection locked="0"/>
    </xf>
    <xf numFmtId="165" fontId="9" fillId="0" borderId="37" xfId="0" applyNumberFormat="1" applyFont="1" applyFill="1" applyBorder="1" applyAlignment="1" applyProtection="1">
      <alignment vertical="center" wrapText="1"/>
      <protection locked="0"/>
    </xf>
    <xf numFmtId="164" fontId="9" fillId="0" borderId="54" xfId="0" applyNumberFormat="1" applyFont="1" applyFill="1" applyBorder="1" applyAlignment="1" applyProtection="1">
      <alignment vertical="center"/>
      <protection locked="0"/>
    </xf>
    <xf numFmtId="165" fontId="9" fillId="0" borderId="54" xfId="0" applyNumberFormat="1" applyFont="1" applyFill="1" applyBorder="1" applyAlignment="1" applyProtection="1">
      <alignment vertical="center"/>
      <protection locked="0"/>
    </xf>
    <xf numFmtId="165" fontId="9" fillId="0" borderId="56" xfId="0" applyNumberFormat="1" applyFont="1" applyFill="1" applyBorder="1" applyAlignment="1" applyProtection="1">
      <alignment vertical="center"/>
      <protection locked="0"/>
    </xf>
    <xf numFmtId="49" fontId="5" fillId="0" borderId="38" xfId="0" applyNumberFormat="1" applyFont="1" applyFill="1" applyBorder="1" applyAlignment="1" applyProtection="1">
      <alignment horizontal="centerContinuous" vertical="center"/>
      <protection locked="0"/>
    </xf>
    <xf numFmtId="0" fontId="5" fillId="0" borderId="44" xfId="0" applyNumberFormat="1" applyFont="1" applyFill="1" applyBorder="1" applyAlignment="1" applyProtection="1">
      <alignment vertical="center" wrapText="1"/>
      <protection locked="0"/>
    </xf>
    <xf numFmtId="3" fontId="5" fillId="0" borderId="40" xfId="0" applyNumberFormat="1" applyFont="1" applyFill="1" applyBorder="1" applyAlignment="1" applyProtection="1">
      <alignment vertical="center" wrapText="1"/>
      <protection locked="0"/>
    </xf>
    <xf numFmtId="3" fontId="5" fillId="0" borderId="41" xfId="0" applyNumberFormat="1" applyFont="1" applyFill="1" applyBorder="1" applyAlignment="1" applyProtection="1">
      <alignment vertical="center" wrapText="1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3" fontId="5" fillId="0" borderId="41" xfId="0" applyNumberFormat="1" applyFont="1" applyFill="1" applyBorder="1" applyAlignment="1" applyProtection="1">
      <alignment vertical="center"/>
      <protection locked="0"/>
    </xf>
    <xf numFmtId="164" fontId="9" fillId="0" borderId="44" xfId="0" applyNumberFormat="1" applyFont="1" applyFill="1" applyBorder="1" applyAlignment="1" applyProtection="1">
      <alignment vertical="center"/>
      <protection locked="0"/>
    </xf>
    <xf numFmtId="165" fontId="9" fillId="0" borderId="44" xfId="0" applyNumberFormat="1" applyFont="1" applyFill="1" applyBorder="1" applyAlignment="1" applyProtection="1">
      <alignment vertical="center"/>
      <protection locked="0"/>
    </xf>
    <xf numFmtId="165" fontId="9" fillId="0" borderId="45" xfId="0" applyNumberFormat="1" applyFont="1" applyFill="1" applyBorder="1" applyAlignment="1" applyProtection="1">
      <alignment vertical="center"/>
      <protection locked="0"/>
    </xf>
    <xf numFmtId="3" fontId="7" fillId="0" borderId="79" xfId="0" applyNumberFormat="1" applyFont="1" applyFill="1" applyBorder="1" applyAlignment="1" applyProtection="1">
      <alignment vertical="center"/>
      <protection locked="0"/>
    </xf>
    <xf numFmtId="3" fontId="7" fillId="0" borderId="78" xfId="0" applyNumberFormat="1" applyFont="1" applyFill="1" applyBorder="1" applyAlignment="1" applyProtection="1">
      <alignment vertical="center"/>
      <protection locked="0"/>
    </xf>
    <xf numFmtId="165" fontId="8" fillId="0" borderId="76" xfId="0" applyNumberFormat="1" applyFont="1" applyFill="1" applyBorder="1" applyAlignment="1" applyProtection="1">
      <alignment vertical="center"/>
      <protection locked="0"/>
    </xf>
    <xf numFmtId="165" fontId="8" fillId="0" borderId="80" xfId="0" applyNumberFormat="1" applyFont="1" applyFill="1" applyBorder="1" applyAlignment="1" applyProtection="1">
      <alignment vertical="center"/>
      <protection locked="0"/>
    </xf>
    <xf numFmtId="0" fontId="6" fillId="0" borderId="25" xfId="0" applyNumberFormat="1" applyFont="1" applyFill="1" applyBorder="1" applyAlignment="1" applyProtection="1">
      <alignment vertical="center" wrapText="1"/>
      <protection locked="0"/>
    </xf>
    <xf numFmtId="3" fontId="7" fillId="0" borderId="81" xfId="0" applyNumberFormat="1" applyFont="1" applyFill="1" applyBorder="1" applyAlignment="1" applyProtection="1">
      <alignment vertical="center" wrapText="1"/>
      <protection locked="0"/>
    </xf>
    <xf numFmtId="164" fontId="6" fillId="0" borderId="25" xfId="0" applyNumberFormat="1" applyFont="1" applyFill="1" applyBorder="1" applyAlignment="1" applyProtection="1">
      <alignment vertical="center" wrapText="1"/>
      <protection locked="0"/>
    </xf>
    <xf numFmtId="0" fontId="5" fillId="0" borderId="54" xfId="0" applyNumberFormat="1" applyFont="1" applyFill="1" applyBorder="1" applyAlignment="1" applyProtection="1">
      <alignment vertical="center" wrapText="1"/>
      <protection locked="0"/>
    </xf>
    <xf numFmtId="165" fontId="9" fillId="0" borderId="54" xfId="0" applyNumberFormat="1" applyFont="1" applyFill="1" applyBorder="1" applyAlignment="1" applyProtection="1">
      <alignment vertical="center" wrapText="1"/>
      <protection locked="0"/>
    </xf>
    <xf numFmtId="165" fontId="9" fillId="0" borderId="56" xfId="0" applyNumberFormat="1" applyFont="1" applyFill="1" applyBorder="1" applyAlignment="1" applyProtection="1">
      <alignment vertical="center" wrapText="1"/>
      <protection locked="0"/>
    </xf>
    <xf numFmtId="3" fontId="5" fillId="0" borderId="69" xfId="0" applyNumberFormat="1" applyFont="1" applyFill="1" applyBorder="1" applyAlignment="1" applyProtection="1">
      <alignment vertical="center"/>
      <protection locked="0"/>
    </xf>
    <xf numFmtId="165" fontId="9" fillId="0" borderId="72" xfId="0" applyNumberFormat="1" applyFont="1" applyFill="1" applyBorder="1" applyAlignment="1" applyProtection="1">
      <alignment vertical="center" wrapText="1"/>
      <protection locked="0"/>
    </xf>
    <xf numFmtId="165" fontId="8" fillId="0" borderId="80" xfId="0" applyNumberFormat="1" applyFont="1" applyFill="1" applyBorder="1" applyAlignment="1" applyProtection="1">
      <alignment vertical="center" wrapText="1"/>
      <protection locked="0"/>
    </xf>
    <xf numFmtId="165" fontId="8" fillId="0" borderId="5" xfId="0" applyNumberFormat="1" applyFont="1" applyFill="1" applyBorder="1" applyAlignment="1" applyProtection="1">
      <alignment vertical="center" wrapText="1"/>
      <protection locked="0"/>
    </xf>
    <xf numFmtId="0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63" xfId="0" applyNumberFormat="1" applyFont="1" applyFill="1" applyBorder="1" applyAlignment="1" applyProtection="1">
      <alignment vertical="center" wrapText="1"/>
      <protection locked="0"/>
    </xf>
    <xf numFmtId="165" fontId="9" fillId="0" borderId="42" xfId="0" applyNumberFormat="1" applyFont="1" applyFill="1" applyBorder="1" applyAlignment="1" applyProtection="1">
      <alignment vertical="center" wrapText="1"/>
      <protection locked="0"/>
    </xf>
    <xf numFmtId="165" fontId="9" fillId="0" borderId="66" xfId="0" applyNumberFormat="1" applyFont="1" applyFill="1" applyBorder="1" applyAlignment="1" applyProtection="1">
      <alignment vertical="center" wrapText="1"/>
      <protection locked="0"/>
    </xf>
    <xf numFmtId="164" fontId="6" fillId="0" borderId="82" xfId="0" applyNumberFormat="1" applyFont="1" applyFill="1" applyBorder="1" applyAlignment="1" applyProtection="1">
      <alignment vertical="center" wrapText="1"/>
      <protection locked="0"/>
    </xf>
    <xf numFmtId="3" fontId="5" fillId="0" borderId="53" xfId="0" applyNumberFormat="1" applyFont="1" applyFill="1" applyBorder="1" applyAlignment="1" applyProtection="1">
      <alignment vertical="center" wrapText="1"/>
      <protection locked="0"/>
    </xf>
    <xf numFmtId="3" fontId="5" fillId="0" borderId="55" xfId="0" applyNumberFormat="1" applyFont="1" applyFill="1" applyBorder="1" applyAlignment="1" applyProtection="1">
      <alignment vertical="center" wrapText="1"/>
      <protection locked="0"/>
    </xf>
    <xf numFmtId="164" fontId="15" fillId="0" borderId="83" xfId="0" applyNumberFormat="1" applyFont="1" applyFill="1" applyBorder="1" applyAlignment="1" applyProtection="1">
      <alignment vertical="center" wrapText="1"/>
      <protection locked="0"/>
    </xf>
    <xf numFmtId="3" fontId="5" fillId="0" borderId="84" xfId="0" applyNumberFormat="1" applyFont="1" applyFill="1" applyBorder="1" applyAlignment="1" applyProtection="1">
      <alignment vertical="center" wrapText="1"/>
      <protection locked="0"/>
    </xf>
    <xf numFmtId="3" fontId="7" fillId="0" borderId="65" xfId="0" applyNumberFormat="1" applyFont="1" applyFill="1" applyBorder="1" applyAlignment="1" applyProtection="1">
      <alignment vertical="center" wrapText="1"/>
      <protection locked="0"/>
    </xf>
    <xf numFmtId="3" fontId="7" fillId="0" borderId="64" xfId="0" applyNumberFormat="1" applyFont="1" applyFill="1" applyBorder="1" applyAlignment="1" applyProtection="1">
      <alignment vertical="center" wrapText="1"/>
      <protection locked="0"/>
    </xf>
    <xf numFmtId="165" fontId="8" fillId="0" borderId="66" xfId="0" applyNumberFormat="1" applyFont="1" applyFill="1" applyBorder="1" applyAlignment="1" applyProtection="1">
      <alignment vertical="center" wrapText="1"/>
      <protection locked="0"/>
    </xf>
    <xf numFmtId="3" fontId="5" fillId="0" borderId="85" xfId="0" applyNumberFormat="1" applyFont="1" applyFill="1" applyBorder="1" applyAlignment="1" applyProtection="1">
      <alignment vertical="center" wrapText="1"/>
      <protection locked="0"/>
    </xf>
    <xf numFmtId="0" fontId="6" fillId="0" borderId="7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8" xfId="0" applyNumberFormat="1" applyFont="1" applyFill="1" applyBorder="1" applyAlignment="1" applyProtection="1">
      <alignment vertical="center" wrapText="1"/>
      <protection locked="0"/>
    </xf>
    <xf numFmtId="165" fontId="8" fillId="0" borderId="72" xfId="0" applyNumberFormat="1" applyFont="1" applyFill="1" applyBorder="1" applyAlignment="1" applyProtection="1">
      <alignment vertical="center" wrapText="1"/>
      <protection locked="0"/>
    </xf>
    <xf numFmtId="164" fontId="15" fillId="0" borderId="63" xfId="0" applyNumberFormat="1" applyFont="1" applyFill="1" applyBorder="1" applyAlignment="1" applyProtection="1">
      <alignment vertical="center" wrapText="1"/>
      <protection locked="0"/>
    </xf>
    <xf numFmtId="3" fontId="5" fillId="0" borderId="65" xfId="0" applyNumberFormat="1" applyFont="1" applyFill="1" applyBorder="1" applyAlignment="1" applyProtection="1">
      <alignment vertical="center" wrapText="1"/>
      <protection locked="0"/>
    </xf>
    <xf numFmtId="0" fontId="7" fillId="0" borderId="76" xfId="0" applyNumberFormat="1" applyFont="1" applyFill="1" applyBorder="1" applyAlignment="1" applyProtection="1">
      <alignment vertical="center" wrapText="1"/>
      <protection locked="0"/>
    </xf>
    <xf numFmtId="164" fontId="6" fillId="0" borderId="83" xfId="0" applyNumberFormat="1" applyFont="1" applyFill="1" applyBorder="1" applyAlignment="1" applyProtection="1">
      <alignment vertical="center" wrapText="1"/>
      <protection locked="0"/>
    </xf>
    <xf numFmtId="164" fontId="8" fillId="0" borderId="68" xfId="0" applyNumberFormat="1" applyFont="1" applyFill="1" applyBorder="1" applyAlignment="1" applyProtection="1">
      <alignment vertical="center" wrapText="1"/>
      <protection locked="0"/>
    </xf>
    <xf numFmtId="3" fontId="5" fillId="0" borderId="77" xfId="0" applyNumberFormat="1" applyFont="1" applyFill="1" applyBorder="1" applyAlignment="1" applyProtection="1">
      <alignment vertical="center" wrapText="1"/>
      <protection locked="0"/>
    </xf>
    <xf numFmtId="3" fontId="7" fillId="0" borderId="78" xfId="0" applyNumberFormat="1" applyFont="1" applyFill="1" applyBorder="1" applyAlignment="1" applyProtection="1">
      <alignment vertical="center" wrapText="1"/>
      <protection locked="0"/>
    </xf>
    <xf numFmtId="164" fontId="15" fillId="0" borderId="82" xfId="0" applyNumberFormat="1" applyFont="1" applyFill="1" applyBorder="1" applyAlignment="1" applyProtection="1">
      <alignment vertical="center" wrapText="1"/>
      <protection locked="0"/>
    </xf>
    <xf numFmtId="165" fontId="9" fillId="0" borderId="76" xfId="0" applyNumberFormat="1" applyFont="1" applyFill="1" applyBorder="1" applyAlignment="1" applyProtection="1">
      <alignment vertical="center" wrapText="1"/>
      <protection locked="0"/>
    </xf>
    <xf numFmtId="3" fontId="5" fillId="0" borderId="79" xfId="0" applyNumberFormat="1" applyFont="1" applyFill="1" applyBorder="1" applyAlignment="1" applyProtection="1">
      <alignment vertical="center"/>
      <protection locked="0"/>
    </xf>
    <xf numFmtId="3" fontId="5" fillId="0" borderId="78" xfId="0" applyNumberFormat="1" applyFont="1" applyFill="1" applyBorder="1" applyAlignment="1" applyProtection="1">
      <alignment vertical="center"/>
      <protection locked="0"/>
    </xf>
    <xf numFmtId="164" fontId="9" fillId="0" borderId="76" xfId="0" applyNumberFormat="1" applyFont="1" applyFill="1" applyBorder="1" applyAlignment="1" applyProtection="1">
      <alignment vertical="center"/>
      <protection locked="0"/>
    </xf>
    <xf numFmtId="165" fontId="9" fillId="0" borderId="80" xfId="0" applyNumberFormat="1" applyFont="1" applyFill="1" applyBorder="1" applyAlignment="1" applyProtection="1">
      <alignment vertical="center" wrapText="1"/>
      <protection locked="0"/>
    </xf>
    <xf numFmtId="164" fontId="5" fillId="0" borderId="63" xfId="0" applyNumberFormat="1" applyFont="1" applyFill="1" applyBorder="1" applyAlignment="1" applyProtection="1">
      <alignment vertical="center" wrapText="1"/>
      <protection locked="0"/>
    </xf>
    <xf numFmtId="3" fontId="5" fillId="0" borderId="65" xfId="0" applyNumberFormat="1" applyFont="1" applyFill="1" applyBorder="1" applyAlignment="1" applyProtection="1">
      <alignment vertical="center"/>
      <protection locked="0"/>
    </xf>
    <xf numFmtId="3" fontId="5" fillId="0" borderId="62" xfId="0" applyNumberFormat="1" applyFont="1" applyFill="1" applyBorder="1" applyAlignment="1" applyProtection="1">
      <alignment vertical="center"/>
      <protection locked="0"/>
    </xf>
    <xf numFmtId="165" fontId="15" fillId="0" borderId="42" xfId="0" applyNumberFormat="1" applyFont="1" applyFill="1" applyBorder="1" applyAlignment="1" applyProtection="1">
      <alignment vertical="center" wrapText="1"/>
      <protection locked="0"/>
    </xf>
    <xf numFmtId="164" fontId="5" fillId="0" borderId="42" xfId="0" applyNumberFormat="1" applyFont="1" applyFill="1" applyBorder="1" applyAlignment="1" applyProtection="1">
      <alignment vertical="center"/>
      <protection locked="0"/>
    </xf>
    <xf numFmtId="165" fontId="5" fillId="0" borderId="66" xfId="0" applyNumberFormat="1" applyFont="1" applyFill="1" applyBorder="1" applyAlignment="1" applyProtection="1">
      <alignment vertical="center" wrapText="1"/>
      <protection locked="0"/>
    </xf>
    <xf numFmtId="164" fontId="15" fillId="0" borderId="54" xfId="0" applyNumberFormat="1" applyFont="1" applyFill="1" applyBorder="1" applyAlignment="1" applyProtection="1">
      <alignment vertical="center" wrapText="1"/>
      <protection locked="0"/>
    </xf>
    <xf numFmtId="164" fontId="9" fillId="0" borderId="54" xfId="0" applyNumberFormat="1" applyFont="1" applyFill="1" applyBorder="1" applyAlignment="1" applyProtection="1">
      <alignment vertical="center" wrapText="1"/>
      <protection locked="0"/>
    </xf>
    <xf numFmtId="164" fontId="9" fillId="0" borderId="68" xfId="0" applyNumberFormat="1" applyFont="1" applyFill="1" applyBorder="1" applyAlignment="1" applyProtection="1">
      <alignment vertical="center" wrapText="1"/>
      <protection locked="0"/>
    </xf>
    <xf numFmtId="164" fontId="8" fillId="0" borderId="76" xfId="0" applyNumberFormat="1" applyFont="1" applyFill="1" applyBorder="1" applyAlignment="1" applyProtection="1">
      <alignment vertical="center" wrapText="1"/>
      <protection locked="0"/>
    </xf>
    <xf numFmtId="164" fontId="8" fillId="0" borderId="16" xfId="0" applyNumberFormat="1" applyFont="1" applyFill="1" applyBorder="1" applyAlignment="1" applyProtection="1">
      <alignment vertical="center" wrapText="1"/>
      <protection locked="0"/>
    </xf>
    <xf numFmtId="0" fontId="6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8" xfId="0" applyNumberFormat="1" applyFont="1" applyFill="1" applyBorder="1" applyAlignment="1" applyProtection="1">
      <alignment vertical="center" wrapText="1"/>
      <protection locked="0"/>
    </xf>
    <xf numFmtId="3" fontId="7" fillId="0" borderId="74" xfId="0" applyNumberFormat="1" applyFont="1" applyFill="1" applyBorder="1" applyAlignment="1" applyProtection="1">
      <alignment vertical="center" wrapText="1"/>
      <protection locked="0"/>
    </xf>
    <xf numFmtId="3" fontId="7" fillId="0" borderId="71" xfId="0" applyNumberFormat="1" applyFont="1" applyFill="1" applyBorder="1" applyAlignment="1" applyProtection="1">
      <alignment vertical="center" wrapText="1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 locked="0"/>
    </xf>
    <xf numFmtId="3" fontId="7" fillId="0" borderId="79" xfId="0" applyNumberFormat="1" applyFont="1" applyFill="1" applyBorder="1" applyAlignment="1" applyProtection="1">
      <alignment vertical="center" wrapText="1"/>
      <protection locked="0"/>
    </xf>
    <xf numFmtId="0" fontId="15" fillId="0" borderId="54" xfId="0" applyNumberFormat="1" applyFont="1" applyFill="1" applyBorder="1" applyAlignment="1" applyProtection="1">
      <alignment vertical="center" wrapText="1"/>
      <protection locked="0"/>
    </xf>
    <xf numFmtId="164" fontId="15" fillId="0" borderId="54" xfId="0" applyNumberFormat="1" applyFont="1" applyFill="1" applyBorder="1" applyAlignment="1" applyProtection="1">
      <alignment vertical="center"/>
      <protection locked="0"/>
    </xf>
    <xf numFmtId="3" fontId="5" fillId="0" borderId="55" xfId="0" applyNumberFormat="1" applyFont="1" applyFill="1" applyBorder="1" applyAlignment="1" applyProtection="1">
      <alignment vertical="center" wrapText="1"/>
      <protection locked="0"/>
    </xf>
    <xf numFmtId="165" fontId="9" fillId="0" borderId="54" xfId="0" applyNumberFormat="1" applyFont="1" applyFill="1" applyBorder="1" applyAlignment="1" applyProtection="1">
      <alignment vertical="center" wrapText="1"/>
      <protection locked="0"/>
    </xf>
    <xf numFmtId="165" fontId="9" fillId="0" borderId="56" xfId="0" applyNumberFormat="1" applyFont="1" applyFill="1" applyBorder="1" applyAlignment="1" applyProtection="1">
      <alignment vertical="center" wrapText="1"/>
      <protection locked="0"/>
    </xf>
    <xf numFmtId="49" fontId="5" fillId="0" borderId="67" xfId="0" applyNumberFormat="1" applyFont="1" applyFill="1" applyBorder="1" applyAlignment="1" applyProtection="1">
      <alignment horizontal="centerContinuous" vertical="center"/>
      <protection locked="0"/>
    </xf>
    <xf numFmtId="0" fontId="5" fillId="0" borderId="68" xfId="0" applyNumberFormat="1" applyFont="1" applyFill="1" applyBorder="1" applyAlignment="1" applyProtection="1">
      <alignment vertical="center" wrapText="1"/>
      <protection locked="0"/>
    </xf>
    <xf numFmtId="3" fontId="5" fillId="0" borderId="69" xfId="0" applyNumberFormat="1" applyFont="1" applyFill="1" applyBorder="1" applyAlignment="1" applyProtection="1">
      <alignment vertical="center" wrapText="1"/>
      <protection locked="0"/>
    </xf>
    <xf numFmtId="3" fontId="5" fillId="0" borderId="70" xfId="0" applyNumberFormat="1" applyFont="1" applyFill="1" applyBorder="1" applyAlignment="1" applyProtection="1">
      <alignment vertical="center" wrapText="1"/>
      <protection locked="0"/>
    </xf>
    <xf numFmtId="164" fontId="15" fillId="0" borderId="68" xfId="0" applyNumberFormat="1" applyFont="1" applyFill="1" applyBorder="1" applyAlignment="1" applyProtection="1">
      <alignment vertical="center"/>
      <protection locked="0"/>
    </xf>
    <xf numFmtId="3" fontId="5" fillId="0" borderId="71" xfId="0" applyNumberFormat="1" applyFont="1" applyFill="1" applyBorder="1" applyAlignment="1" applyProtection="1">
      <alignment vertical="center" wrapText="1"/>
      <protection locked="0"/>
    </xf>
    <xf numFmtId="165" fontId="9" fillId="0" borderId="68" xfId="0" applyNumberFormat="1" applyFont="1" applyFill="1" applyBorder="1" applyAlignment="1" applyProtection="1">
      <alignment vertical="center" wrapText="1"/>
      <protection locked="0"/>
    </xf>
    <xf numFmtId="164" fontId="9" fillId="0" borderId="68" xfId="0" applyNumberFormat="1" applyFont="1" applyFill="1" applyBorder="1" applyAlignment="1" applyProtection="1">
      <alignment vertical="center"/>
      <protection locked="0"/>
    </xf>
    <xf numFmtId="165" fontId="9" fillId="0" borderId="72" xfId="0" applyNumberFormat="1" applyFont="1" applyFill="1" applyBorder="1" applyAlignment="1" applyProtection="1">
      <alignment vertical="center" wrapText="1"/>
      <protection locked="0"/>
    </xf>
    <xf numFmtId="164" fontId="6" fillId="0" borderId="76" xfId="0" applyNumberFormat="1" applyFont="1" applyFill="1" applyBorder="1" applyAlignment="1" applyProtection="1">
      <alignment vertical="center"/>
      <protection locked="0"/>
    </xf>
    <xf numFmtId="0" fontId="5" fillId="0" borderId="44" xfId="0" applyNumberFormat="1" applyFont="1" applyFill="1" applyBorder="1" applyAlignment="1" applyProtection="1">
      <alignment vertical="center" wrapText="1"/>
      <protection locked="0"/>
    </xf>
    <xf numFmtId="3" fontId="5" fillId="0" borderId="40" xfId="0" applyNumberFormat="1" applyFont="1" applyFill="1" applyBorder="1" applyAlignment="1" applyProtection="1">
      <alignment vertical="center" wrapText="1"/>
      <protection locked="0"/>
    </xf>
    <xf numFmtId="164" fontId="15" fillId="0" borderId="44" xfId="0" applyNumberFormat="1" applyFont="1" applyFill="1" applyBorder="1" applyAlignment="1" applyProtection="1">
      <alignment vertical="center" wrapText="1"/>
      <protection locked="0"/>
    </xf>
    <xf numFmtId="165" fontId="8" fillId="0" borderId="44" xfId="0" applyNumberFormat="1" applyFont="1" applyFill="1" applyBorder="1" applyAlignment="1" applyProtection="1">
      <alignment vertical="center" wrapText="1"/>
      <protection locked="0"/>
    </xf>
    <xf numFmtId="164" fontId="9" fillId="0" borderId="44" xfId="0" applyNumberFormat="1" applyFont="1" applyFill="1" applyBorder="1" applyAlignment="1" applyProtection="1">
      <alignment vertical="center" wrapText="1"/>
      <protection locked="0"/>
    </xf>
    <xf numFmtId="165" fontId="9" fillId="0" borderId="45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/>
    </xf>
    <xf numFmtId="164" fontId="15" fillId="0" borderId="42" xfId="0" applyNumberFormat="1" applyFont="1" applyFill="1" applyBorder="1" applyAlignment="1" applyProtection="1">
      <alignment vertical="center" wrapText="1"/>
      <protection locked="0"/>
    </xf>
    <xf numFmtId="164" fontId="9" fillId="0" borderId="42" xfId="0" applyNumberFormat="1" applyFont="1" applyFill="1" applyBorder="1" applyAlignment="1" applyProtection="1">
      <alignment vertical="center" wrapText="1"/>
      <protection locked="0"/>
    </xf>
    <xf numFmtId="0" fontId="15" fillId="0" borderId="54" xfId="0" applyNumberFormat="1" applyFont="1" applyFill="1" applyBorder="1" applyAlignment="1" applyProtection="1">
      <alignment vertical="center" wrapText="1"/>
      <protection locked="0"/>
    </xf>
    <xf numFmtId="3" fontId="5" fillId="0" borderId="86" xfId="0" applyNumberFormat="1" applyFont="1" applyFill="1" applyBorder="1" applyAlignment="1" applyProtection="1">
      <alignment vertical="center"/>
      <protection locked="0"/>
    </xf>
    <xf numFmtId="0" fontId="7" fillId="0" borderId="42" xfId="0" applyNumberFormat="1" applyFont="1" applyFill="1" applyBorder="1" applyAlignment="1" applyProtection="1">
      <alignment vertical="center" wrapText="1"/>
      <protection locked="0"/>
    </xf>
    <xf numFmtId="3" fontId="7" fillId="0" borderId="61" xfId="0" applyNumberFormat="1" applyFont="1" applyFill="1" applyBorder="1" applyAlignment="1" applyProtection="1">
      <alignment vertical="center" wrapText="1"/>
      <protection locked="0"/>
    </xf>
    <xf numFmtId="164" fontId="6" fillId="0" borderId="42" xfId="0" applyNumberFormat="1" applyFont="1" applyFill="1" applyBorder="1" applyAlignment="1" applyProtection="1">
      <alignment vertical="center" wrapText="1"/>
      <protection locked="0"/>
    </xf>
    <xf numFmtId="49" fontId="15" fillId="0" borderId="59" xfId="0" applyNumberFormat="1" applyFont="1" applyFill="1" applyBorder="1" applyAlignment="1" applyProtection="1">
      <alignment horizontal="centerContinuous" vertical="center"/>
      <protection locked="0"/>
    </xf>
    <xf numFmtId="0" fontId="15" fillId="0" borderId="42" xfId="0" applyNumberFormat="1" applyFont="1" applyFill="1" applyBorder="1" applyAlignment="1" applyProtection="1">
      <alignment vertical="center" wrapText="1"/>
      <protection locked="0"/>
    </xf>
    <xf numFmtId="3" fontId="5" fillId="0" borderId="61" xfId="0" applyNumberFormat="1" applyFont="1" applyFill="1" applyBorder="1" applyAlignment="1" applyProtection="1">
      <alignment vertical="center"/>
      <protection locked="0"/>
    </xf>
    <xf numFmtId="164" fontId="15" fillId="0" borderId="68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/>
    </xf>
    <xf numFmtId="3" fontId="7" fillId="0" borderId="70" xfId="0" applyNumberFormat="1" applyFont="1" applyFill="1" applyBorder="1" applyAlignment="1" applyProtection="1">
      <alignment vertical="center" wrapText="1"/>
      <protection locked="0"/>
    </xf>
    <xf numFmtId="49" fontId="7" fillId="0" borderId="87" xfId="0" applyNumberFormat="1" applyFont="1" applyFill="1" applyBorder="1" applyAlignment="1" applyProtection="1">
      <alignment horizontal="centerContinuous" vertical="center"/>
      <protection locked="0"/>
    </xf>
    <xf numFmtId="165" fontId="8" fillId="0" borderId="42" xfId="0" applyNumberFormat="1" applyFont="1" applyFill="1" applyBorder="1" applyAlignment="1" applyProtection="1">
      <alignment vertical="center" wrapText="1"/>
      <protection locked="0"/>
    </xf>
    <xf numFmtId="49" fontId="7" fillId="0" borderId="88" xfId="0" applyNumberFormat="1" applyFont="1" applyFill="1" applyBorder="1" applyAlignment="1" applyProtection="1">
      <alignment horizontal="centerContinuous" vertical="center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3" fontId="7" fillId="0" borderId="17" xfId="0" applyNumberFormat="1" applyFont="1" applyFill="1" applyBorder="1" applyAlignment="1" applyProtection="1">
      <alignment vertical="center" wrapText="1"/>
      <protection locked="0"/>
    </xf>
    <xf numFmtId="3" fontId="7" fillId="0" borderId="89" xfId="0" applyNumberFormat="1" applyFont="1" applyFill="1" applyBorder="1" applyAlignment="1" applyProtection="1">
      <alignment vertical="center" wrapText="1"/>
      <protection locked="0"/>
    </xf>
    <xf numFmtId="3" fontId="7" fillId="0" borderId="81" xfId="0" applyNumberFormat="1" applyFont="1" applyFill="1" applyBorder="1" applyAlignment="1" applyProtection="1">
      <alignment vertical="center"/>
      <protection locked="0"/>
    </xf>
    <xf numFmtId="165" fontId="8" fillId="0" borderId="25" xfId="0" applyNumberFormat="1" applyFont="1" applyFill="1" applyBorder="1" applyAlignment="1" applyProtection="1">
      <alignment vertical="center" wrapText="1"/>
      <protection locked="0"/>
    </xf>
    <xf numFmtId="3" fontId="7" fillId="0" borderId="89" xfId="0" applyNumberFormat="1" applyFont="1" applyFill="1" applyBorder="1" applyAlignment="1" applyProtection="1">
      <alignment vertical="center"/>
      <protection locked="0"/>
    </xf>
    <xf numFmtId="3" fontId="7" fillId="0" borderId="81" xfId="0" applyNumberFormat="1" applyFont="1" applyFill="1" applyBorder="1" applyAlignment="1" applyProtection="1">
      <alignment vertical="center"/>
      <protection locked="0"/>
    </xf>
    <xf numFmtId="164" fontId="8" fillId="0" borderId="25" xfId="0" applyNumberFormat="1" applyFont="1" applyFill="1" applyBorder="1" applyAlignment="1" applyProtection="1">
      <alignment vertical="center"/>
      <protection locked="0"/>
    </xf>
    <xf numFmtId="165" fontId="8" fillId="0" borderId="90" xfId="0" applyNumberFormat="1" applyFont="1" applyFill="1" applyBorder="1" applyAlignment="1" applyProtection="1">
      <alignment vertical="center" wrapText="1"/>
      <protection locked="0"/>
    </xf>
    <xf numFmtId="164" fontId="15" fillId="0" borderId="27" xfId="0" applyNumberFormat="1" applyFont="1" applyFill="1" applyBorder="1" applyAlignment="1" applyProtection="1">
      <alignment vertical="center" wrapText="1"/>
      <protection locked="0"/>
    </xf>
    <xf numFmtId="165" fontId="9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91" xfId="0" applyNumberFormat="1" applyFont="1" applyFill="1" applyBorder="1" applyAlignment="1" applyProtection="1">
      <alignment vertical="center" wrapText="1"/>
      <protection locked="0"/>
    </xf>
    <xf numFmtId="3" fontId="7" fillId="0" borderId="92" xfId="0" applyNumberFormat="1" applyFont="1" applyFill="1" applyBorder="1" applyAlignment="1" applyProtection="1">
      <alignment vertical="center" wrapText="1"/>
      <protection locked="0"/>
    </xf>
    <xf numFmtId="3" fontId="7" fillId="0" borderId="85" xfId="0" applyNumberFormat="1" applyFont="1" applyFill="1" applyBorder="1" applyAlignment="1" applyProtection="1">
      <alignment vertical="center" wrapText="1"/>
      <protection locked="0"/>
    </xf>
    <xf numFmtId="49" fontId="5" fillId="0" borderId="93" xfId="0" applyNumberFormat="1" applyFont="1" applyFill="1" applyBorder="1" applyAlignment="1" applyProtection="1">
      <alignment horizontal="centerContinuous" vertical="center"/>
      <protection locked="0"/>
    </xf>
    <xf numFmtId="3" fontId="7" fillId="0" borderId="65" xfId="0" applyNumberFormat="1" applyFont="1" applyFill="1" applyBorder="1" applyAlignment="1" applyProtection="1">
      <alignment vertical="center"/>
      <protection locked="0"/>
    </xf>
    <xf numFmtId="3" fontId="7" fillId="0" borderId="62" xfId="0" applyNumberFormat="1" applyFont="1" applyFill="1" applyBorder="1" applyAlignment="1" applyProtection="1">
      <alignment vertical="center"/>
      <protection locked="0"/>
    </xf>
    <xf numFmtId="0" fontId="0" fillId="0" borderId="62" xfId="0" applyBorder="1" applyAlignment="1">
      <alignment/>
    </xf>
    <xf numFmtId="3" fontId="0" fillId="0" borderId="62" xfId="0" applyNumberFormat="1" applyBorder="1" applyAlignment="1">
      <alignment/>
    </xf>
    <xf numFmtId="0" fontId="0" fillId="0" borderId="78" xfId="0" applyBorder="1" applyAlignment="1">
      <alignment/>
    </xf>
    <xf numFmtId="3" fontId="0" fillId="0" borderId="78" xfId="0" applyNumberFormat="1" applyBorder="1" applyAlignment="1">
      <alignment/>
    </xf>
    <xf numFmtId="0" fontId="0" fillId="0" borderId="70" xfId="0" applyBorder="1" applyAlignment="1">
      <alignment/>
    </xf>
    <xf numFmtId="3" fontId="0" fillId="0" borderId="70" xfId="0" applyNumberFormat="1" applyBorder="1" applyAlignment="1">
      <alignment/>
    </xf>
    <xf numFmtId="0" fontId="0" fillId="0" borderId="62" xfId="0" applyFill="1" applyBorder="1" applyAlignment="1">
      <alignment/>
    </xf>
    <xf numFmtId="165" fontId="8" fillId="0" borderId="68" xfId="0" applyNumberFormat="1" applyFont="1" applyFill="1" applyBorder="1" applyAlignment="1" applyProtection="1">
      <alignment vertical="center"/>
      <protection locked="0"/>
    </xf>
    <xf numFmtId="165" fontId="8" fillId="0" borderId="72" xfId="0" applyNumberFormat="1" applyFont="1" applyFill="1" applyBorder="1" applyAlignment="1" applyProtection="1">
      <alignment vertical="center"/>
      <protection locked="0"/>
    </xf>
    <xf numFmtId="165" fontId="8" fillId="0" borderId="66" xfId="0" applyNumberFormat="1" applyFont="1" applyFill="1" applyBorder="1" applyAlignment="1" applyProtection="1">
      <alignment vertical="center"/>
      <protection locked="0"/>
    </xf>
    <xf numFmtId="49" fontId="5" fillId="0" borderId="59" xfId="0" applyNumberFormat="1" applyFont="1" applyFill="1" applyBorder="1" applyAlignment="1" applyProtection="1">
      <alignment horizontal="centerContinuous" vertical="center"/>
      <protection locked="0"/>
    </xf>
    <xf numFmtId="0" fontId="5" fillId="0" borderId="42" xfId="0" applyNumberFormat="1" applyFont="1" applyFill="1" applyBorder="1" applyAlignment="1" applyProtection="1">
      <alignment vertical="center" wrapText="1"/>
      <protection locked="0"/>
    </xf>
    <xf numFmtId="3" fontId="5" fillId="0" borderId="61" xfId="0" applyNumberFormat="1" applyFont="1" applyFill="1" applyBorder="1" applyAlignment="1" applyProtection="1">
      <alignment vertical="center" wrapText="1"/>
      <protection locked="0"/>
    </xf>
    <xf numFmtId="3" fontId="5" fillId="0" borderId="65" xfId="0" applyNumberFormat="1" applyFont="1" applyFill="1" applyBorder="1" applyAlignment="1" applyProtection="1">
      <alignment vertical="center" wrapText="1"/>
      <protection locked="0"/>
    </xf>
    <xf numFmtId="164" fontId="9" fillId="0" borderId="42" xfId="0" applyNumberFormat="1" applyFont="1" applyFill="1" applyBorder="1" applyAlignment="1" applyProtection="1">
      <alignment vertical="center"/>
      <protection locked="0"/>
    </xf>
    <xf numFmtId="165" fontId="9" fillId="0" borderId="42" xfId="0" applyNumberFormat="1" applyFont="1" applyFill="1" applyBorder="1" applyAlignment="1" applyProtection="1">
      <alignment vertical="center" wrapText="1"/>
      <protection locked="0"/>
    </xf>
    <xf numFmtId="165" fontId="9" fillId="0" borderId="66" xfId="0" applyNumberFormat="1" applyFont="1" applyFill="1" applyBorder="1" applyAlignment="1" applyProtection="1">
      <alignment vertical="center"/>
      <protection locked="0"/>
    </xf>
    <xf numFmtId="49" fontId="20" fillId="0" borderId="73" xfId="0" applyNumberFormat="1" applyFont="1" applyFill="1" applyBorder="1" applyAlignment="1" applyProtection="1">
      <alignment horizontal="centerContinuous" vertical="center"/>
      <protection locked="0"/>
    </xf>
    <xf numFmtId="0" fontId="23" fillId="0" borderId="16" xfId="0" applyNumberFormat="1" applyFont="1" applyFill="1" applyBorder="1" applyAlignment="1" applyProtection="1">
      <alignment vertical="center" wrapText="1"/>
      <protection locked="0"/>
    </xf>
    <xf numFmtId="3" fontId="20" fillId="0" borderId="26" xfId="0" applyNumberFormat="1" applyFont="1" applyFill="1" applyBorder="1" applyAlignment="1" applyProtection="1">
      <alignment vertical="center" wrapText="1"/>
      <protection locked="0"/>
    </xf>
    <xf numFmtId="3" fontId="20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  <protection locked="0"/>
    </xf>
    <xf numFmtId="3" fontId="20" fillId="0" borderId="3" xfId="0" applyNumberFormat="1" applyFont="1" applyFill="1" applyBorder="1" applyAlignment="1" applyProtection="1">
      <alignment vertical="center"/>
      <protection locked="0"/>
    </xf>
    <xf numFmtId="3" fontId="20" fillId="0" borderId="6" xfId="0" applyNumberFormat="1" applyFont="1" applyFill="1" applyBorder="1" applyAlignment="1" applyProtection="1">
      <alignment vertical="center"/>
      <protection locked="0"/>
    </xf>
    <xf numFmtId="165" fontId="21" fillId="0" borderId="16" xfId="0" applyNumberFormat="1" applyFont="1" applyFill="1" applyBorder="1" applyAlignment="1" applyProtection="1">
      <alignment vertical="center" wrapText="1"/>
      <protection locked="0"/>
    </xf>
    <xf numFmtId="3" fontId="20" fillId="0" borderId="74" xfId="0" applyNumberFormat="1" applyFont="1" applyFill="1" applyBorder="1" applyAlignment="1" applyProtection="1">
      <alignment vertical="center"/>
      <protection locked="0"/>
    </xf>
    <xf numFmtId="164" fontId="21" fillId="0" borderId="16" xfId="0" applyNumberFormat="1" applyFont="1" applyFill="1" applyBorder="1" applyAlignment="1" applyProtection="1">
      <alignment vertical="center"/>
      <protection locked="0"/>
    </xf>
    <xf numFmtId="165" fontId="21" fillId="0" borderId="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Border="1" applyAlignment="1">
      <alignment/>
    </xf>
    <xf numFmtId="3" fontId="7" fillId="0" borderId="3" xfId="0" applyNumberFormat="1" applyFont="1" applyFill="1" applyBorder="1" applyAlignment="1" applyProtection="1">
      <alignment vertical="center"/>
      <protection locked="0"/>
    </xf>
    <xf numFmtId="0" fontId="25" fillId="0" borderId="24" xfId="0" applyNumberFormat="1" applyFont="1" applyFill="1" applyBorder="1" applyAlignment="1" applyProtection="1">
      <alignment horizontal="center" vertical="center"/>
      <protection locked="0"/>
    </xf>
    <xf numFmtId="0" fontId="25" fillId="0" borderId="94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7" xfId="0" applyNumberFormat="1" applyFont="1" applyFill="1" applyBorder="1" applyAlignment="1" applyProtection="1">
      <alignment vertical="center" wrapText="1"/>
      <protection locked="0"/>
    </xf>
    <xf numFmtId="3" fontId="6" fillId="0" borderId="94" xfId="0" applyNumberFormat="1" applyFont="1" applyFill="1" applyBorder="1" applyAlignment="1" applyProtection="1">
      <alignment vertical="center"/>
      <protection locked="0"/>
    </xf>
    <xf numFmtId="3" fontId="6" fillId="0" borderId="81" xfId="0" applyNumberFormat="1" applyFont="1" applyFill="1" applyBorder="1" applyAlignment="1" applyProtection="1">
      <alignment vertical="center"/>
      <protection locked="0"/>
    </xf>
    <xf numFmtId="165" fontId="6" fillId="0" borderId="25" xfId="0" applyNumberFormat="1" applyFont="1" applyFill="1" applyBorder="1" applyAlignment="1" applyProtection="1">
      <alignment vertical="center" wrapText="1"/>
      <protection locked="0"/>
    </xf>
    <xf numFmtId="3" fontId="6" fillId="0" borderId="89" xfId="0" applyNumberFormat="1" applyFont="1" applyFill="1" applyBorder="1" applyAlignment="1" applyProtection="1">
      <alignment vertical="center"/>
      <protection locked="0"/>
    </xf>
    <xf numFmtId="164" fontId="6" fillId="0" borderId="25" xfId="0" applyNumberFormat="1" applyFont="1" applyFill="1" applyBorder="1" applyAlignment="1" applyProtection="1">
      <alignment vertical="center"/>
      <protection locked="0"/>
    </xf>
    <xf numFmtId="3" fontId="7" fillId="0" borderId="89" xfId="0" applyNumberFormat="1" applyFont="1" applyFill="1" applyBorder="1" applyAlignment="1" applyProtection="1">
      <alignment vertical="center"/>
      <protection locked="0"/>
    </xf>
    <xf numFmtId="165" fontId="6" fillId="0" borderId="9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0" fontId="15" fillId="0" borderId="68" xfId="0" applyNumberFormat="1" applyFont="1" applyFill="1" applyBorder="1" applyAlignment="1" applyProtection="1">
      <alignment vertical="center" wrapText="1"/>
      <protection locked="0"/>
    </xf>
    <xf numFmtId="0" fontId="6" fillId="0" borderId="42" xfId="0" applyNumberFormat="1" applyFont="1" applyFill="1" applyBorder="1" applyAlignment="1" applyProtection="1">
      <alignment horizontal="left" vertical="center" wrapText="1"/>
      <protection locked="0"/>
    </xf>
    <xf numFmtId="3" fontId="7" fillId="0" borderId="62" xfId="0" applyNumberFormat="1" applyFont="1" applyFill="1" applyBorder="1" applyAlignment="1" applyProtection="1">
      <alignment vertical="center" wrapText="1"/>
      <protection locked="0"/>
    </xf>
    <xf numFmtId="0" fontId="5" fillId="0" borderId="60" xfId="0" applyNumberFormat="1" applyFont="1" applyFill="1" applyBorder="1" applyAlignment="1" applyProtection="1">
      <alignment horizontal="left" vertical="center" wrapText="1"/>
      <protection locked="0"/>
    </xf>
    <xf numFmtId="3" fontId="7" fillId="0" borderId="6" xfId="0" applyNumberFormat="1" applyFont="1" applyFill="1" applyBorder="1" applyAlignment="1" applyProtection="1">
      <alignment vertical="center" wrapText="1"/>
      <protection locked="0"/>
    </xf>
    <xf numFmtId="165" fontId="8" fillId="0" borderId="76" xfId="0" applyNumberFormat="1" applyFont="1" applyFill="1" applyBorder="1" applyAlignment="1" applyProtection="1">
      <alignment vertical="center" wrapText="1"/>
      <protection locked="0"/>
    </xf>
    <xf numFmtId="3" fontId="7" fillId="0" borderId="81" xfId="0" applyNumberFormat="1" applyFont="1" applyFill="1" applyBorder="1" applyAlignment="1" applyProtection="1">
      <alignment vertical="center" wrapText="1"/>
      <protection locked="0"/>
    </xf>
    <xf numFmtId="165" fontId="8" fillId="0" borderId="25" xfId="0" applyNumberFormat="1" applyFont="1" applyFill="1" applyBorder="1" applyAlignment="1" applyProtection="1">
      <alignment vertical="center" wrapText="1"/>
      <protection locked="0"/>
    </xf>
    <xf numFmtId="49" fontId="5" fillId="0" borderId="9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6" xfId="0" applyNumberFormat="1" applyFont="1" applyFill="1" applyBorder="1" applyAlignment="1" applyProtection="1">
      <alignment vertical="center" wrapText="1"/>
      <protection locked="0"/>
    </xf>
    <xf numFmtId="49" fontId="5" fillId="0" borderId="96" xfId="0" applyNumberFormat="1" applyFont="1" applyFill="1" applyBorder="1" applyAlignment="1" applyProtection="1">
      <alignment horizontal="centerContinuous" vertical="center"/>
      <protection locked="0"/>
    </xf>
    <xf numFmtId="0" fontId="5" fillId="0" borderId="97" xfId="0" applyNumberFormat="1" applyFont="1" applyFill="1" applyBorder="1" applyAlignment="1" applyProtection="1">
      <alignment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Continuous" vertical="center"/>
      <protection locked="0"/>
    </xf>
    <xf numFmtId="3" fontId="7" fillId="0" borderId="3" xfId="0" applyNumberFormat="1" applyFont="1" applyFill="1" applyBorder="1" applyAlignment="1" applyProtection="1">
      <alignment vertical="center" wrapText="1"/>
      <protection locked="0"/>
    </xf>
    <xf numFmtId="0" fontId="5" fillId="0" borderId="60" xfId="0" applyNumberFormat="1" applyFont="1" applyFill="1" applyBorder="1" applyAlignment="1" applyProtection="1">
      <alignment vertical="center" wrapText="1"/>
      <protection locked="0"/>
    </xf>
    <xf numFmtId="164" fontId="9" fillId="0" borderId="42" xfId="0" applyNumberFormat="1" applyFont="1" applyFill="1" applyBorder="1" applyAlignment="1" applyProtection="1">
      <alignment vertical="center" wrapText="1"/>
      <protection locked="0"/>
    </xf>
    <xf numFmtId="3" fontId="7" fillId="0" borderId="98" xfId="0" applyNumberFormat="1" applyFont="1" applyFill="1" applyBorder="1" applyAlignment="1" applyProtection="1">
      <alignment vertical="center" wrapText="1"/>
      <protection locked="0"/>
    </xf>
    <xf numFmtId="49" fontId="7" fillId="0" borderId="96" xfId="0" applyNumberFormat="1" applyFont="1" applyFill="1" applyBorder="1" applyAlignment="1" applyProtection="1">
      <alignment horizontal="centerContinuous" vertical="center"/>
      <protection locked="0"/>
    </xf>
    <xf numFmtId="165" fontId="15" fillId="0" borderId="42" xfId="0" applyNumberFormat="1" applyFont="1" applyFill="1" applyBorder="1" applyAlignment="1" applyProtection="1">
      <alignment vertical="center" wrapText="1"/>
      <protection locked="0"/>
    </xf>
    <xf numFmtId="49" fontId="7" fillId="0" borderId="93" xfId="0" applyNumberFormat="1" applyFont="1" applyFill="1" applyBorder="1" applyAlignment="1" applyProtection="1">
      <alignment horizontal="centerContinuous" vertical="center"/>
      <protection locked="0"/>
    </xf>
    <xf numFmtId="3" fontId="5" fillId="0" borderId="74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0" fontId="6" fillId="0" borderId="97" xfId="0" applyNumberFormat="1" applyFont="1" applyFill="1" applyBorder="1" applyAlignment="1" applyProtection="1">
      <alignment vertical="center" wrapText="1"/>
      <protection locked="0"/>
    </xf>
    <xf numFmtId="3" fontId="5" fillId="0" borderId="64" xfId="0" applyNumberFormat="1" applyFont="1" applyFill="1" applyBorder="1" applyAlignment="1" applyProtection="1">
      <alignment vertical="center"/>
      <protection locked="0"/>
    </xf>
    <xf numFmtId="0" fontId="6" fillId="0" borderId="99" xfId="0" applyNumberFormat="1" applyFont="1" applyFill="1" applyBorder="1" applyAlignment="1" applyProtection="1">
      <alignment vertical="center" wrapText="1"/>
      <protection locked="0"/>
    </xf>
    <xf numFmtId="0" fontId="6" fillId="0" borderId="97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60" xfId="0" applyNumberFormat="1" applyFont="1" applyFill="1" applyBorder="1" applyAlignment="1" applyProtection="1">
      <alignment vertical="center" wrapText="1"/>
      <protection locked="0"/>
    </xf>
    <xf numFmtId="0" fontId="6" fillId="0" borderId="60" xfId="0" applyNumberFormat="1" applyFont="1" applyFill="1" applyBorder="1" applyAlignment="1" applyProtection="1">
      <alignment vertical="center" wrapText="1"/>
      <protection locked="0"/>
    </xf>
    <xf numFmtId="164" fontId="8" fillId="0" borderId="42" xfId="0" applyNumberFormat="1" applyFont="1" applyFill="1" applyBorder="1" applyAlignment="1" applyProtection="1">
      <alignment vertical="center" wrapText="1"/>
      <protection locked="0"/>
    </xf>
    <xf numFmtId="0" fontId="7" fillId="0" borderId="99" xfId="0" applyNumberFormat="1" applyFont="1" applyFill="1" applyBorder="1" applyAlignment="1" applyProtection="1">
      <alignment vertical="center" wrapText="1"/>
      <protection locked="0"/>
    </xf>
    <xf numFmtId="3" fontId="7" fillId="0" borderId="77" xfId="0" applyNumberFormat="1" applyFont="1" applyFill="1" applyBorder="1" applyAlignment="1" applyProtection="1">
      <alignment vertical="center"/>
      <protection locked="0"/>
    </xf>
    <xf numFmtId="3" fontId="5" fillId="0" borderId="60" xfId="0" applyNumberFormat="1" applyFont="1" applyFill="1" applyBorder="1" applyAlignment="1" applyProtection="1">
      <alignment vertical="center" wrapText="1"/>
      <protection locked="0"/>
    </xf>
    <xf numFmtId="165" fontId="8" fillId="0" borderId="42" xfId="0" applyNumberFormat="1" applyFont="1" applyFill="1" applyBorder="1" applyAlignment="1" applyProtection="1">
      <alignment vertical="center"/>
      <protection locked="0"/>
    </xf>
    <xf numFmtId="0" fontId="7" fillId="0" borderId="97" xfId="0" applyNumberFormat="1" applyFont="1" applyFill="1" applyBorder="1" applyAlignment="1" applyProtection="1">
      <alignment vertical="center" wrapText="1"/>
      <protection locked="0"/>
    </xf>
    <xf numFmtId="165" fontId="9" fillId="0" borderId="72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3" fontId="5" fillId="0" borderId="74" xfId="0" applyNumberFormat="1" applyFont="1" applyFill="1" applyBorder="1" applyAlignment="1" applyProtection="1">
      <alignment vertical="center"/>
      <protection locked="0"/>
    </xf>
    <xf numFmtId="164" fontId="8" fillId="0" borderId="83" xfId="0" applyNumberFormat="1" applyFont="1" applyFill="1" applyBorder="1" applyAlignment="1" applyProtection="1">
      <alignment vertical="center" wrapText="1"/>
      <protection locked="0"/>
    </xf>
    <xf numFmtId="0" fontId="15" fillId="0" borderId="60" xfId="0" applyNumberFormat="1" applyFont="1" applyFill="1" applyBorder="1" applyAlignment="1" applyProtection="1">
      <alignment horizontal="left" vertical="center" wrapText="1"/>
      <protection locked="0"/>
    </xf>
    <xf numFmtId="3" fontId="27" fillId="0" borderId="65" xfId="0" applyNumberFormat="1" applyFont="1" applyBorder="1" applyAlignment="1">
      <alignment vertical="center"/>
    </xf>
    <xf numFmtId="3" fontId="27" fillId="0" borderId="62" xfId="0" applyNumberFormat="1" applyFont="1" applyBorder="1" applyAlignment="1">
      <alignment vertical="center"/>
    </xf>
    <xf numFmtId="165" fontId="28" fillId="0" borderId="42" xfId="0" applyNumberFormat="1" applyFont="1" applyBorder="1" applyAlignment="1">
      <alignment vertical="center"/>
    </xf>
    <xf numFmtId="165" fontId="28" fillId="0" borderId="66" xfId="0" applyNumberFormat="1" applyFont="1" applyBorder="1" applyAlignment="1">
      <alignment vertical="center"/>
    </xf>
    <xf numFmtId="3" fontId="5" fillId="0" borderId="79" xfId="0" applyNumberFormat="1" applyFont="1" applyFill="1" applyBorder="1" applyAlignment="1" applyProtection="1">
      <alignment vertical="center"/>
      <protection locked="0"/>
    </xf>
    <xf numFmtId="3" fontId="5" fillId="0" borderId="78" xfId="0" applyNumberFormat="1" applyFont="1" applyFill="1" applyBorder="1" applyAlignment="1" applyProtection="1">
      <alignment vertical="center"/>
      <protection locked="0"/>
    </xf>
    <xf numFmtId="3" fontId="27" fillId="0" borderId="79" xfId="0" applyNumberFormat="1" applyFont="1" applyBorder="1" applyAlignment="1">
      <alignment vertical="center"/>
    </xf>
    <xf numFmtId="3" fontId="27" fillId="0" borderId="78" xfId="0" applyNumberFormat="1" applyFont="1" applyBorder="1" applyAlignment="1">
      <alignment vertical="center"/>
    </xf>
    <xf numFmtId="165" fontId="28" fillId="0" borderId="76" xfId="0" applyNumberFormat="1" applyFont="1" applyBorder="1" applyAlignment="1">
      <alignment vertical="center"/>
    </xf>
    <xf numFmtId="165" fontId="28" fillId="0" borderId="80" xfId="0" applyNumberFormat="1" applyFont="1" applyBorder="1" applyAlignment="1">
      <alignment vertical="center"/>
    </xf>
    <xf numFmtId="3" fontId="27" fillId="0" borderId="74" xfId="0" applyNumberFormat="1" applyFont="1" applyBorder="1" applyAlignment="1">
      <alignment vertical="center"/>
    </xf>
    <xf numFmtId="3" fontId="27" fillId="0" borderId="6" xfId="0" applyNumberFormat="1" applyFont="1" applyBorder="1" applyAlignment="1">
      <alignment vertical="center"/>
    </xf>
    <xf numFmtId="165" fontId="28" fillId="0" borderId="16" xfId="0" applyNumberFormat="1" applyFont="1" applyBorder="1" applyAlignment="1">
      <alignment vertical="center"/>
    </xf>
    <xf numFmtId="165" fontId="28" fillId="0" borderId="5" xfId="0" applyNumberFormat="1" applyFont="1" applyBorder="1" applyAlignment="1">
      <alignment vertical="center"/>
    </xf>
    <xf numFmtId="0" fontId="7" fillId="0" borderId="68" xfId="0" applyNumberFormat="1" applyFont="1" applyFill="1" applyBorder="1" applyAlignment="1" applyProtection="1">
      <alignment horizontal="left" vertical="center" wrapText="1"/>
      <protection locked="0"/>
    </xf>
    <xf numFmtId="3" fontId="27" fillId="0" borderId="71" xfId="0" applyNumberFormat="1" applyFont="1" applyBorder="1" applyAlignment="1">
      <alignment vertical="center"/>
    </xf>
    <xf numFmtId="3" fontId="27" fillId="0" borderId="70" xfId="0" applyNumberFormat="1" applyFont="1" applyBorder="1" applyAlignment="1">
      <alignment vertical="center"/>
    </xf>
    <xf numFmtId="165" fontId="28" fillId="0" borderId="68" xfId="0" applyNumberFormat="1" applyFont="1" applyBorder="1" applyAlignment="1">
      <alignment vertical="center"/>
    </xf>
    <xf numFmtId="165" fontId="28" fillId="0" borderId="72" xfId="0" applyNumberFormat="1" applyFont="1" applyBorder="1" applyAlignment="1">
      <alignment vertical="center"/>
    </xf>
    <xf numFmtId="0" fontId="5" fillId="0" borderId="62" xfId="0" applyNumberFormat="1" applyFont="1" applyFill="1" applyBorder="1" applyAlignment="1" applyProtection="1">
      <alignment vertical="center" wrapText="1"/>
      <protection locked="0"/>
    </xf>
    <xf numFmtId="164" fontId="15" fillId="0" borderId="42" xfId="0" applyNumberFormat="1" applyFont="1" applyFill="1" applyBorder="1" applyAlignment="1" applyProtection="1">
      <alignment vertical="center"/>
      <protection locked="0"/>
    </xf>
    <xf numFmtId="3" fontId="29" fillId="0" borderId="65" xfId="0" applyNumberFormat="1" applyFont="1" applyBorder="1" applyAlignment="1">
      <alignment vertical="center"/>
    </xf>
    <xf numFmtId="3" fontId="29" fillId="0" borderId="62" xfId="0" applyNumberFormat="1" applyFont="1" applyBorder="1" applyAlignment="1">
      <alignment vertical="center"/>
    </xf>
    <xf numFmtId="165" fontId="28" fillId="0" borderId="42" xfId="0" applyNumberFormat="1" applyFont="1" applyBorder="1" applyAlignment="1">
      <alignment vertical="center"/>
    </xf>
    <xf numFmtId="49" fontId="19" fillId="0" borderId="73" xfId="0" applyNumberFormat="1" applyFont="1" applyFill="1" applyBorder="1" applyAlignment="1" applyProtection="1">
      <alignment horizontal="centerContinuous" vertical="center"/>
      <protection locked="0"/>
    </xf>
    <xf numFmtId="0" fontId="19" fillId="0" borderId="6" xfId="0" applyFont="1" applyBorder="1" applyAlignment="1">
      <alignment vertical="center" wrapText="1"/>
    </xf>
    <xf numFmtId="3" fontId="19" fillId="0" borderId="26" xfId="0" applyNumberFormat="1" applyFont="1" applyFill="1" applyBorder="1" applyAlignment="1" applyProtection="1">
      <alignment vertical="center" wrapText="1"/>
      <protection locked="0"/>
    </xf>
    <xf numFmtId="3" fontId="19" fillId="0" borderId="6" xfId="0" applyNumberFormat="1" applyFont="1" applyFill="1" applyBorder="1" applyAlignment="1" applyProtection="1">
      <alignment vertical="center" wrapText="1"/>
      <protection locked="0"/>
    </xf>
    <xf numFmtId="3" fontId="19" fillId="0" borderId="74" xfId="0" applyNumberFormat="1" applyFont="1" applyFill="1" applyBorder="1" applyAlignment="1" applyProtection="1">
      <alignment vertical="center"/>
      <protection locked="0"/>
    </xf>
    <xf numFmtId="3" fontId="19" fillId="0" borderId="6" xfId="0" applyNumberFormat="1" applyFont="1" applyFill="1" applyBorder="1" applyAlignment="1" applyProtection="1">
      <alignment vertical="center"/>
      <protection locked="0"/>
    </xf>
    <xf numFmtId="165" fontId="19" fillId="0" borderId="16" xfId="0" applyNumberFormat="1" applyFont="1" applyFill="1" applyBorder="1" applyAlignment="1" applyProtection="1">
      <alignment vertical="center" wrapText="1"/>
      <protection locked="0"/>
    </xf>
    <xf numFmtId="165" fontId="19" fillId="0" borderId="5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Border="1" applyAlignment="1">
      <alignment/>
    </xf>
    <xf numFmtId="49" fontId="1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19" fillId="0" borderId="70" xfId="0" applyFont="1" applyBorder="1" applyAlignment="1">
      <alignment vertical="center" wrapText="1"/>
    </xf>
    <xf numFmtId="3" fontId="19" fillId="0" borderId="69" xfId="0" applyNumberFormat="1" applyFont="1" applyFill="1" applyBorder="1" applyAlignment="1" applyProtection="1">
      <alignment vertical="center" wrapText="1"/>
      <protection locked="0"/>
    </xf>
    <xf numFmtId="3" fontId="19" fillId="0" borderId="70" xfId="0" applyNumberFormat="1" applyFont="1" applyFill="1" applyBorder="1" applyAlignment="1" applyProtection="1">
      <alignment vertical="center" wrapText="1"/>
      <protection locked="0"/>
    </xf>
    <xf numFmtId="3" fontId="19" fillId="0" borderId="71" xfId="0" applyNumberFormat="1" applyFont="1" applyFill="1" applyBorder="1" applyAlignment="1" applyProtection="1">
      <alignment vertical="center"/>
      <protection locked="0"/>
    </xf>
    <xf numFmtId="3" fontId="19" fillId="0" borderId="70" xfId="0" applyNumberFormat="1" applyFont="1" applyFill="1" applyBorder="1" applyAlignment="1" applyProtection="1">
      <alignment vertical="center"/>
      <protection locked="0"/>
    </xf>
    <xf numFmtId="165" fontId="6" fillId="0" borderId="68" xfId="0" applyNumberFormat="1" applyFont="1" applyFill="1" applyBorder="1" applyAlignment="1" applyProtection="1">
      <alignment vertical="center" wrapText="1"/>
      <protection locked="0"/>
    </xf>
    <xf numFmtId="165" fontId="19" fillId="0" borderId="68" xfId="0" applyNumberFormat="1" applyFont="1" applyFill="1" applyBorder="1" applyAlignment="1" applyProtection="1">
      <alignment vertical="center" wrapText="1"/>
      <protection locked="0"/>
    </xf>
    <xf numFmtId="165" fontId="19" fillId="0" borderId="72" xfId="0" applyNumberFormat="1" applyFont="1" applyFill="1" applyBorder="1" applyAlignment="1" applyProtection="1">
      <alignment vertical="center"/>
      <protection locked="0"/>
    </xf>
    <xf numFmtId="164" fontId="8" fillId="0" borderId="54" xfId="0" applyNumberFormat="1" applyFont="1" applyFill="1" applyBorder="1" applyAlignment="1" applyProtection="1">
      <alignment vertical="center"/>
      <protection locked="0"/>
    </xf>
    <xf numFmtId="49" fontId="5" fillId="0" borderId="10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44" xfId="0" applyNumberFormat="1" applyFont="1" applyFill="1" applyBorder="1" applyAlignment="1" applyProtection="1">
      <alignment vertical="center"/>
      <protection locked="0"/>
    </xf>
    <xf numFmtId="0" fontId="8" fillId="0" borderId="97" xfId="0" applyNumberFormat="1" applyFont="1" applyFill="1" applyBorder="1" applyAlignment="1" applyProtection="1">
      <alignment vertical="center" wrapText="1"/>
      <protection locked="0"/>
    </xf>
    <xf numFmtId="164" fontId="6" fillId="0" borderId="76" xfId="0" applyNumberFormat="1" applyFont="1" applyFill="1" applyBorder="1" applyAlignment="1" applyProtection="1">
      <alignment vertical="center" wrapText="1"/>
      <protection locked="0"/>
    </xf>
    <xf numFmtId="49" fontId="20" fillId="0" borderId="15" xfId="0" applyNumberFormat="1" applyFont="1" applyFill="1" applyBorder="1" applyAlignment="1" applyProtection="1">
      <alignment horizontal="centerContinuous" vertical="center"/>
      <protection locked="0"/>
    </xf>
    <xf numFmtId="0" fontId="23" fillId="0" borderId="4" xfId="0" applyNumberFormat="1" applyFont="1" applyFill="1" applyBorder="1" applyAlignment="1" applyProtection="1">
      <alignment vertical="center" wrapText="1"/>
      <protection locked="0"/>
    </xf>
    <xf numFmtId="165" fontId="21" fillId="0" borderId="16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Alignment="1">
      <alignment/>
    </xf>
    <xf numFmtId="164" fontId="6" fillId="0" borderId="16" xfId="0" applyNumberFormat="1" applyFont="1" applyFill="1" applyBorder="1" applyAlignment="1" applyProtection="1">
      <alignment vertical="center" wrapText="1"/>
      <protection locked="0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49" fontId="5" fillId="0" borderId="93" xfId="0" applyNumberFormat="1" applyFont="1" applyFill="1" applyBorder="1" applyAlignment="1" applyProtection="1">
      <alignment horizontal="centerContinuous" vertical="center"/>
      <protection locked="0"/>
    </xf>
    <xf numFmtId="3" fontId="5" fillId="0" borderId="91" xfId="0" applyNumberFormat="1" applyFont="1" applyFill="1" applyBorder="1" applyAlignment="1" applyProtection="1">
      <alignment vertical="center" wrapText="1"/>
      <protection locked="0"/>
    </xf>
    <xf numFmtId="3" fontId="5" fillId="0" borderId="64" xfId="0" applyNumberFormat="1" applyFont="1" applyFill="1" applyBorder="1" applyAlignment="1" applyProtection="1">
      <alignment vertical="center"/>
      <protection locked="0"/>
    </xf>
    <xf numFmtId="165" fontId="9" fillId="0" borderId="60" xfId="0" applyNumberFormat="1" applyFont="1" applyFill="1" applyBorder="1" applyAlignment="1" applyProtection="1">
      <alignment vertical="center" wrapText="1"/>
      <protection locked="0"/>
    </xf>
    <xf numFmtId="165" fontId="9" fillId="0" borderId="42" xfId="0" applyNumberFormat="1" applyFont="1" applyFill="1" applyBorder="1" applyAlignment="1" applyProtection="1">
      <alignment vertical="center"/>
      <protection locked="0"/>
    </xf>
    <xf numFmtId="3" fontId="7" fillId="0" borderId="98" xfId="0" applyNumberFormat="1" applyFont="1" applyFill="1" applyBorder="1" applyAlignment="1" applyProtection="1">
      <alignment vertical="center"/>
      <protection locked="0"/>
    </xf>
    <xf numFmtId="165" fontId="8" fillId="0" borderId="99" xfId="0" applyNumberFormat="1" applyFont="1" applyFill="1" applyBorder="1" applyAlignment="1" applyProtection="1">
      <alignment vertical="center" wrapText="1"/>
      <protection locked="0"/>
    </xf>
    <xf numFmtId="165" fontId="9" fillId="0" borderId="52" xfId="0" applyNumberFormat="1" applyFont="1" applyFill="1" applyBorder="1" applyAlignment="1" applyProtection="1">
      <alignment vertical="center"/>
      <protection locked="0"/>
    </xf>
    <xf numFmtId="3" fontId="7" fillId="0" borderId="84" xfId="0" applyNumberFormat="1" applyFont="1" applyFill="1" applyBorder="1" applyAlignment="1" applyProtection="1">
      <alignment vertical="center"/>
      <protection locked="0"/>
    </xf>
    <xf numFmtId="3" fontId="7" fillId="0" borderId="69" xfId="0" applyNumberFormat="1" applyFont="1" applyFill="1" applyBorder="1" applyAlignment="1" applyProtection="1">
      <alignment vertical="center"/>
      <protection locked="0"/>
    </xf>
    <xf numFmtId="49" fontId="5" fillId="0" borderId="88" xfId="0" applyNumberFormat="1" applyFont="1" applyFill="1" applyBorder="1" applyAlignment="1" applyProtection="1">
      <alignment horizontal="centerContinuous" vertical="center"/>
      <protection locked="0"/>
    </xf>
    <xf numFmtId="0" fontId="5" fillId="0" borderId="101" xfId="0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vertical="center" wrapText="1"/>
      <protection locked="0"/>
    </xf>
    <xf numFmtId="3" fontId="5" fillId="0" borderId="101" xfId="0" applyNumberFormat="1" applyFont="1" applyFill="1" applyBorder="1" applyAlignment="1" applyProtection="1">
      <alignment vertical="center" wrapText="1"/>
      <protection locked="0"/>
    </xf>
    <xf numFmtId="3" fontId="5" fillId="0" borderId="81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 locked="0"/>
    </xf>
    <xf numFmtId="165" fontId="9" fillId="0" borderId="25" xfId="0" applyNumberFormat="1" applyFont="1" applyFill="1" applyBorder="1" applyAlignment="1" applyProtection="1">
      <alignment vertical="center" wrapText="1"/>
      <protection locked="0"/>
    </xf>
    <xf numFmtId="164" fontId="9" fillId="0" borderId="25" xfId="0" applyNumberFormat="1" applyFont="1" applyFill="1" applyBorder="1" applyAlignment="1" applyProtection="1">
      <alignment vertical="center" wrapText="1"/>
      <protection locked="0"/>
    </xf>
    <xf numFmtId="3" fontId="5" fillId="0" borderId="89" xfId="0" applyNumberFormat="1" applyFont="1" applyFill="1" applyBorder="1" applyAlignment="1" applyProtection="1">
      <alignment vertical="center"/>
      <protection locked="0"/>
    </xf>
    <xf numFmtId="3" fontId="5" fillId="0" borderId="81" xfId="0" applyNumberFormat="1" applyFont="1" applyFill="1" applyBorder="1" applyAlignment="1" applyProtection="1">
      <alignment vertical="center"/>
      <protection locked="0"/>
    </xf>
    <xf numFmtId="165" fontId="9" fillId="0" borderId="90" xfId="0" applyNumberFormat="1" applyFont="1" applyFill="1" applyBorder="1" applyAlignment="1" applyProtection="1">
      <alignment vertical="center"/>
      <protection locked="0"/>
    </xf>
    <xf numFmtId="0" fontId="0" fillId="0" borderId="92" xfId="0" applyBorder="1" applyAlignment="1">
      <alignment/>
    </xf>
    <xf numFmtId="49" fontId="23" fillId="0" borderId="73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" xfId="0" applyNumberFormat="1" applyFont="1" applyFill="1" applyBorder="1" applyAlignment="1" applyProtection="1">
      <alignment vertical="center" wrapText="1"/>
      <protection locked="0"/>
    </xf>
    <xf numFmtId="3" fontId="23" fillId="0" borderId="26" xfId="0" applyNumberFormat="1" applyFont="1" applyFill="1" applyBorder="1" applyAlignment="1" applyProtection="1">
      <alignment vertical="center" wrapText="1"/>
      <protection locked="0"/>
    </xf>
    <xf numFmtId="3" fontId="23" fillId="0" borderId="6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3" fontId="23" fillId="0" borderId="74" xfId="0" applyNumberFormat="1" applyFont="1" applyFill="1" applyBorder="1" applyAlignment="1" applyProtection="1">
      <alignment vertical="center"/>
      <protection locked="0"/>
    </xf>
    <xf numFmtId="3" fontId="23" fillId="0" borderId="6" xfId="0" applyNumberFormat="1" applyFont="1" applyFill="1" applyBorder="1" applyAlignment="1" applyProtection="1">
      <alignment vertical="center"/>
      <protection locked="0"/>
    </xf>
    <xf numFmtId="165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/>
      <protection locked="0"/>
    </xf>
    <xf numFmtId="165" fontId="31" fillId="0" borderId="5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Border="1" applyAlignment="1">
      <alignment/>
    </xf>
    <xf numFmtId="0" fontId="18" fillId="0" borderId="16" xfId="0" applyNumberFormat="1" applyFont="1" applyFill="1" applyBorder="1" applyAlignment="1" applyProtection="1">
      <alignment vertical="center" wrapText="1"/>
      <protection locked="0"/>
    </xf>
    <xf numFmtId="164" fontId="6" fillId="0" borderId="68" xfId="0" applyNumberFormat="1" applyFont="1" applyFill="1" applyBorder="1" applyAlignment="1" applyProtection="1">
      <alignment vertical="center" wrapText="1"/>
      <protection locked="0"/>
    </xf>
    <xf numFmtId="0" fontId="15" fillId="0" borderId="97" xfId="0" applyNumberFormat="1" applyFont="1" applyFill="1" applyBorder="1" applyAlignment="1" applyProtection="1">
      <alignment vertical="center" wrapText="1"/>
      <protection locked="0"/>
    </xf>
    <xf numFmtId="49" fontId="23" fillId="0" borderId="15" xfId="0" applyNumberFormat="1" applyFont="1" applyFill="1" applyBorder="1" applyAlignment="1" applyProtection="1">
      <alignment horizontal="centerContinuous" vertical="center"/>
      <protection locked="0"/>
    </xf>
    <xf numFmtId="0" fontId="23" fillId="0" borderId="16" xfId="0" applyNumberFormat="1" applyFont="1" applyFill="1" applyBorder="1" applyAlignment="1" applyProtection="1">
      <alignment vertical="center" wrapText="1"/>
      <protection locked="0"/>
    </xf>
    <xf numFmtId="3" fontId="23" fillId="0" borderId="74" xfId="0" applyNumberFormat="1" applyFont="1" applyFill="1" applyBorder="1" applyAlignment="1" applyProtection="1">
      <alignment vertical="center" wrapText="1"/>
      <protection locked="0"/>
    </xf>
    <xf numFmtId="3" fontId="23" fillId="0" borderId="3" xfId="0" applyNumberFormat="1" applyFont="1" applyFill="1" applyBorder="1" applyAlignment="1" applyProtection="1">
      <alignment vertical="center"/>
      <protection locked="0"/>
    </xf>
    <xf numFmtId="165" fontId="31" fillId="0" borderId="16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/>
    </xf>
    <xf numFmtId="3" fontId="25" fillId="0" borderId="6" xfId="0" applyNumberFormat="1" applyFont="1" applyBorder="1" applyAlignment="1">
      <alignment vertical="center"/>
    </xf>
    <xf numFmtId="3" fontId="25" fillId="0" borderId="84" xfId="0" applyNumberFormat="1" applyFont="1" applyBorder="1" applyAlignment="1">
      <alignment vertical="center"/>
    </xf>
    <xf numFmtId="0" fontId="5" fillId="0" borderId="10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3" xfId="0" applyBorder="1" applyAlignment="1">
      <alignment horizontal="center" vertical="center" wrapText="1"/>
    </xf>
    <xf numFmtId="3" fontId="15" fillId="0" borderId="89" xfId="0" applyNumberFormat="1" applyFont="1" applyFill="1" applyBorder="1" applyAlignment="1" applyProtection="1">
      <alignment vertical="center"/>
      <protection locked="0"/>
    </xf>
    <xf numFmtId="3" fontId="15" fillId="0" borderId="81" xfId="0" applyNumberFormat="1" applyFont="1" applyFill="1" applyBorder="1" applyAlignment="1" applyProtection="1">
      <alignment vertical="center"/>
      <protection locked="0"/>
    </xf>
    <xf numFmtId="3" fontId="15" fillId="0" borderId="94" xfId="0" applyNumberFormat="1" applyFont="1" applyFill="1" applyBorder="1" applyAlignment="1" applyProtection="1">
      <alignment vertical="center"/>
      <protection locked="0"/>
    </xf>
    <xf numFmtId="164" fontId="15" fillId="0" borderId="25" xfId="0" applyNumberFormat="1" applyFont="1" applyFill="1" applyBorder="1" applyAlignment="1" applyProtection="1">
      <alignment vertical="center"/>
      <protection locked="0"/>
    </xf>
    <xf numFmtId="165" fontId="9" fillId="0" borderId="90" xfId="0" applyNumberFormat="1" applyFont="1" applyFill="1" applyBorder="1" applyAlignment="1" applyProtection="1">
      <alignment vertical="center" wrapText="1"/>
      <protection locked="0"/>
    </xf>
    <xf numFmtId="3" fontId="15" fillId="0" borderId="104" xfId="0" applyNumberFormat="1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/>
    </xf>
    <xf numFmtId="3" fontId="15" fillId="0" borderId="74" xfId="0" applyNumberFormat="1" applyFont="1" applyFill="1" applyBorder="1" applyAlignment="1" applyProtection="1">
      <alignment horizontal="right" vertical="center"/>
      <protection locked="0"/>
    </xf>
    <xf numFmtId="3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0" borderId="6" xfId="0" applyNumberFormat="1" applyFont="1" applyFill="1" applyBorder="1" applyAlignment="1" applyProtection="1">
      <alignment horizontal="right" vertical="center"/>
      <protection locked="0"/>
    </xf>
    <xf numFmtId="165" fontId="9" fillId="0" borderId="16" xfId="0" applyNumberFormat="1" applyFont="1" applyFill="1" applyBorder="1" applyAlignment="1" applyProtection="1">
      <alignment horizontal="right" vertical="center"/>
      <protection locked="0"/>
    </xf>
    <xf numFmtId="4" fontId="15" fillId="0" borderId="74" xfId="0" applyNumberFormat="1" applyFont="1" applyFill="1" applyBorder="1" applyAlignment="1" applyProtection="1">
      <alignment horizontal="right" vertical="center"/>
      <protection locked="0"/>
    </xf>
    <xf numFmtId="4" fontId="15" fillId="0" borderId="6" xfId="0" applyNumberFormat="1" applyFont="1" applyFill="1" applyBorder="1" applyAlignment="1" applyProtection="1">
      <alignment horizontal="right" vertical="center"/>
      <protection locked="0"/>
    </xf>
    <xf numFmtId="164" fontId="9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0" borderId="28" xfId="0" applyNumberFormat="1" applyFont="1" applyFill="1" applyBorder="1" applyAlignment="1" applyProtection="1">
      <alignment horizontal="right" vertical="center"/>
      <protection locked="0"/>
    </xf>
    <xf numFmtId="3" fontId="15" fillId="0" borderId="29" xfId="0" applyNumberFormat="1" applyFont="1" applyFill="1" applyBorder="1" applyAlignment="1" applyProtection="1">
      <alignment horizontal="right" vertical="center"/>
      <protection locked="0"/>
    </xf>
    <xf numFmtId="165" fontId="9" fillId="0" borderId="5" xfId="0" applyNumberFormat="1" applyFont="1" applyFill="1" applyBorder="1" applyAlignment="1" applyProtection="1">
      <alignment vertical="center"/>
      <protection locked="0"/>
    </xf>
    <xf numFmtId="3" fontId="6" fillId="0" borderId="73" xfId="0" applyNumberFormat="1" applyFont="1" applyFill="1" applyBorder="1" applyAlignment="1" applyProtection="1">
      <alignment horizontal="center" vertical="center"/>
      <protection locked="0"/>
    </xf>
    <xf numFmtId="0" fontId="22" fillId="0" borderId="27" xfId="0" applyFont="1" applyBorder="1" applyAlignment="1">
      <alignment horizontal="center" vertical="center"/>
    </xf>
    <xf numFmtId="3" fontId="19" fillId="0" borderId="104" xfId="0" applyNumberFormat="1" applyFont="1" applyFill="1" applyBorder="1" applyAlignment="1" applyProtection="1">
      <alignment vertical="center" wrapText="1"/>
      <protection locked="0"/>
    </xf>
    <xf numFmtId="0" fontId="24" fillId="0" borderId="1" xfId="0" applyFont="1" applyBorder="1" applyAlignment="1">
      <alignment vertical="center" wrapText="1"/>
    </xf>
    <xf numFmtId="3" fontId="19" fillId="0" borderId="74" xfId="0" applyNumberFormat="1" applyFont="1" applyFill="1" applyBorder="1" applyAlignment="1" applyProtection="1">
      <alignment horizontal="right" vertical="center"/>
      <protection locked="0"/>
    </xf>
    <xf numFmtId="164" fontId="19" fillId="0" borderId="16" xfId="0" applyNumberFormat="1" applyFont="1" applyFill="1" applyBorder="1" applyAlignment="1" applyProtection="1">
      <alignment horizontal="right" vertical="center"/>
      <protection locked="0"/>
    </xf>
    <xf numFmtId="3" fontId="19" fillId="0" borderId="6" xfId="0" applyNumberFormat="1" applyFont="1" applyFill="1" applyBorder="1" applyAlignment="1" applyProtection="1">
      <alignment horizontal="right" vertical="center"/>
      <protection locked="0"/>
    </xf>
    <xf numFmtId="165" fontId="21" fillId="0" borderId="16" xfId="0" applyNumberFormat="1" applyFont="1" applyFill="1" applyBorder="1" applyAlignment="1" applyProtection="1">
      <alignment horizontal="right" vertical="center"/>
      <protection locked="0"/>
    </xf>
    <xf numFmtId="4" fontId="19" fillId="0" borderId="74" xfId="0" applyNumberFormat="1" applyFont="1" applyFill="1" applyBorder="1" applyAlignment="1" applyProtection="1">
      <alignment horizontal="right" vertical="center"/>
      <protection locked="0"/>
    </xf>
    <xf numFmtId="4" fontId="19" fillId="0" borderId="6" xfId="0" applyNumberFormat="1" applyFont="1" applyFill="1" applyBorder="1" applyAlignment="1" applyProtection="1">
      <alignment horizontal="right" vertical="center"/>
      <protection locked="0"/>
    </xf>
    <xf numFmtId="164" fontId="21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0" borderId="73" xfId="0" applyNumberFormat="1" applyFont="1" applyFill="1" applyBorder="1" applyAlignment="1" applyProtection="1">
      <alignment horizontal="center" vertical="center"/>
      <protection locked="0"/>
    </xf>
    <xf numFmtId="0" fontId="22" fillId="0" borderId="27" xfId="0" applyFont="1" applyBorder="1" applyAlignment="1">
      <alignment horizontal="center" vertical="center"/>
    </xf>
    <xf numFmtId="3" fontId="15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15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>
      <alignment horizontal="center" vertical="center" wrapText="1"/>
    </xf>
    <xf numFmtId="3" fontId="15" fillId="0" borderId="17" xfId="0" applyNumberFormat="1" applyFont="1" applyFill="1" applyBorder="1" applyAlignment="1" applyProtection="1">
      <alignment horizontal="right" vertical="center"/>
      <protection locked="0"/>
    </xf>
    <xf numFmtId="3" fontId="15" fillId="0" borderId="81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horizontal="right" vertical="center"/>
      <protection locked="0"/>
    </xf>
    <xf numFmtId="3" fontId="15" fillId="0" borderId="81" xfId="0" applyNumberFormat="1" applyFont="1" applyFill="1" applyBorder="1" applyAlignment="1" applyProtection="1">
      <alignment horizontal="right" vertical="center"/>
      <protection locked="0"/>
    </xf>
    <xf numFmtId="165" fontId="9" fillId="0" borderId="25" xfId="0" applyNumberFormat="1" applyFont="1" applyFill="1" applyBorder="1" applyAlignment="1" applyProtection="1">
      <alignment horizontal="right" vertical="center"/>
      <protection locked="0"/>
    </xf>
    <xf numFmtId="3" fontId="15" fillId="0" borderId="89" xfId="0" applyNumberFormat="1" applyFont="1" applyFill="1" applyBorder="1" applyAlignment="1" applyProtection="1">
      <alignment horizontal="right" vertical="center"/>
      <protection locked="0"/>
    </xf>
    <xf numFmtId="165" fontId="9" fillId="0" borderId="90" xfId="0" applyNumberFormat="1" applyFont="1" applyFill="1" applyBorder="1" applyAlignment="1" applyProtection="1">
      <alignment horizontal="right" vertical="center"/>
      <protection locked="0"/>
    </xf>
    <xf numFmtId="3" fontId="18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7" xfId="0" applyFont="1" applyBorder="1" applyAlignment="1">
      <alignment horizontal="center" vertical="center" wrapText="1"/>
    </xf>
    <xf numFmtId="3" fontId="18" fillId="0" borderId="26" xfId="0" applyNumberFormat="1" applyFont="1" applyFill="1" applyBorder="1" applyAlignment="1" applyProtection="1">
      <alignment horizontal="right" vertical="center"/>
      <protection locked="0"/>
    </xf>
    <xf numFmtId="3" fontId="18" fillId="0" borderId="6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horizontal="right" vertical="center"/>
      <protection locked="0"/>
    </xf>
    <xf numFmtId="3" fontId="18" fillId="0" borderId="74" xfId="0" applyNumberFormat="1" applyFont="1" applyFill="1" applyBorder="1" applyAlignment="1" applyProtection="1">
      <alignment horizontal="right" vertical="center"/>
      <protection locked="0"/>
    </xf>
    <xf numFmtId="3" fontId="18" fillId="0" borderId="6" xfId="0" applyNumberFormat="1" applyFont="1" applyFill="1" applyBorder="1" applyAlignment="1" applyProtection="1">
      <alignment horizontal="right" vertical="center"/>
      <protection locked="0"/>
    </xf>
    <xf numFmtId="165" fontId="31" fillId="0" borderId="16" xfId="0" applyNumberFormat="1" applyFont="1" applyFill="1" applyBorder="1" applyAlignment="1" applyProtection="1">
      <alignment horizontal="right" vertical="center"/>
      <protection locked="0"/>
    </xf>
    <xf numFmtId="4" fontId="18" fillId="0" borderId="74" xfId="0" applyNumberFormat="1" applyFont="1" applyFill="1" applyBorder="1" applyAlignment="1" applyProtection="1">
      <alignment horizontal="right" vertical="center"/>
      <protection locked="0"/>
    </xf>
    <xf numFmtId="4" fontId="18" fillId="0" borderId="6" xfId="0" applyNumberFormat="1" applyFont="1" applyFill="1" applyBorder="1" applyAlignment="1" applyProtection="1">
      <alignment horizontal="right" vertical="center"/>
      <protection locked="0"/>
    </xf>
    <xf numFmtId="164" fontId="31" fillId="0" borderId="16" xfId="0" applyNumberFormat="1" applyFont="1" applyFill="1" applyBorder="1" applyAlignment="1" applyProtection="1">
      <alignment horizontal="right" vertical="center"/>
      <protection locked="0"/>
    </xf>
    <xf numFmtId="3" fontId="18" fillId="0" borderId="10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6" xfId="0" applyFont="1" applyBorder="1" applyAlignment="1">
      <alignment horizontal="center" vertical="center" wrapText="1"/>
    </xf>
    <xf numFmtId="3" fontId="18" fillId="0" borderId="107" xfId="0" applyNumberFormat="1" applyFont="1" applyFill="1" applyBorder="1" applyAlignment="1" applyProtection="1">
      <alignment horizontal="right" vertical="center"/>
      <protection locked="0"/>
    </xf>
    <xf numFmtId="3" fontId="18" fillId="0" borderId="108" xfId="0" applyNumberFormat="1" applyFont="1" applyFill="1" applyBorder="1" applyAlignment="1" applyProtection="1">
      <alignment vertical="center" wrapText="1"/>
      <protection locked="0"/>
    </xf>
    <xf numFmtId="164" fontId="18" fillId="0" borderId="109" xfId="0" applyNumberFormat="1" applyFont="1" applyFill="1" applyBorder="1" applyAlignment="1" applyProtection="1">
      <alignment horizontal="right" vertical="center"/>
      <protection locked="0"/>
    </xf>
    <xf numFmtId="3" fontId="18" fillId="0" borderId="108" xfId="0" applyNumberFormat="1" applyFont="1" applyFill="1" applyBorder="1" applyAlignment="1" applyProtection="1">
      <alignment horizontal="right" vertical="center"/>
      <protection locked="0"/>
    </xf>
    <xf numFmtId="165" fontId="31" fillId="0" borderId="109" xfId="0" applyNumberFormat="1" applyFont="1" applyFill="1" applyBorder="1" applyAlignment="1" applyProtection="1">
      <alignment horizontal="right" vertical="center"/>
      <protection locked="0"/>
    </xf>
    <xf numFmtId="4" fontId="18" fillId="0" borderId="110" xfId="0" applyNumberFormat="1" applyFont="1" applyFill="1" applyBorder="1" applyAlignment="1" applyProtection="1">
      <alignment horizontal="right" vertical="center"/>
      <protection locked="0"/>
    </xf>
    <xf numFmtId="4" fontId="18" fillId="0" borderId="108" xfId="0" applyNumberFormat="1" applyFont="1" applyFill="1" applyBorder="1" applyAlignment="1" applyProtection="1">
      <alignment horizontal="right" vertical="center"/>
      <protection locked="0"/>
    </xf>
    <xf numFmtId="164" fontId="31" fillId="0" borderId="109" xfId="0" applyNumberFormat="1" applyFont="1" applyFill="1" applyBorder="1" applyAlignment="1" applyProtection="1">
      <alignment horizontal="right" vertical="center"/>
      <protection locked="0"/>
    </xf>
    <xf numFmtId="3" fontId="18" fillId="0" borderId="110" xfId="0" applyNumberFormat="1" applyFont="1" applyFill="1" applyBorder="1" applyAlignment="1" applyProtection="1">
      <alignment horizontal="right" vertical="center"/>
      <protection locked="0"/>
    </xf>
    <xf numFmtId="165" fontId="31" fillId="0" borderId="11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33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3" fillId="0" borderId="0" xfId="0" applyFont="1" applyAlignment="1">
      <alignment vertical="center"/>
    </xf>
    <xf numFmtId="0" fontId="3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7"/>
  <sheetViews>
    <sheetView tabSelected="1" workbookViewId="0" topLeftCell="A351">
      <selection activeCell="A363" sqref="A363:A365"/>
    </sheetView>
  </sheetViews>
  <sheetFormatPr defaultColWidth="9.00390625" defaultRowHeight="12.75"/>
  <cols>
    <col min="1" max="1" width="5.00390625" style="0" customWidth="1"/>
    <col min="2" max="2" width="22.25390625" style="0" customWidth="1"/>
    <col min="3" max="3" width="9.75390625" style="0" customWidth="1"/>
    <col min="4" max="5" width="11.875" style="0" customWidth="1"/>
    <col min="6" max="6" width="4.125" style="1" customWidth="1"/>
    <col min="7" max="7" width="9.625" style="0" customWidth="1"/>
    <col min="8" max="8" width="9.375" style="0" customWidth="1"/>
    <col min="9" max="9" width="4.00390625" style="2" customWidth="1"/>
    <col min="10" max="10" width="9.625" style="0" customWidth="1"/>
    <col min="11" max="11" width="9.375" style="0" customWidth="1"/>
    <col min="12" max="12" width="4.125" style="3" customWidth="1"/>
    <col min="13" max="14" width="8.75390625" style="0" customWidth="1"/>
    <col min="15" max="15" width="4.00390625" style="2" customWidth="1"/>
    <col min="16" max="16" width="8.375" style="0" customWidth="1"/>
    <col min="17" max="17" width="8.25390625" style="0" customWidth="1"/>
    <col min="18" max="18" width="5.125" style="2" customWidth="1"/>
    <col min="19" max="26" width="0" style="0" hidden="1" customWidth="1"/>
  </cols>
  <sheetData>
    <row r="1" ht="12.75">
      <c r="Q1" s="4" t="s">
        <v>0</v>
      </c>
    </row>
    <row r="2" spans="1:18" ht="15.75">
      <c r="A2" s="5" t="s">
        <v>1</v>
      </c>
      <c r="B2" s="6"/>
      <c r="C2" s="7"/>
      <c r="D2" s="7"/>
      <c r="E2" s="7"/>
      <c r="F2" s="8"/>
      <c r="G2" s="9"/>
      <c r="H2" s="10"/>
      <c r="I2" s="11"/>
      <c r="J2" s="12"/>
      <c r="K2" s="13"/>
      <c r="L2" s="14"/>
      <c r="M2" s="15"/>
      <c r="N2" s="16"/>
      <c r="O2" s="17"/>
      <c r="P2" s="18"/>
      <c r="R2" s="19"/>
    </row>
    <row r="3" spans="2:18" ht="13.5" thickBot="1">
      <c r="B3" s="20"/>
      <c r="Q3" s="21" t="s">
        <v>2</v>
      </c>
      <c r="R3" s="22"/>
    </row>
    <row r="4" spans="1:18" ht="14.25">
      <c r="A4" s="23" t="s">
        <v>3</v>
      </c>
      <c r="B4" s="24" t="s">
        <v>4</v>
      </c>
      <c r="C4" s="25" t="s">
        <v>5</v>
      </c>
      <c r="D4" s="26"/>
      <c r="E4" s="26"/>
      <c r="F4" s="27"/>
      <c r="G4" s="28" t="s">
        <v>6</v>
      </c>
      <c r="H4" s="29"/>
      <c r="I4" s="29"/>
      <c r="J4" s="29"/>
      <c r="K4" s="29"/>
      <c r="L4" s="30"/>
      <c r="M4" s="31" t="s">
        <v>7</v>
      </c>
      <c r="N4" s="32"/>
      <c r="O4" s="32"/>
      <c r="P4" s="32"/>
      <c r="Q4" s="32"/>
      <c r="R4" s="33"/>
    </row>
    <row r="5" spans="1:18" ht="24" customHeight="1" thickBot="1">
      <c r="A5" s="34"/>
      <c r="B5" s="35"/>
      <c r="C5" s="36"/>
      <c r="D5" s="37"/>
      <c r="E5" s="37"/>
      <c r="F5" s="38"/>
      <c r="G5" s="39" t="s">
        <v>8</v>
      </c>
      <c r="H5" s="40"/>
      <c r="I5" s="41"/>
      <c r="J5" s="39" t="s">
        <v>9</v>
      </c>
      <c r="K5" s="42"/>
      <c r="L5" s="43"/>
      <c r="M5" s="39" t="s">
        <v>8</v>
      </c>
      <c r="N5" s="40"/>
      <c r="O5" s="41"/>
      <c r="P5" s="39" t="s">
        <v>10</v>
      </c>
      <c r="Q5" s="42"/>
      <c r="R5" s="43"/>
    </row>
    <row r="6" spans="1:18" ht="37.5" thickBot="1" thickTop="1">
      <c r="A6" s="44"/>
      <c r="B6" s="45"/>
      <c r="C6" s="46" t="s">
        <v>11</v>
      </c>
      <c r="D6" s="47" t="s">
        <v>12</v>
      </c>
      <c r="E6" s="47" t="s">
        <v>13</v>
      </c>
      <c r="F6" s="48" t="s">
        <v>14</v>
      </c>
      <c r="G6" s="49" t="s">
        <v>15</v>
      </c>
      <c r="H6" s="50" t="s">
        <v>13</v>
      </c>
      <c r="I6" s="51" t="s">
        <v>14</v>
      </c>
      <c r="J6" s="49" t="s">
        <v>15</v>
      </c>
      <c r="K6" s="50" t="s">
        <v>13</v>
      </c>
      <c r="L6" s="51" t="s">
        <v>14</v>
      </c>
      <c r="M6" s="49" t="s">
        <v>15</v>
      </c>
      <c r="N6" s="50" t="s">
        <v>13</v>
      </c>
      <c r="O6" s="51" t="s">
        <v>14</v>
      </c>
      <c r="P6" s="49" t="s">
        <v>15</v>
      </c>
      <c r="Q6" s="50" t="s">
        <v>13</v>
      </c>
      <c r="R6" s="52" t="s">
        <v>14</v>
      </c>
    </row>
    <row r="7" spans="1:18" ht="11.25" customHeight="1" thickBot="1" thickTop="1">
      <c r="A7" s="53">
        <v>1</v>
      </c>
      <c r="B7" s="54">
        <v>2</v>
      </c>
      <c r="C7" s="55">
        <v>3</v>
      </c>
      <c r="D7" s="56">
        <v>4</v>
      </c>
      <c r="E7" s="56">
        <v>5</v>
      </c>
      <c r="F7" s="57">
        <v>6</v>
      </c>
      <c r="G7" s="58">
        <v>7</v>
      </c>
      <c r="H7" s="56">
        <v>8</v>
      </c>
      <c r="I7" s="59">
        <v>9</v>
      </c>
      <c r="J7" s="58">
        <v>10</v>
      </c>
      <c r="K7" s="56">
        <v>11</v>
      </c>
      <c r="L7" s="59">
        <v>12</v>
      </c>
      <c r="M7" s="58">
        <v>13</v>
      </c>
      <c r="N7" s="56">
        <v>14</v>
      </c>
      <c r="O7" s="59">
        <v>15</v>
      </c>
      <c r="P7" s="58">
        <v>16</v>
      </c>
      <c r="Q7" s="56">
        <v>17</v>
      </c>
      <c r="R7" s="60">
        <v>18</v>
      </c>
    </row>
    <row r="8" spans="1:18" s="75" customFormat="1" ht="24.75" customHeight="1" thickBot="1" thickTop="1">
      <c r="A8" s="61" t="s">
        <v>16</v>
      </c>
      <c r="B8" s="62" t="s">
        <v>17</v>
      </c>
      <c r="C8" s="63"/>
      <c r="D8" s="64">
        <f>G8+J8+M8+P8</f>
        <v>15192</v>
      </c>
      <c r="E8" s="65">
        <f>E9</f>
        <v>15192</v>
      </c>
      <c r="F8" s="66">
        <f aca="true" t="shared" si="0" ref="F8:F70">E8/D8*100</f>
        <v>100</v>
      </c>
      <c r="G8" s="67"/>
      <c r="H8" s="68"/>
      <c r="I8" s="69"/>
      <c r="J8" s="70">
        <f>J9</f>
        <v>15192</v>
      </c>
      <c r="K8" s="65">
        <f>K9</f>
        <v>15192</v>
      </c>
      <c r="L8" s="71">
        <f>K8/J8*100</f>
        <v>100</v>
      </c>
      <c r="M8" s="72"/>
      <c r="N8" s="73"/>
      <c r="O8" s="71"/>
      <c r="P8" s="72"/>
      <c r="Q8" s="73"/>
      <c r="R8" s="74"/>
    </row>
    <row r="9" spans="1:18" s="75" customFormat="1" ht="15" customHeight="1" thickTop="1">
      <c r="A9" s="76" t="s">
        <v>18</v>
      </c>
      <c r="B9" s="77" t="s">
        <v>19</v>
      </c>
      <c r="C9" s="78"/>
      <c r="D9" s="79">
        <f>D10</f>
        <v>15192</v>
      </c>
      <c r="E9" s="79">
        <f>E10</f>
        <v>15192</v>
      </c>
      <c r="F9" s="80">
        <f t="shared" si="0"/>
        <v>100</v>
      </c>
      <c r="G9" s="81"/>
      <c r="H9" s="82"/>
      <c r="I9" s="83"/>
      <c r="J9" s="84">
        <f>J10</f>
        <v>15192</v>
      </c>
      <c r="K9" s="79">
        <f>K10</f>
        <v>15192</v>
      </c>
      <c r="L9" s="85">
        <f>K9/J9*100</f>
        <v>100</v>
      </c>
      <c r="M9" s="86"/>
      <c r="N9" s="87"/>
      <c r="O9" s="85"/>
      <c r="P9" s="86"/>
      <c r="Q9" s="87"/>
      <c r="R9" s="88"/>
    </row>
    <row r="10" spans="1:18" ht="47.25" customHeight="1" thickBot="1">
      <c r="A10" s="89" t="s">
        <v>20</v>
      </c>
      <c r="B10" s="90" t="s">
        <v>21</v>
      </c>
      <c r="C10" s="91"/>
      <c r="D10" s="92">
        <f>G10+J10+M10+P10</f>
        <v>15192</v>
      </c>
      <c r="E10" s="92">
        <f>H10+K10+N10+Q10</f>
        <v>15192</v>
      </c>
      <c r="F10" s="93">
        <f t="shared" si="0"/>
        <v>100</v>
      </c>
      <c r="G10" s="94"/>
      <c r="H10" s="95"/>
      <c r="I10" s="96"/>
      <c r="J10" s="97">
        <v>15192</v>
      </c>
      <c r="K10" s="98">
        <v>15192</v>
      </c>
      <c r="L10" s="99">
        <f>K10/J10*100</f>
        <v>100</v>
      </c>
      <c r="M10" s="100"/>
      <c r="N10" s="101"/>
      <c r="O10" s="99"/>
      <c r="P10" s="100"/>
      <c r="Q10" s="101"/>
      <c r="R10" s="102"/>
    </row>
    <row r="11" spans="1:18" ht="20.25" customHeight="1" thickBot="1" thickTop="1">
      <c r="A11" s="103" t="s">
        <v>22</v>
      </c>
      <c r="B11" s="104" t="s">
        <v>23</v>
      </c>
      <c r="C11" s="105">
        <f>C14+C19+C27</f>
        <v>19020</v>
      </c>
      <c r="D11" s="64">
        <f>G11+J11+M11+P11</f>
        <v>1717761</v>
      </c>
      <c r="E11" s="64">
        <f>H11+K11+N11+Q11</f>
        <v>2273673</v>
      </c>
      <c r="F11" s="106">
        <f t="shared" si="0"/>
        <v>132.3625929334756</v>
      </c>
      <c r="G11" s="107">
        <f>G12+G14+G19+G27+G25</f>
        <v>46556</v>
      </c>
      <c r="H11" s="107">
        <f>H14+H19+H27+H25</f>
        <v>553193</v>
      </c>
      <c r="I11" s="108">
        <f>H11/G11*100</f>
        <v>1188.2313772660882</v>
      </c>
      <c r="J11" s="109"/>
      <c r="K11" s="107"/>
      <c r="L11" s="110"/>
      <c r="M11" s="107">
        <f>M14+M19+M27</f>
        <v>156205</v>
      </c>
      <c r="N11" s="107">
        <f>N14+N19+N27</f>
        <v>204492</v>
      </c>
      <c r="O11" s="111">
        <f aca="true" t="shared" si="1" ref="O11:O17">N11/M11*100</f>
        <v>130.91258282385328</v>
      </c>
      <c r="P11" s="109">
        <f>P14</f>
        <v>1515000</v>
      </c>
      <c r="Q11" s="107">
        <f>Q14</f>
        <v>1515988</v>
      </c>
      <c r="R11" s="112">
        <f>Q11/P11*100</f>
        <v>100.06521452145213</v>
      </c>
    </row>
    <row r="12" spans="1:18" ht="16.5" customHeight="1" thickTop="1">
      <c r="A12" s="113" t="s">
        <v>24</v>
      </c>
      <c r="B12" s="114" t="s">
        <v>25</v>
      </c>
      <c r="C12" s="115"/>
      <c r="D12" s="116">
        <f>D13</f>
        <v>4016</v>
      </c>
      <c r="E12" s="116"/>
      <c r="F12" s="117"/>
      <c r="G12" s="118">
        <f>G13</f>
        <v>4016</v>
      </c>
      <c r="H12" s="119"/>
      <c r="I12" s="120"/>
      <c r="J12" s="121"/>
      <c r="K12" s="119"/>
      <c r="L12" s="122"/>
      <c r="M12" s="118"/>
      <c r="N12" s="119"/>
      <c r="O12" s="123"/>
      <c r="P12" s="121"/>
      <c r="Q12" s="119"/>
      <c r="R12" s="124"/>
    </row>
    <row r="13" spans="1:18" s="137" customFormat="1" ht="48.75" customHeight="1">
      <c r="A13" s="125" t="s">
        <v>26</v>
      </c>
      <c r="B13" s="126" t="s">
        <v>27</v>
      </c>
      <c r="C13" s="127"/>
      <c r="D13" s="128">
        <f>G13</f>
        <v>4016</v>
      </c>
      <c r="E13" s="128"/>
      <c r="F13" s="129"/>
      <c r="G13" s="130">
        <v>4016</v>
      </c>
      <c r="H13" s="131"/>
      <c r="I13" s="132"/>
      <c r="J13" s="133"/>
      <c r="K13" s="131"/>
      <c r="L13" s="134"/>
      <c r="M13" s="130"/>
      <c r="N13" s="131"/>
      <c r="O13" s="135"/>
      <c r="P13" s="133"/>
      <c r="Q13" s="131"/>
      <c r="R13" s="136"/>
    </row>
    <row r="14" spans="1:18" ht="23.25" customHeight="1">
      <c r="A14" s="138" t="s">
        <v>28</v>
      </c>
      <c r="B14" s="139" t="s">
        <v>29</v>
      </c>
      <c r="C14" s="140">
        <f>SUM(C15:C16)</f>
        <v>2000</v>
      </c>
      <c r="D14" s="141">
        <f>SUM(D15:D18)</f>
        <v>1671205</v>
      </c>
      <c r="E14" s="141">
        <f>SUM(E15:E18)</f>
        <v>1720480</v>
      </c>
      <c r="F14" s="142">
        <f t="shared" si="0"/>
        <v>102.94847131261575</v>
      </c>
      <c r="G14" s="143"/>
      <c r="H14" s="144"/>
      <c r="I14" s="145"/>
      <c r="J14" s="143"/>
      <c r="K14" s="144"/>
      <c r="L14" s="146"/>
      <c r="M14" s="147">
        <f>SUM(M15:M18)</f>
        <v>156205</v>
      </c>
      <c r="N14" s="141">
        <f>SUM(N15:N18)</f>
        <v>204492</v>
      </c>
      <c r="O14" s="148">
        <f t="shared" si="1"/>
        <v>130.91258282385328</v>
      </c>
      <c r="P14" s="143">
        <f>SUM(P15:P18)</f>
        <v>1515000</v>
      </c>
      <c r="Q14" s="144">
        <f>SUM(Q15:Q18)</f>
        <v>1515988</v>
      </c>
      <c r="R14" s="149">
        <f>Q14/P14*100</f>
        <v>100.06521452145213</v>
      </c>
    </row>
    <row r="15" spans="1:18" ht="51.75" customHeight="1">
      <c r="A15" s="150" t="s">
        <v>30</v>
      </c>
      <c r="B15" s="151" t="s">
        <v>31</v>
      </c>
      <c r="C15" s="152">
        <v>2000</v>
      </c>
      <c r="D15" s="92">
        <f>G15+J15+M15</f>
        <v>2000</v>
      </c>
      <c r="E15" s="92">
        <f>H15+K15+N15+Q15</f>
        <v>48120</v>
      </c>
      <c r="F15" s="153">
        <f t="shared" si="0"/>
        <v>2406</v>
      </c>
      <c r="G15" s="154"/>
      <c r="H15" s="155"/>
      <c r="I15" s="156"/>
      <c r="J15" s="154"/>
      <c r="K15" s="155"/>
      <c r="L15" s="157"/>
      <c r="M15" s="154">
        <v>2000</v>
      </c>
      <c r="N15" s="155">
        <v>48120</v>
      </c>
      <c r="O15" s="157">
        <f t="shared" si="1"/>
        <v>2406</v>
      </c>
      <c r="P15" s="154"/>
      <c r="Q15" s="155"/>
      <c r="R15" s="158"/>
    </row>
    <row r="16" spans="1:18" ht="23.25" customHeight="1">
      <c r="A16" s="150" t="s">
        <v>32</v>
      </c>
      <c r="B16" s="151" t="s">
        <v>33</v>
      </c>
      <c r="C16" s="152"/>
      <c r="D16" s="92">
        <f>G16+J16+M16</f>
        <v>134205</v>
      </c>
      <c r="E16" s="92">
        <f>H16+K16+N16+Q16</f>
        <v>134205</v>
      </c>
      <c r="F16" s="159">
        <f t="shared" si="0"/>
        <v>100</v>
      </c>
      <c r="G16" s="154"/>
      <c r="H16" s="155"/>
      <c r="I16" s="156"/>
      <c r="J16" s="154"/>
      <c r="K16" s="155"/>
      <c r="L16" s="157"/>
      <c r="M16" s="154">
        <v>134205</v>
      </c>
      <c r="N16" s="155">
        <v>134205</v>
      </c>
      <c r="O16" s="160">
        <f t="shared" si="1"/>
        <v>100</v>
      </c>
      <c r="P16" s="154"/>
      <c r="Q16" s="155"/>
      <c r="R16" s="158"/>
    </row>
    <row r="17" spans="1:18" ht="18.75" customHeight="1">
      <c r="A17" s="150" t="s">
        <v>34</v>
      </c>
      <c r="B17" s="161" t="s">
        <v>35</v>
      </c>
      <c r="C17" s="152"/>
      <c r="D17" s="92">
        <f>G17+J17+M17</f>
        <v>20000</v>
      </c>
      <c r="E17" s="92">
        <f>H17+K17+N17+Q17</f>
        <v>22167</v>
      </c>
      <c r="F17" s="159">
        <f t="shared" si="0"/>
        <v>110.835</v>
      </c>
      <c r="G17" s="154"/>
      <c r="H17" s="155"/>
      <c r="I17" s="156"/>
      <c r="J17" s="154"/>
      <c r="K17" s="155"/>
      <c r="L17" s="157"/>
      <c r="M17" s="154">
        <v>20000</v>
      </c>
      <c r="N17" s="155">
        <v>22167</v>
      </c>
      <c r="O17" s="160">
        <f t="shared" si="1"/>
        <v>110.835</v>
      </c>
      <c r="P17" s="154"/>
      <c r="Q17" s="155"/>
      <c r="R17" s="158"/>
    </row>
    <row r="18" spans="1:18" s="163" customFormat="1" ht="69" customHeight="1">
      <c r="A18" s="150" t="s">
        <v>36</v>
      </c>
      <c r="B18" s="162" t="s">
        <v>37</v>
      </c>
      <c r="C18" s="152"/>
      <c r="D18" s="92">
        <f>P18</f>
        <v>1515000</v>
      </c>
      <c r="E18" s="92">
        <f>Q18</f>
        <v>1515988</v>
      </c>
      <c r="F18" s="159">
        <f t="shared" si="0"/>
        <v>100.06521452145213</v>
      </c>
      <c r="G18" s="154"/>
      <c r="H18" s="155"/>
      <c r="I18" s="156"/>
      <c r="J18" s="154"/>
      <c r="K18" s="155"/>
      <c r="L18" s="157"/>
      <c r="M18" s="154"/>
      <c r="N18" s="155"/>
      <c r="O18" s="160"/>
      <c r="P18" s="154">
        <v>1515000</v>
      </c>
      <c r="Q18" s="155">
        <v>1515988</v>
      </c>
      <c r="R18" s="158">
        <f>Q18/P18*100</f>
        <v>100.06521452145213</v>
      </c>
    </row>
    <row r="19" spans="1:18" ht="15" customHeight="1">
      <c r="A19" s="164" t="s">
        <v>38</v>
      </c>
      <c r="B19" s="165" t="s">
        <v>39</v>
      </c>
      <c r="C19" s="166">
        <f>SUM(C20:C21)</f>
        <v>17000</v>
      </c>
      <c r="D19" s="167">
        <f>SUM(D20:D21)</f>
        <v>41000</v>
      </c>
      <c r="E19" s="167">
        <f>SUM(E20:E22)</f>
        <v>551739</v>
      </c>
      <c r="F19" s="168">
        <f t="shared" si="0"/>
        <v>1345.7048780487805</v>
      </c>
      <c r="G19" s="169">
        <f>SUM(G20:G21)</f>
        <v>41000</v>
      </c>
      <c r="H19" s="170">
        <f>SUM(H20:H22)</f>
        <v>551739</v>
      </c>
      <c r="I19" s="171">
        <f aca="true" t="shared" si="2" ref="I19:I41">H19/G19*100</f>
        <v>1345.7048780487805</v>
      </c>
      <c r="J19" s="169"/>
      <c r="K19" s="170"/>
      <c r="L19" s="172"/>
      <c r="M19" s="169"/>
      <c r="N19" s="170"/>
      <c r="O19" s="173"/>
      <c r="P19" s="169"/>
      <c r="Q19" s="170"/>
      <c r="R19" s="174"/>
    </row>
    <row r="20" spans="1:18" ht="32.25" customHeight="1">
      <c r="A20" s="175" t="s">
        <v>30</v>
      </c>
      <c r="B20" s="176" t="s">
        <v>40</v>
      </c>
      <c r="C20" s="177">
        <v>15000</v>
      </c>
      <c r="D20" s="178">
        <f aca="true" t="shared" si="3" ref="D20:E22">G20+J20</f>
        <v>15000</v>
      </c>
      <c r="E20" s="178">
        <f t="shared" si="3"/>
        <v>16765</v>
      </c>
      <c r="F20" s="179">
        <f t="shared" si="0"/>
        <v>111.76666666666665</v>
      </c>
      <c r="G20" s="180">
        <v>15000</v>
      </c>
      <c r="H20" s="181">
        <v>16765</v>
      </c>
      <c r="I20" s="182">
        <f t="shared" si="2"/>
        <v>111.76666666666665</v>
      </c>
      <c r="J20" s="180"/>
      <c r="K20" s="181"/>
      <c r="L20" s="183"/>
      <c r="M20" s="180"/>
      <c r="N20" s="181"/>
      <c r="O20" s="184"/>
      <c r="P20" s="180"/>
      <c r="Q20" s="181"/>
      <c r="R20" s="185"/>
    </row>
    <row r="21" spans="1:18" ht="21" customHeight="1">
      <c r="A21" s="150" t="s">
        <v>34</v>
      </c>
      <c r="B21" s="90" t="s">
        <v>41</v>
      </c>
      <c r="C21" s="152">
        <v>2000</v>
      </c>
      <c r="D21" s="92">
        <f t="shared" si="3"/>
        <v>26000</v>
      </c>
      <c r="E21" s="92">
        <f t="shared" si="3"/>
        <v>23745</v>
      </c>
      <c r="F21" s="186">
        <f t="shared" si="0"/>
        <v>91.32692307692307</v>
      </c>
      <c r="G21" s="154">
        <f>2000+8000+16000</f>
        <v>26000</v>
      </c>
      <c r="H21" s="155">
        <v>23745</v>
      </c>
      <c r="I21" s="156">
        <f t="shared" si="2"/>
        <v>91.32692307692307</v>
      </c>
      <c r="J21" s="187"/>
      <c r="K21" s="188"/>
      <c r="L21" s="157"/>
      <c r="M21" s="187"/>
      <c r="N21" s="188"/>
      <c r="O21" s="189"/>
      <c r="P21" s="187"/>
      <c r="Q21" s="188"/>
      <c r="R21" s="190"/>
    </row>
    <row r="22" spans="1:18" s="163" customFormat="1" ht="15.75" customHeight="1">
      <c r="A22" s="150" t="s">
        <v>34</v>
      </c>
      <c r="B22" s="90" t="s">
        <v>42</v>
      </c>
      <c r="C22" s="152"/>
      <c r="D22" s="92"/>
      <c r="E22" s="92">
        <f t="shared" si="3"/>
        <v>511229</v>
      </c>
      <c r="F22" s="186"/>
      <c r="G22" s="154"/>
      <c r="H22" s="155">
        <v>511229</v>
      </c>
      <c r="I22" s="156"/>
      <c r="J22" s="187"/>
      <c r="K22" s="188"/>
      <c r="L22" s="157"/>
      <c r="M22" s="187"/>
      <c r="N22" s="188"/>
      <c r="O22" s="189"/>
      <c r="P22" s="187"/>
      <c r="Q22" s="188"/>
      <c r="R22" s="190"/>
    </row>
    <row r="23" spans="1:18" s="163" customFormat="1" ht="24" customHeight="1">
      <c r="A23" s="150"/>
      <c r="B23" s="191" t="s">
        <v>43</v>
      </c>
      <c r="C23" s="192"/>
      <c r="D23" s="193"/>
      <c r="E23" s="193">
        <f>H23</f>
        <v>111229</v>
      </c>
      <c r="F23" s="194"/>
      <c r="G23" s="195"/>
      <c r="H23" s="196">
        <f>H22-H24</f>
        <v>111229</v>
      </c>
      <c r="I23" s="156"/>
      <c r="J23" s="187"/>
      <c r="K23" s="188"/>
      <c r="L23" s="157"/>
      <c r="M23" s="187"/>
      <c r="N23" s="188"/>
      <c r="O23" s="189"/>
      <c r="P23" s="187"/>
      <c r="Q23" s="188"/>
      <c r="R23" s="190"/>
    </row>
    <row r="24" spans="1:18" s="163" customFormat="1" ht="33.75" customHeight="1">
      <c r="A24" s="197"/>
      <c r="B24" s="198" t="s">
        <v>44</v>
      </c>
      <c r="C24" s="199"/>
      <c r="D24" s="193"/>
      <c r="E24" s="200">
        <f>H24</f>
        <v>400000</v>
      </c>
      <c r="F24" s="201"/>
      <c r="G24" s="202"/>
      <c r="H24" s="203">
        <v>400000</v>
      </c>
      <c r="I24" s="204"/>
      <c r="J24" s="205"/>
      <c r="K24" s="206"/>
      <c r="L24" s="207"/>
      <c r="M24" s="205"/>
      <c r="N24" s="206"/>
      <c r="O24" s="208"/>
      <c r="P24" s="205"/>
      <c r="Q24" s="206"/>
      <c r="R24" s="209"/>
    </row>
    <row r="25" spans="1:18" s="218" customFormat="1" ht="14.25" customHeight="1">
      <c r="A25" s="138" t="s">
        <v>45</v>
      </c>
      <c r="B25" s="139" t="s">
        <v>46</v>
      </c>
      <c r="C25" s="140"/>
      <c r="D25" s="210">
        <f>G25+J25</f>
        <v>1500</v>
      </c>
      <c r="E25" s="141">
        <f>E26</f>
        <v>1417</v>
      </c>
      <c r="F25" s="211">
        <f>E25/D25*100</f>
        <v>94.46666666666667</v>
      </c>
      <c r="G25" s="169">
        <f>G26</f>
        <v>1500</v>
      </c>
      <c r="H25" s="170">
        <f>H26</f>
        <v>1417</v>
      </c>
      <c r="I25" s="212">
        <f>H25/G25*100</f>
        <v>94.46666666666667</v>
      </c>
      <c r="J25" s="213"/>
      <c r="K25" s="214"/>
      <c r="L25" s="215"/>
      <c r="M25" s="213"/>
      <c r="N25" s="214"/>
      <c r="O25" s="216"/>
      <c r="P25" s="213"/>
      <c r="Q25" s="214"/>
      <c r="R25" s="217"/>
    </row>
    <row r="26" spans="1:18" ht="33.75" customHeight="1">
      <c r="A26" s="197" t="s">
        <v>30</v>
      </c>
      <c r="B26" s="219" t="s">
        <v>40</v>
      </c>
      <c r="C26" s="220"/>
      <c r="D26" s="92">
        <f>G26+J26</f>
        <v>1500</v>
      </c>
      <c r="E26" s="221">
        <f>H26</f>
        <v>1417</v>
      </c>
      <c r="F26" s="222">
        <f>E26/D26*100</f>
        <v>94.46666666666667</v>
      </c>
      <c r="G26" s="223">
        <v>1500</v>
      </c>
      <c r="H26" s="224">
        <v>1417</v>
      </c>
      <c r="I26" s="204">
        <f>H26/G26*100</f>
        <v>94.46666666666667</v>
      </c>
      <c r="J26" s="205"/>
      <c r="K26" s="206"/>
      <c r="L26" s="207"/>
      <c r="M26" s="205"/>
      <c r="N26" s="206"/>
      <c r="O26" s="208"/>
      <c r="P26" s="205"/>
      <c r="Q26" s="206"/>
      <c r="R26" s="209"/>
    </row>
    <row r="27" spans="1:18" ht="16.5" customHeight="1">
      <c r="A27" s="164" t="s">
        <v>47</v>
      </c>
      <c r="B27" s="165" t="s">
        <v>19</v>
      </c>
      <c r="C27" s="166">
        <f>C28</f>
        <v>20</v>
      </c>
      <c r="D27" s="167">
        <f>D28</f>
        <v>40</v>
      </c>
      <c r="E27" s="167">
        <f>E28</f>
        <v>37</v>
      </c>
      <c r="F27" s="211">
        <f t="shared" si="0"/>
        <v>92.5</v>
      </c>
      <c r="G27" s="169">
        <f>G28</f>
        <v>40</v>
      </c>
      <c r="H27" s="170">
        <f>H28</f>
        <v>37</v>
      </c>
      <c r="I27" s="212">
        <f t="shared" si="2"/>
        <v>92.5</v>
      </c>
      <c r="J27" s="169"/>
      <c r="K27" s="170"/>
      <c r="L27" s="172"/>
      <c r="M27" s="169"/>
      <c r="N27" s="170"/>
      <c r="O27" s="173"/>
      <c r="P27" s="169"/>
      <c r="Q27" s="170"/>
      <c r="R27" s="174"/>
    </row>
    <row r="28" spans="1:18" ht="15.75" customHeight="1" thickBot="1">
      <c r="A28" s="150" t="s">
        <v>34</v>
      </c>
      <c r="B28" s="151" t="s">
        <v>48</v>
      </c>
      <c r="C28" s="152">
        <v>20</v>
      </c>
      <c r="D28" s="92">
        <f aca="true" t="shared" si="4" ref="D28:E32">G28+J28+M28+P28</f>
        <v>40</v>
      </c>
      <c r="E28" s="92">
        <f t="shared" si="4"/>
        <v>37</v>
      </c>
      <c r="F28" s="186">
        <f t="shared" si="0"/>
        <v>92.5</v>
      </c>
      <c r="G28" s="154">
        <f>20+20</f>
        <v>40</v>
      </c>
      <c r="H28" s="155">
        <v>37</v>
      </c>
      <c r="I28" s="182">
        <f t="shared" si="2"/>
        <v>92.5</v>
      </c>
      <c r="J28" s="187"/>
      <c r="K28" s="188"/>
      <c r="L28" s="157"/>
      <c r="M28" s="187"/>
      <c r="N28" s="188"/>
      <c r="O28" s="189"/>
      <c r="P28" s="187"/>
      <c r="Q28" s="188"/>
      <c r="R28" s="190"/>
    </row>
    <row r="29" spans="1:18" ht="18" customHeight="1" thickBot="1" thickTop="1">
      <c r="A29" s="225" t="s">
        <v>49</v>
      </c>
      <c r="B29" s="226" t="s">
        <v>50</v>
      </c>
      <c r="C29" s="227"/>
      <c r="D29" s="64">
        <f>G29+J29+M29+P29</f>
        <v>35305</v>
      </c>
      <c r="E29" s="228">
        <f t="shared" si="4"/>
        <v>35303</v>
      </c>
      <c r="F29" s="106">
        <f t="shared" si="0"/>
        <v>99.994335080017</v>
      </c>
      <c r="G29" s="229">
        <f>G30</f>
        <v>35305</v>
      </c>
      <c r="H29" s="230">
        <f>H30</f>
        <v>35303</v>
      </c>
      <c r="I29" s="231">
        <f t="shared" si="2"/>
        <v>99.994335080017</v>
      </c>
      <c r="J29" s="229"/>
      <c r="K29" s="230"/>
      <c r="L29" s="232"/>
      <c r="M29" s="229"/>
      <c r="N29" s="230"/>
      <c r="O29" s="233"/>
      <c r="P29" s="229"/>
      <c r="Q29" s="230"/>
      <c r="R29" s="234"/>
    </row>
    <row r="30" spans="1:18" ht="16.5" customHeight="1" thickTop="1">
      <c r="A30" s="235" t="s">
        <v>51</v>
      </c>
      <c r="B30" s="236" t="s">
        <v>19</v>
      </c>
      <c r="C30" s="237"/>
      <c r="D30" s="238">
        <f>SUM(D31:D32)</f>
        <v>35305</v>
      </c>
      <c r="E30" s="238">
        <f>SUM(E31:E32)</f>
        <v>35303</v>
      </c>
      <c r="F30" s="142">
        <f t="shared" si="0"/>
        <v>99.994335080017</v>
      </c>
      <c r="G30" s="239">
        <f>G31+G32</f>
        <v>35305</v>
      </c>
      <c r="H30" s="240">
        <f>H31+H32</f>
        <v>35303</v>
      </c>
      <c r="I30" s="145">
        <f t="shared" si="2"/>
        <v>99.994335080017</v>
      </c>
      <c r="J30" s="239"/>
      <c r="K30" s="240"/>
      <c r="L30" s="241"/>
      <c r="M30" s="239"/>
      <c r="N30" s="240"/>
      <c r="O30" s="242"/>
      <c r="P30" s="239"/>
      <c r="Q30" s="240"/>
      <c r="R30" s="243"/>
    </row>
    <row r="31" spans="1:18" s="163" customFormat="1" ht="58.5" customHeight="1">
      <c r="A31" s="175" t="s">
        <v>52</v>
      </c>
      <c r="B31" s="176" t="s">
        <v>53</v>
      </c>
      <c r="C31" s="177"/>
      <c r="D31" s="92">
        <f>G31+J31</f>
        <v>31151</v>
      </c>
      <c r="E31" s="178">
        <f t="shared" si="4"/>
        <v>31150</v>
      </c>
      <c r="F31" s="179">
        <f>E31/D31*100</f>
        <v>99.99678983018202</v>
      </c>
      <c r="G31" s="180">
        <v>31151</v>
      </c>
      <c r="H31" s="181">
        <v>31150</v>
      </c>
      <c r="I31" s="182">
        <f>H31/G31*100</f>
        <v>99.99678983018202</v>
      </c>
      <c r="J31" s="244"/>
      <c r="K31" s="245"/>
      <c r="L31" s="183"/>
      <c r="M31" s="244"/>
      <c r="N31" s="245"/>
      <c r="O31" s="246"/>
      <c r="P31" s="244"/>
      <c r="Q31" s="245"/>
      <c r="R31" s="247"/>
    </row>
    <row r="32" spans="1:18" s="163" customFormat="1" ht="55.5" customHeight="1" thickBot="1">
      <c r="A32" s="150" t="s">
        <v>54</v>
      </c>
      <c r="B32" s="248" t="s">
        <v>53</v>
      </c>
      <c r="C32" s="152"/>
      <c r="D32" s="92">
        <f>G32+J32</f>
        <v>4154</v>
      </c>
      <c r="E32" s="249">
        <f t="shared" si="4"/>
        <v>4153</v>
      </c>
      <c r="F32" s="250">
        <f>E32/D32*100</f>
        <v>99.97592681752528</v>
      </c>
      <c r="G32" s="154">
        <v>4154</v>
      </c>
      <c r="H32" s="155">
        <v>4153</v>
      </c>
      <c r="I32" s="156">
        <f>H32/G32*100</f>
        <v>99.97592681752528</v>
      </c>
      <c r="J32" s="187"/>
      <c r="K32" s="188"/>
      <c r="L32" s="157"/>
      <c r="M32" s="187"/>
      <c r="N32" s="188"/>
      <c r="O32" s="189"/>
      <c r="P32" s="187"/>
      <c r="Q32" s="188"/>
      <c r="R32" s="190"/>
    </row>
    <row r="33" spans="1:18" ht="26.25" customHeight="1" thickBot="1" thickTop="1">
      <c r="A33" s="103" t="s">
        <v>55</v>
      </c>
      <c r="B33" s="251" t="s">
        <v>56</v>
      </c>
      <c r="C33" s="105">
        <f>C34</f>
        <v>21834000</v>
      </c>
      <c r="D33" s="64">
        <f>G33+J33+M33+P33</f>
        <v>22787192</v>
      </c>
      <c r="E33" s="107">
        <f>E34+E44</f>
        <v>27291996</v>
      </c>
      <c r="F33" s="106">
        <f t="shared" si="0"/>
        <v>119.7690176130521</v>
      </c>
      <c r="G33" s="109">
        <f>G34+G44</f>
        <v>21948580</v>
      </c>
      <c r="H33" s="107">
        <f>H34+H44</f>
        <v>26373117</v>
      </c>
      <c r="I33" s="252">
        <f t="shared" si="2"/>
        <v>120.15864807654984</v>
      </c>
      <c r="J33" s="109"/>
      <c r="K33" s="107"/>
      <c r="L33" s="110"/>
      <c r="M33" s="109">
        <f>M34</f>
        <v>800000</v>
      </c>
      <c r="N33" s="107">
        <f>N34</f>
        <v>880269</v>
      </c>
      <c r="O33" s="252">
        <f>N33/M33*100</f>
        <v>110.033625</v>
      </c>
      <c r="P33" s="109">
        <f>P34</f>
        <v>38612</v>
      </c>
      <c r="Q33" s="107">
        <f>Q34</f>
        <v>38610</v>
      </c>
      <c r="R33" s="253">
        <f>Q33/P33*100</f>
        <v>99.99482026313063</v>
      </c>
    </row>
    <row r="34" spans="1:18" ht="25.5" customHeight="1" thickTop="1">
      <c r="A34" s="138" t="s">
        <v>57</v>
      </c>
      <c r="B34" s="139" t="s">
        <v>58</v>
      </c>
      <c r="C34" s="140">
        <f>SUM(C35:C43)</f>
        <v>21834000</v>
      </c>
      <c r="D34" s="141">
        <f>SUM(D35:D43)</f>
        <v>22787172</v>
      </c>
      <c r="E34" s="141">
        <f>SUM(E35:E43)</f>
        <v>27291976</v>
      </c>
      <c r="F34" s="142">
        <f t="shared" si="0"/>
        <v>119.76903496405784</v>
      </c>
      <c r="G34" s="254">
        <f>SUM(G35:G43)</f>
        <v>21948560</v>
      </c>
      <c r="H34" s="119">
        <f>SUM(H35:H43)</f>
        <v>26373097</v>
      </c>
      <c r="I34" s="145">
        <f t="shared" si="2"/>
        <v>120.15866644554359</v>
      </c>
      <c r="J34" s="143"/>
      <c r="K34" s="144"/>
      <c r="L34" s="146"/>
      <c r="M34" s="143">
        <f>SUM(M35:M43)</f>
        <v>800000</v>
      </c>
      <c r="N34" s="144">
        <f>SUM(N35:N43)</f>
        <v>880269</v>
      </c>
      <c r="O34" s="145">
        <f>N34/M34*100</f>
        <v>110.033625</v>
      </c>
      <c r="P34" s="147">
        <f>P42</f>
        <v>38612</v>
      </c>
      <c r="Q34" s="141">
        <f>Q42</f>
        <v>38610</v>
      </c>
      <c r="R34" s="255">
        <f>Q34/P34*100</f>
        <v>99.99482026313063</v>
      </c>
    </row>
    <row r="35" spans="1:18" ht="35.25" customHeight="1">
      <c r="A35" s="175" t="s">
        <v>59</v>
      </c>
      <c r="B35" s="176" t="s">
        <v>60</v>
      </c>
      <c r="C35" s="177">
        <v>4686000</v>
      </c>
      <c r="D35" s="178">
        <f>G35+J35+M35+P35</f>
        <v>5636000</v>
      </c>
      <c r="E35" s="178">
        <f>H35+K35+N35+Q35</f>
        <v>6276355</v>
      </c>
      <c r="F35" s="179">
        <f t="shared" si="0"/>
        <v>111.36187012065295</v>
      </c>
      <c r="G35" s="180">
        <f>950000+4686000</f>
        <v>5636000</v>
      </c>
      <c r="H35" s="181">
        <v>6276355</v>
      </c>
      <c r="I35" s="182">
        <f t="shared" si="2"/>
        <v>111.36187012065295</v>
      </c>
      <c r="J35" s="180"/>
      <c r="K35" s="181"/>
      <c r="L35" s="183"/>
      <c r="M35" s="180"/>
      <c r="N35" s="181"/>
      <c r="O35" s="182"/>
      <c r="P35" s="180"/>
      <c r="Q35" s="181"/>
      <c r="R35" s="256"/>
    </row>
    <row r="36" spans="1:18" s="163" customFormat="1" ht="34.5" customHeight="1">
      <c r="A36" s="150" t="s">
        <v>30</v>
      </c>
      <c r="B36" s="90" t="s">
        <v>40</v>
      </c>
      <c r="C36" s="152"/>
      <c r="D36" s="92">
        <f>G36+J36+M36+P36</f>
        <v>2560</v>
      </c>
      <c r="E36" s="92">
        <f>H36+K36+N36+Q36</f>
        <v>4197</v>
      </c>
      <c r="F36" s="186">
        <f t="shared" si="0"/>
        <v>163.9453125</v>
      </c>
      <c r="G36" s="154">
        <v>2560</v>
      </c>
      <c r="H36" s="155">
        <v>4197</v>
      </c>
      <c r="I36" s="156">
        <f t="shared" si="2"/>
        <v>163.9453125</v>
      </c>
      <c r="J36" s="154"/>
      <c r="K36" s="155"/>
      <c r="L36" s="157"/>
      <c r="M36" s="154"/>
      <c r="N36" s="155"/>
      <c r="O36" s="156"/>
      <c r="P36" s="154"/>
      <c r="Q36" s="155"/>
      <c r="R36" s="257"/>
    </row>
    <row r="37" spans="1:18" ht="44.25" customHeight="1">
      <c r="A37" s="150" t="s">
        <v>61</v>
      </c>
      <c r="B37" s="151" t="s">
        <v>62</v>
      </c>
      <c r="C37" s="152">
        <v>640000</v>
      </c>
      <c r="D37" s="92">
        <f>G37+J37</f>
        <v>640000</v>
      </c>
      <c r="E37" s="92">
        <f aca="true" t="shared" si="5" ref="E37:E45">H37+K37+N37+Q37</f>
        <v>362126</v>
      </c>
      <c r="F37" s="186">
        <f t="shared" si="0"/>
        <v>56.5821875</v>
      </c>
      <c r="G37" s="154">
        <f>640000-400000+400000</f>
        <v>640000</v>
      </c>
      <c r="H37" s="155">
        <v>362126</v>
      </c>
      <c r="I37" s="156">
        <f t="shared" si="2"/>
        <v>56.5821875</v>
      </c>
      <c r="J37" s="154"/>
      <c r="K37" s="155"/>
      <c r="L37" s="157"/>
      <c r="M37" s="154"/>
      <c r="N37" s="155"/>
      <c r="O37" s="156"/>
      <c r="P37" s="154"/>
      <c r="Q37" s="155"/>
      <c r="R37" s="257"/>
    </row>
    <row r="38" spans="1:18" s="163" customFormat="1" ht="57" customHeight="1">
      <c r="A38" s="150" t="s">
        <v>63</v>
      </c>
      <c r="B38" s="90" t="s">
        <v>64</v>
      </c>
      <c r="C38" s="152">
        <v>750000</v>
      </c>
      <c r="D38" s="92">
        <f>G38+J38+M38+P38</f>
        <v>750000</v>
      </c>
      <c r="E38" s="92">
        <f t="shared" si="5"/>
        <v>786162</v>
      </c>
      <c r="F38" s="186">
        <f t="shared" si="0"/>
        <v>104.8216</v>
      </c>
      <c r="G38" s="154">
        <v>750000</v>
      </c>
      <c r="H38" s="155">
        <v>786162</v>
      </c>
      <c r="I38" s="156">
        <f t="shared" si="2"/>
        <v>104.8216</v>
      </c>
      <c r="J38" s="154"/>
      <c r="K38" s="155"/>
      <c r="L38" s="157"/>
      <c r="M38" s="154"/>
      <c r="N38" s="155"/>
      <c r="O38" s="156"/>
      <c r="P38" s="154"/>
      <c r="Q38" s="155"/>
      <c r="R38" s="257"/>
    </row>
    <row r="39" spans="1:18" s="163" customFormat="1" ht="47.25" customHeight="1">
      <c r="A39" s="150" t="s">
        <v>65</v>
      </c>
      <c r="B39" s="90" t="s">
        <v>66</v>
      </c>
      <c r="C39" s="152">
        <v>1100000</v>
      </c>
      <c r="D39" s="92">
        <f>G39+J39</f>
        <v>1100000</v>
      </c>
      <c r="E39" s="92">
        <f t="shared" si="5"/>
        <v>972131</v>
      </c>
      <c r="F39" s="186">
        <f t="shared" si="0"/>
        <v>88.37554545454546</v>
      </c>
      <c r="G39" s="154">
        <v>1100000</v>
      </c>
      <c r="H39" s="155">
        <v>972131</v>
      </c>
      <c r="I39" s="156">
        <f t="shared" si="2"/>
        <v>88.37554545454546</v>
      </c>
      <c r="J39" s="154"/>
      <c r="K39" s="155"/>
      <c r="L39" s="157"/>
      <c r="M39" s="154"/>
      <c r="N39" s="155"/>
      <c r="O39" s="156"/>
      <c r="P39" s="154"/>
      <c r="Q39" s="155"/>
      <c r="R39" s="257"/>
    </row>
    <row r="40" spans="1:18" s="163" customFormat="1" ht="48.75" customHeight="1">
      <c r="A40" s="150" t="s">
        <v>67</v>
      </c>
      <c r="B40" s="90" t="s">
        <v>68</v>
      </c>
      <c r="C40" s="152">
        <v>13700000</v>
      </c>
      <c r="D40" s="92">
        <f>G40+J40+M40+P40</f>
        <v>13700000</v>
      </c>
      <c r="E40" s="92">
        <f t="shared" si="5"/>
        <v>17845570</v>
      </c>
      <c r="F40" s="186">
        <f t="shared" si="0"/>
        <v>130.25963503649635</v>
      </c>
      <c r="G40" s="154">
        <v>13700000</v>
      </c>
      <c r="H40" s="155">
        <v>17845570</v>
      </c>
      <c r="I40" s="156">
        <f t="shared" si="2"/>
        <v>130.25963503649635</v>
      </c>
      <c r="J40" s="154"/>
      <c r="K40" s="155"/>
      <c r="L40" s="157"/>
      <c r="M40" s="154"/>
      <c r="N40" s="155"/>
      <c r="O40" s="156"/>
      <c r="P40" s="154"/>
      <c r="Q40" s="155"/>
      <c r="R40" s="257"/>
    </row>
    <row r="41" spans="1:18" ht="35.25" customHeight="1">
      <c r="A41" s="150" t="s">
        <v>34</v>
      </c>
      <c r="B41" s="90" t="s">
        <v>69</v>
      </c>
      <c r="C41" s="152">
        <v>120000</v>
      </c>
      <c r="D41" s="92">
        <f>G41+J41</f>
        <v>120000</v>
      </c>
      <c r="E41" s="92">
        <f t="shared" si="5"/>
        <v>126556</v>
      </c>
      <c r="F41" s="186">
        <f t="shared" si="0"/>
        <v>105.46333333333334</v>
      </c>
      <c r="G41" s="154">
        <v>120000</v>
      </c>
      <c r="H41" s="155">
        <v>126556</v>
      </c>
      <c r="I41" s="156">
        <f t="shared" si="2"/>
        <v>105.46333333333334</v>
      </c>
      <c r="J41" s="154"/>
      <c r="K41" s="155"/>
      <c r="L41" s="157"/>
      <c r="M41" s="154"/>
      <c r="N41" s="155"/>
      <c r="O41" s="156"/>
      <c r="P41" s="154"/>
      <c r="Q41" s="155"/>
      <c r="R41" s="257"/>
    </row>
    <row r="42" spans="1:18" s="163" customFormat="1" ht="63.75" customHeight="1">
      <c r="A42" s="150" t="s">
        <v>70</v>
      </c>
      <c r="B42" s="258" t="s">
        <v>71</v>
      </c>
      <c r="C42" s="152">
        <v>38000</v>
      </c>
      <c r="D42" s="92">
        <f>G42+J42+M42+P42</f>
        <v>38612</v>
      </c>
      <c r="E42" s="92">
        <f t="shared" si="5"/>
        <v>38610</v>
      </c>
      <c r="F42" s="186">
        <f t="shared" si="0"/>
        <v>99.99482026313063</v>
      </c>
      <c r="G42" s="154"/>
      <c r="H42" s="155"/>
      <c r="I42" s="156"/>
      <c r="J42" s="154"/>
      <c r="K42" s="155"/>
      <c r="L42" s="157"/>
      <c r="M42" s="154"/>
      <c r="N42" s="155"/>
      <c r="O42" s="156"/>
      <c r="P42" s="154">
        <f>38000+612</f>
        <v>38612</v>
      </c>
      <c r="Q42" s="155">
        <v>38610</v>
      </c>
      <c r="R42" s="257">
        <f>Q42/P42*100</f>
        <v>99.99482026313063</v>
      </c>
    </row>
    <row r="43" spans="1:18" ht="57.75" customHeight="1">
      <c r="A43" s="150" t="s">
        <v>72</v>
      </c>
      <c r="B43" s="258" t="s">
        <v>73</v>
      </c>
      <c r="C43" s="152">
        <v>800000</v>
      </c>
      <c r="D43" s="92">
        <f>G43+J43+M43+P43</f>
        <v>800000</v>
      </c>
      <c r="E43" s="92">
        <f t="shared" si="5"/>
        <v>880269</v>
      </c>
      <c r="F43" s="186">
        <f t="shared" si="0"/>
        <v>110.033625</v>
      </c>
      <c r="G43" s="154"/>
      <c r="H43" s="155"/>
      <c r="I43" s="156"/>
      <c r="J43" s="154"/>
      <c r="K43" s="155"/>
      <c r="L43" s="157"/>
      <c r="M43" s="154">
        <v>800000</v>
      </c>
      <c r="N43" s="155">
        <v>880269</v>
      </c>
      <c r="O43" s="156">
        <f>N43/M43*100</f>
        <v>110.033625</v>
      </c>
      <c r="P43" s="154"/>
      <c r="Q43" s="155"/>
      <c r="R43" s="257"/>
    </row>
    <row r="44" spans="1:18" s="218" customFormat="1" ht="15" customHeight="1">
      <c r="A44" s="164" t="s">
        <v>74</v>
      </c>
      <c r="B44" s="259" t="s">
        <v>19</v>
      </c>
      <c r="C44" s="166"/>
      <c r="D44" s="210">
        <f>G44+J44+M44+P44</f>
        <v>20</v>
      </c>
      <c r="E44" s="210">
        <f t="shared" si="5"/>
        <v>20</v>
      </c>
      <c r="F44" s="260">
        <f>E44/D44*100</f>
        <v>100</v>
      </c>
      <c r="G44" s="169">
        <f>G45</f>
        <v>20</v>
      </c>
      <c r="H44" s="170">
        <f>H45</f>
        <v>20</v>
      </c>
      <c r="I44" s="261">
        <f>H44/G44*100</f>
        <v>100</v>
      </c>
      <c r="J44" s="169"/>
      <c r="K44" s="170"/>
      <c r="L44" s="172"/>
      <c r="M44" s="169"/>
      <c r="N44" s="170"/>
      <c r="O44" s="261"/>
      <c r="P44" s="169"/>
      <c r="Q44" s="170"/>
      <c r="R44" s="262"/>
    </row>
    <row r="45" spans="1:18" ht="32.25" customHeight="1" thickBot="1">
      <c r="A45" s="175" t="s">
        <v>30</v>
      </c>
      <c r="B45" s="90" t="s">
        <v>40</v>
      </c>
      <c r="C45" s="177"/>
      <c r="D45" s="178">
        <f>G45+J45+M45+P45</f>
        <v>20</v>
      </c>
      <c r="E45" s="178">
        <f t="shared" si="5"/>
        <v>20</v>
      </c>
      <c r="F45" s="263"/>
      <c r="G45" s="180">
        <v>20</v>
      </c>
      <c r="H45" s="181">
        <v>20</v>
      </c>
      <c r="I45" s="182"/>
      <c r="J45" s="180"/>
      <c r="K45" s="181"/>
      <c r="L45" s="183"/>
      <c r="M45" s="180"/>
      <c r="N45" s="181"/>
      <c r="O45" s="182"/>
      <c r="P45" s="180"/>
      <c r="Q45" s="181"/>
      <c r="R45" s="256"/>
    </row>
    <row r="46" spans="1:18" ht="25.5" customHeight="1" thickBot="1" thickTop="1">
      <c r="A46" s="103" t="s">
        <v>75</v>
      </c>
      <c r="B46" s="251" t="s">
        <v>76</v>
      </c>
      <c r="C46" s="264">
        <f>SUM(C49+C52+C55+C59)</f>
        <v>1684600</v>
      </c>
      <c r="D46" s="64">
        <f>G46+J46+M46+P46</f>
        <v>1876748</v>
      </c>
      <c r="E46" s="64">
        <f>H46+K46+N46+Q46</f>
        <v>1884973</v>
      </c>
      <c r="F46" s="106">
        <f t="shared" si="0"/>
        <v>100.43825809325493</v>
      </c>
      <c r="G46" s="64">
        <f>G49+G55+G52+G59+G63</f>
        <v>1345038</v>
      </c>
      <c r="H46" s="64">
        <f>H47+H49+H55+H52+H59+H63</f>
        <v>1353263</v>
      </c>
      <c r="I46" s="252">
        <f>H46/G46*100</f>
        <v>100.61150688679427</v>
      </c>
      <c r="J46" s="109">
        <f>J59</f>
        <v>16600</v>
      </c>
      <c r="K46" s="107">
        <f>K59</f>
        <v>16599</v>
      </c>
      <c r="L46" s="110">
        <f>K46/J46*100</f>
        <v>99.99397590361447</v>
      </c>
      <c r="M46" s="265"/>
      <c r="N46" s="64">
        <f>N49+N52+N55</f>
        <v>1</v>
      </c>
      <c r="O46" s="252"/>
      <c r="P46" s="265">
        <f>P49+P52+P55</f>
        <v>515110</v>
      </c>
      <c r="Q46" s="64">
        <f>Q49+Q52+Q55</f>
        <v>515110</v>
      </c>
      <c r="R46" s="253">
        <f aca="true" t="shared" si="6" ref="R46:R57">Q46/P46*100</f>
        <v>100</v>
      </c>
    </row>
    <row r="47" spans="1:18" ht="25.5" customHeight="1" thickTop="1">
      <c r="A47" s="138" t="s">
        <v>77</v>
      </c>
      <c r="B47" s="139" t="s">
        <v>78</v>
      </c>
      <c r="C47" s="147"/>
      <c r="D47" s="141"/>
      <c r="E47" s="141">
        <f>E48</f>
        <v>7942</v>
      </c>
      <c r="F47" s="266"/>
      <c r="G47" s="267"/>
      <c r="H47" s="141">
        <f>H48</f>
        <v>7942</v>
      </c>
      <c r="I47" s="145"/>
      <c r="J47" s="143"/>
      <c r="K47" s="144"/>
      <c r="L47" s="146"/>
      <c r="M47" s="147"/>
      <c r="N47" s="141"/>
      <c r="O47" s="145"/>
      <c r="P47" s="147"/>
      <c r="Q47" s="141"/>
      <c r="R47" s="255"/>
    </row>
    <row r="48" spans="1:18" s="137" customFormat="1" ht="32.25" customHeight="1">
      <c r="A48" s="125" t="s">
        <v>30</v>
      </c>
      <c r="B48" s="90" t="s">
        <v>40</v>
      </c>
      <c r="C48" s="268"/>
      <c r="D48" s="128"/>
      <c r="E48" s="128">
        <f>H48</f>
        <v>7942</v>
      </c>
      <c r="F48" s="129"/>
      <c r="G48" s="269"/>
      <c r="H48" s="128">
        <v>7942</v>
      </c>
      <c r="I48" s="132"/>
      <c r="J48" s="133"/>
      <c r="K48" s="131"/>
      <c r="L48" s="134"/>
      <c r="M48" s="268"/>
      <c r="N48" s="128"/>
      <c r="O48" s="132"/>
      <c r="P48" s="268"/>
      <c r="Q48" s="128"/>
      <c r="R48" s="270"/>
    </row>
    <row r="49" spans="1:18" ht="27" customHeight="1">
      <c r="A49" s="138" t="s">
        <v>79</v>
      </c>
      <c r="B49" s="165" t="s">
        <v>80</v>
      </c>
      <c r="C49" s="147">
        <f>SUM(C50:C51)</f>
        <v>75000</v>
      </c>
      <c r="D49" s="271">
        <f>SUM(D50:D51)</f>
        <v>75000</v>
      </c>
      <c r="E49" s="141">
        <f>SUM(E50:E51)</f>
        <v>75251</v>
      </c>
      <c r="F49" s="266">
        <f t="shared" si="0"/>
        <v>100.33466666666666</v>
      </c>
      <c r="G49" s="143"/>
      <c r="H49" s="144">
        <f>SUM(H50:H51)</f>
        <v>251</v>
      </c>
      <c r="I49" s="156"/>
      <c r="J49" s="143"/>
      <c r="K49" s="144"/>
      <c r="L49" s="146"/>
      <c r="M49" s="143"/>
      <c r="N49" s="144"/>
      <c r="O49" s="145"/>
      <c r="P49" s="147">
        <f>SUM(P50:P51)</f>
        <v>75000</v>
      </c>
      <c r="Q49" s="141">
        <f>SUM(Q50:Q51)</f>
        <v>75000</v>
      </c>
      <c r="R49" s="255">
        <f t="shared" si="6"/>
        <v>100</v>
      </c>
    </row>
    <row r="50" spans="1:18" s="163" customFormat="1" ht="67.5" customHeight="1">
      <c r="A50" s="175" t="s">
        <v>70</v>
      </c>
      <c r="B50" s="272" t="s">
        <v>71</v>
      </c>
      <c r="C50" s="177">
        <v>75000</v>
      </c>
      <c r="D50" s="178">
        <f>G50+J50+M50+P50</f>
        <v>75000</v>
      </c>
      <c r="E50" s="178">
        <f>H50+K50+N50+Q50</f>
        <v>75000</v>
      </c>
      <c r="F50" s="263">
        <f>E50/D50*100</f>
        <v>100</v>
      </c>
      <c r="G50" s="180"/>
      <c r="H50" s="181"/>
      <c r="I50" s="182"/>
      <c r="J50" s="180"/>
      <c r="K50" s="181"/>
      <c r="L50" s="183"/>
      <c r="M50" s="180"/>
      <c r="N50" s="181"/>
      <c r="O50" s="182"/>
      <c r="P50" s="180">
        <v>75000</v>
      </c>
      <c r="Q50" s="181">
        <v>75000</v>
      </c>
      <c r="R50" s="256">
        <f>Q50/P50*100</f>
        <v>100</v>
      </c>
    </row>
    <row r="51" spans="1:18" s="163" customFormat="1" ht="39" customHeight="1">
      <c r="A51" s="197" t="s">
        <v>30</v>
      </c>
      <c r="B51" s="273" t="s">
        <v>40</v>
      </c>
      <c r="C51" s="220"/>
      <c r="D51" s="221"/>
      <c r="E51" s="221">
        <f>H51+K51+N51+Q51</f>
        <v>251</v>
      </c>
      <c r="F51" s="222"/>
      <c r="G51" s="223"/>
      <c r="H51" s="224">
        <v>251</v>
      </c>
      <c r="I51" s="204"/>
      <c r="J51" s="223"/>
      <c r="K51" s="224"/>
      <c r="L51" s="207"/>
      <c r="M51" s="223"/>
      <c r="N51" s="224"/>
      <c r="O51" s="204"/>
      <c r="P51" s="223"/>
      <c r="Q51" s="224"/>
      <c r="R51" s="274"/>
    </row>
    <row r="52" spans="1:18" ht="29.25" customHeight="1">
      <c r="A52" s="164" t="s">
        <v>81</v>
      </c>
      <c r="B52" s="165" t="s">
        <v>82</v>
      </c>
      <c r="C52" s="166">
        <f>SUM(C53)</f>
        <v>20000</v>
      </c>
      <c r="D52" s="167">
        <f>D53</f>
        <v>20000</v>
      </c>
      <c r="E52" s="167">
        <f>SUM(E53:E54)</f>
        <v>20066</v>
      </c>
      <c r="F52" s="275">
        <f>E52/D52*100</f>
        <v>100.33000000000001</v>
      </c>
      <c r="G52" s="169"/>
      <c r="H52" s="170">
        <f>SUM(H53:H54)</f>
        <v>66</v>
      </c>
      <c r="I52" s="132"/>
      <c r="J52" s="169"/>
      <c r="K52" s="170"/>
      <c r="L52" s="172"/>
      <c r="M52" s="169"/>
      <c r="N52" s="170"/>
      <c r="O52" s="261"/>
      <c r="P52" s="169">
        <f>P53</f>
        <v>20000</v>
      </c>
      <c r="Q52" s="170">
        <f>Q53</f>
        <v>20000</v>
      </c>
      <c r="R52" s="262">
        <f t="shared" si="6"/>
        <v>100</v>
      </c>
    </row>
    <row r="53" spans="1:18" ht="64.5" customHeight="1">
      <c r="A53" s="175" t="s">
        <v>70</v>
      </c>
      <c r="B53" s="272" t="s">
        <v>71</v>
      </c>
      <c r="C53" s="177">
        <v>20000</v>
      </c>
      <c r="D53" s="178">
        <f>G53+J53+M53+P53</f>
        <v>20000</v>
      </c>
      <c r="E53" s="178">
        <f>H53+K53+N53+Q53</f>
        <v>20000</v>
      </c>
      <c r="F53" s="263">
        <f t="shared" si="0"/>
        <v>100</v>
      </c>
      <c r="G53" s="180"/>
      <c r="H53" s="181"/>
      <c r="I53" s="182"/>
      <c r="J53" s="244"/>
      <c r="K53" s="245"/>
      <c r="L53" s="183"/>
      <c r="M53" s="244"/>
      <c r="N53" s="245"/>
      <c r="O53" s="182"/>
      <c r="P53" s="244">
        <v>20000</v>
      </c>
      <c r="Q53" s="245">
        <v>20000</v>
      </c>
      <c r="R53" s="256">
        <f t="shared" si="6"/>
        <v>100</v>
      </c>
    </row>
    <row r="54" spans="1:18" s="163" customFormat="1" ht="44.25" customHeight="1">
      <c r="A54" s="197" t="s">
        <v>30</v>
      </c>
      <c r="B54" s="273" t="s">
        <v>40</v>
      </c>
      <c r="C54" s="220"/>
      <c r="D54" s="221"/>
      <c r="E54" s="221">
        <f>H54+K54+N54+Q54</f>
        <v>66</v>
      </c>
      <c r="F54" s="222"/>
      <c r="G54" s="223"/>
      <c r="H54" s="224">
        <v>66</v>
      </c>
      <c r="I54" s="204"/>
      <c r="J54" s="223"/>
      <c r="K54" s="224"/>
      <c r="L54" s="207"/>
      <c r="M54" s="223"/>
      <c r="N54" s="224"/>
      <c r="O54" s="204"/>
      <c r="P54" s="223"/>
      <c r="Q54" s="224"/>
      <c r="R54" s="274"/>
    </row>
    <row r="55" spans="1:18" ht="17.25" customHeight="1">
      <c r="A55" s="164" t="s">
        <v>83</v>
      </c>
      <c r="B55" s="165" t="s">
        <v>84</v>
      </c>
      <c r="C55" s="276">
        <f>SUM(C57:C58)</f>
        <v>340000</v>
      </c>
      <c r="D55" s="167">
        <f>SUM(D56:D58)</f>
        <v>420110</v>
      </c>
      <c r="E55" s="167">
        <f>SUM(E56:E58)</f>
        <v>420111</v>
      </c>
      <c r="F55" s="275">
        <f t="shared" si="0"/>
        <v>100.00023803289615</v>
      </c>
      <c r="G55" s="169"/>
      <c r="H55" s="170"/>
      <c r="I55" s="132"/>
      <c r="J55" s="169"/>
      <c r="K55" s="170"/>
      <c r="L55" s="134"/>
      <c r="M55" s="169"/>
      <c r="N55" s="170">
        <f>SUM(N56:N57)</f>
        <v>1</v>
      </c>
      <c r="O55" s="132"/>
      <c r="P55" s="276">
        <f>SUM(P57:P58)</f>
        <v>420110</v>
      </c>
      <c r="Q55" s="167">
        <f>SUM(Q57:Q58)</f>
        <v>420110</v>
      </c>
      <c r="R55" s="262">
        <f t="shared" si="6"/>
        <v>100</v>
      </c>
    </row>
    <row r="56" spans="1:18" s="163" customFormat="1" ht="15" customHeight="1">
      <c r="A56" s="175" t="s">
        <v>85</v>
      </c>
      <c r="B56" s="277" t="s">
        <v>86</v>
      </c>
      <c r="C56" s="177"/>
      <c r="D56" s="178"/>
      <c r="E56" s="178">
        <f aca="true" t="shared" si="7" ref="D56:E58">H56+K56+N56+Q56</f>
        <v>1</v>
      </c>
      <c r="F56" s="179"/>
      <c r="G56" s="180"/>
      <c r="H56" s="181"/>
      <c r="I56" s="182"/>
      <c r="J56" s="180"/>
      <c r="K56" s="181"/>
      <c r="L56" s="183"/>
      <c r="M56" s="180"/>
      <c r="N56" s="181">
        <v>1</v>
      </c>
      <c r="O56" s="182"/>
      <c r="P56" s="180"/>
      <c r="Q56" s="181"/>
      <c r="R56" s="256"/>
    </row>
    <row r="57" spans="1:18" s="163" customFormat="1" ht="67.5" customHeight="1">
      <c r="A57" s="150" t="s">
        <v>70</v>
      </c>
      <c r="B57" s="258" t="s">
        <v>71</v>
      </c>
      <c r="C57" s="152">
        <v>300000</v>
      </c>
      <c r="D57" s="92">
        <f t="shared" si="7"/>
        <v>380110</v>
      </c>
      <c r="E57" s="92">
        <f t="shared" si="7"/>
        <v>380110</v>
      </c>
      <c r="F57" s="159">
        <f t="shared" si="0"/>
        <v>100</v>
      </c>
      <c r="G57" s="154"/>
      <c r="H57" s="155"/>
      <c r="I57" s="156"/>
      <c r="J57" s="187"/>
      <c r="K57" s="188"/>
      <c r="L57" s="157"/>
      <c r="M57" s="187"/>
      <c r="N57" s="188"/>
      <c r="O57" s="156"/>
      <c r="P57" s="187">
        <f>300000+11000+8339+16278+6861+11433+26199</f>
        <v>380110</v>
      </c>
      <c r="Q57" s="188">
        <v>380110</v>
      </c>
      <c r="R57" s="257">
        <f t="shared" si="6"/>
        <v>100</v>
      </c>
    </row>
    <row r="58" spans="1:18" ht="67.5" customHeight="1">
      <c r="A58" s="197" t="s">
        <v>87</v>
      </c>
      <c r="B58" s="273" t="s">
        <v>88</v>
      </c>
      <c r="C58" s="220">
        <v>40000</v>
      </c>
      <c r="D58" s="221">
        <f t="shared" si="7"/>
        <v>40000</v>
      </c>
      <c r="E58" s="221">
        <f t="shared" si="7"/>
        <v>40000</v>
      </c>
      <c r="F58" s="278">
        <f t="shared" si="0"/>
        <v>100</v>
      </c>
      <c r="G58" s="223"/>
      <c r="H58" s="224"/>
      <c r="I58" s="204"/>
      <c r="J58" s="223"/>
      <c r="K58" s="224"/>
      <c r="L58" s="279"/>
      <c r="M58" s="223"/>
      <c r="N58" s="224"/>
      <c r="O58" s="204"/>
      <c r="P58" s="223">
        <v>40000</v>
      </c>
      <c r="Q58" s="224">
        <v>40000</v>
      </c>
      <c r="R58" s="274">
        <f>Q58/P58*100</f>
        <v>100</v>
      </c>
    </row>
    <row r="59" spans="1:18" ht="15.75" customHeight="1">
      <c r="A59" s="164" t="s">
        <v>89</v>
      </c>
      <c r="B59" s="259" t="s">
        <v>90</v>
      </c>
      <c r="C59" s="166">
        <f>SUM(C61:C62)</f>
        <v>1249600</v>
      </c>
      <c r="D59" s="167">
        <f>G59</f>
        <v>12038</v>
      </c>
      <c r="E59" s="167">
        <f>H59</f>
        <v>12038</v>
      </c>
      <c r="F59" s="275">
        <f t="shared" si="0"/>
        <v>100</v>
      </c>
      <c r="G59" s="169">
        <f>SUM(G60:G62)</f>
        <v>12038</v>
      </c>
      <c r="H59" s="170">
        <f>SUM(H60:H62)</f>
        <v>12038</v>
      </c>
      <c r="I59" s="261">
        <f>H59/G59*100</f>
        <v>100</v>
      </c>
      <c r="J59" s="169">
        <f>J62</f>
        <v>16600</v>
      </c>
      <c r="K59" s="170">
        <f>K62</f>
        <v>16599</v>
      </c>
      <c r="L59" s="172">
        <f>K59/J59*100</f>
        <v>99.99397590361447</v>
      </c>
      <c r="M59" s="169"/>
      <c r="N59" s="170"/>
      <c r="O59" s="261"/>
      <c r="P59" s="169"/>
      <c r="Q59" s="170"/>
      <c r="R59" s="262"/>
    </row>
    <row r="60" spans="1:18" s="163" customFormat="1" ht="37.5" customHeight="1">
      <c r="A60" s="175" t="s">
        <v>30</v>
      </c>
      <c r="B60" s="176" t="s">
        <v>40</v>
      </c>
      <c r="C60" s="280"/>
      <c r="D60" s="281">
        <f>G60</f>
        <v>12038</v>
      </c>
      <c r="E60" s="281">
        <f>H60</f>
        <v>12038</v>
      </c>
      <c r="F60" s="282">
        <f>E60/D60*100</f>
        <v>100</v>
      </c>
      <c r="G60" s="244">
        <v>12038</v>
      </c>
      <c r="H60" s="245">
        <v>12038</v>
      </c>
      <c r="I60" s="283">
        <f>H60/G60*100</f>
        <v>100</v>
      </c>
      <c r="J60" s="284"/>
      <c r="K60" s="285"/>
      <c r="L60" s="286"/>
      <c r="M60" s="284"/>
      <c r="N60" s="285"/>
      <c r="O60" s="283"/>
      <c r="P60" s="284"/>
      <c r="Q60" s="285"/>
      <c r="R60" s="287"/>
    </row>
    <row r="61" spans="1:18" s="163" customFormat="1" ht="59.25" customHeight="1">
      <c r="A61" s="150" t="s">
        <v>63</v>
      </c>
      <c r="B61" s="90" t="s">
        <v>64</v>
      </c>
      <c r="C61" s="152">
        <v>1233000</v>
      </c>
      <c r="D61" s="92"/>
      <c r="E61" s="92"/>
      <c r="F61" s="159"/>
      <c r="G61" s="154"/>
      <c r="H61" s="155"/>
      <c r="I61" s="156"/>
      <c r="J61" s="154"/>
      <c r="K61" s="155"/>
      <c r="L61" s="157"/>
      <c r="M61" s="154"/>
      <c r="N61" s="155"/>
      <c r="O61" s="156"/>
      <c r="P61" s="154"/>
      <c r="Q61" s="155" t="s">
        <v>91</v>
      </c>
      <c r="R61" s="257"/>
    </row>
    <row r="62" spans="1:18" ht="57" customHeight="1">
      <c r="A62" s="150" t="s">
        <v>92</v>
      </c>
      <c r="B62" s="90" t="s">
        <v>93</v>
      </c>
      <c r="C62" s="152">
        <v>16600</v>
      </c>
      <c r="D62" s="92">
        <f aca="true" t="shared" si="8" ref="D62:E64">G62+J62+M62+P62</f>
        <v>16600</v>
      </c>
      <c r="E62" s="92">
        <f t="shared" si="8"/>
        <v>16599</v>
      </c>
      <c r="F62" s="159">
        <f t="shared" si="0"/>
        <v>99.99397590361447</v>
      </c>
      <c r="G62" s="154"/>
      <c r="H62" s="155"/>
      <c r="I62" s="156"/>
      <c r="J62" s="154">
        <v>16600</v>
      </c>
      <c r="K62" s="155">
        <v>16599</v>
      </c>
      <c r="L62" s="157">
        <f>K62/J62*100</f>
        <v>99.99397590361447</v>
      </c>
      <c r="M62" s="154"/>
      <c r="N62" s="155"/>
      <c r="O62" s="156"/>
      <c r="P62" s="154"/>
      <c r="Q62" s="155"/>
      <c r="R62" s="257"/>
    </row>
    <row r="63" spans="1:18" s="218" customFormat="1" ht="15" customHeight="1">
      <c r="A63" s="164" t="s">
        <v>94</v>
      </c>
      <c r="B63" s="165" t="s">
        <v>19</v>
      </c>
      <c r="C63" s="166"/>
      <c r="D63" s="210">
        <f t="shared" si="8"/>
        <v>1333000</v>
      </c>
      <c r="E63" s="210">
        <f t="shared" si="8"/>
        <v>1332966</v>
      </c>
      <c r="F63" s="288">
        <f t="shared" si="0"/>
        <v>99.99744936234059</v>
      </c>
      <c r="G63" s="289">
        <f>G64</f>
        <v>1333000</v>
      </c>
      <c r="H63" s="290">
        <f>H64</f>
        <v>1332966</v>
      </c>
      <c r="I63" s="291">
        <f>H63/G63*100</f>
        <v>99.99744936234059</v>
      </c>
      <c r="J63" s="169"/>
      <c r="K63" s="170"/>
      <c r="L63" s="292"/>
      <c r="M63" s="169"/>
      <c r="N63" s="170"/>
      <c r="O63" s="212"/>
      <c r="P63" s="169"/>
      <c r="Q63" s="170"/>
      <c r="R63" s="293"/>
    </row>
    <row r="64" spans="1:18" ht="13.5" customHeight="1" thickBot="1">
      <c r="A64" s="175" t="s">
        <v>95</v>
      </c>
      <c r="B64" s="277" t="s">
        <v>96</v>
      </c>
      <c r="C64" s="177"/>
      <c r="D64" s="178">
        <f t="shared" si="8"/>
        <v>1333000</v>
      </c>
      <c r="E64" s="178">
        <f t="shared" si="8"/>
        <v>1332966</v>
      </c>
      <c r="F64" s="263"/>
      <c r="G64" s="180">
        <f>1233000+100000</f>
        <v>1333000</v>
      </c>
      <c r="H64" s="181">
        <v>1332966</v>
      </c>
      <c r="I64" s="182"/>
      <c r="J64" s="180"/>
      <c r="K64" s="181"/>
      <c r="L64" s="183"/>
      <c r="M64" s="180"/>
      <c r="N64" s="181"/>
      <c r="O64" s="182"/>
      <c r="P64" s="180"/>
      <c r="Q64" s="181"/>
      <c r="R64" s="256"/>
    </row>
    <row r="65" spans="1:18" ht="32.25" customHeight="1" thickBot="1" thickTop="1">
      <c r="A65" s="103" t="s">
        <v>97</v>
      </c>
      <c r="B65" s="251" t="s">
        <v>98</v>
      </c>
      <c r="C65" s="265">
        <f>C66+C70+C73+C79+C82</f>
        <v>3646400</v>
      </c>
      <c r="D65" s="64">
        <f>G65+J65+M65+P65</f>
        <v>1421894</v>
      </c>
      <c r="E65" s="64">
        <f>E66+E70+E73+E79+E82</f>
        <v>1461084</v>
      </c>
      <c r="F65" s="294">
        <f t="shared" si="0"/>
        <v>102.75618295034651</v>
      </c>
      <c r="G65" s="265">
        <f>G66+G70+G73+G79+G82</f>
        <v>339968</v>
      </c>
      <c r="H65" s="64">
        <f>H66+H70+H73+H79+H82</f>
        <v>379295</v>
      </c>
      <c r="I65" s="252">
        <f>H65/G65*100</f>
        <v>111.56785344503012</v>
      </c>
      <c r="J65" s="265">
        <f>J66+J70+J73+J79+J82</f>
        <v>770400</v>
      </c>
      <c r="K65" s="64">
        <f>K66+K70+K73+K79+K82</f>
        <v>770400</v>
      </c>
      <c r="L65" s="295">
        <f>K65/J65*100</f>
        <v>100</v>
      </c>
      <c r="M65" s="265">
        <f>M66+M70+M79</f>
        <v>2900</v>
      </c>
      <c r="N65" s="64">
        <f>N66+N70+N79</f>
        <v>2771</v>
      </c>
      <c r="O65" s="252">
        <f>N65/M65*100</f>
        <v>95.55172413793103</v>
      </c>
      <c r="P65" s="265">
        <f>P66+P79</f>
        <v>308626</v>
      </c>
      <c r="Q65" s="64">
        <f>Q66+Q79</f>
        <v>308618</v>
      </c>
      <c r="R65" s="253">
        <f>Q65/P65*100</f>
        <v>99.99740786583114</v>
      </c>
    </row>
    <row r="66" spans="1:18" ht="20.25" customHeight="1" thickTop="1">
      <c r="A66" s="138" t="s">
        <v>99</v>
      </c>
      <c r="B66" s="139" t="s">
        <v>100</v>
      </c>
      <c r="C66" s="147">
        <f>SUM(C67:C69)</f>
        <v>998500</v>
      </c>
      <c r="D66" s="141">
        <f>SUM(D67:D69)</f>
        <v>1066165</v>
      </c>
      <c r="E66" s="141">
        <f>SUM(E67:E69)</f>
        <v>1055744</v>
      </c>
      <c r="F66" s="266">
        <f t="shared" si="0"/>
        <v>99.0225715531836</v>
      </c>
      <c r="G66" s="143">
        <f>SUM(G67:G69)</f>
        <v>25500</v>
      </c>
      <c r="H66" s="144">
        <f>SUM(H67:H69)</f>
        <v>15087</v>
      </c>
      <c r="I66" s="145">
        <f>H66/G66*100</f>
        <v>59.16470588235294</v>
      </c>
      <c r="J66" s="143">
        <f>J67</f>
        <v>770400</v>
      </c>
      <c r="K66" s="144">
        <f>K67</f>
        <v>770400</v>
      </c>
      <c r="L66" s="296">
        <f>K66/J66*100</f>
        <v>100</v>
      </c>
      <c r="M66" s="143"/>
      <c r="N66" s="144"/>
      <c r="O66" s="145"/>
      <c r="P66" s="143">
        <f>P68</f>
        <v>270265</v>
      </c>
      <c r="Q66" s="144">
        <f>SUM(Q67:Q68)</f>
        <v>270257</v>
      </c>
      <c r="R66" s="255">
        <f>Q66/P66*100</f>
        <v>99.99703994227887</v>
      </c>
    </row>
    <row r="67" spans="1:18" ht="57" customHeight="1">
      <c r="A67" s="175" t="s">
        <v>20</v>
      </c>
      <c r="B67" s="176" t="s">
        <v>21</v>
      </c>
      <c r="C67" s="177">
        <v>738000</v>
      </c>
      <c r="D67" s="178">
        <f aca="true" t="shared" si="9" ref="D67:E69">G67+J67+M67+P67</f>
        <v>770400</v>
      </c>
      <c r="E67" s="178">
        <f t="shared" si="9"/>
        <v>770400</v>
      </c>
      <c r="F67" s="179">
        <f t="shared" si="0"/>
        <v>100</v>
      </c>
      <c r="G67" s="180"/>
      <c r="H67" s="181"/>
      <c r="I67" s="182"/>
      <c r="J67" s="180">
        <f>738000+32400</f>
        <v>770400</v>
      </c>
      <c r="K67" s="181">
        <v>770400</v>
      </c>
      <c r="L67" s="297">
        <f>K67/J67*100</f>
        <v>100</v>
      </c>
      <c r="M67" s="180"/>
      <c r="N67" s="181"/>
      <c r="O67" s="182"/>
      <c r="P67" s="180"/>
      <c r="Q67" s="181"/>
      <c r="R67" s="256"/>
    </row>
    <row r="68" spans="1:18" s="163" customFormat="1" ht="71.25" customHeight="1">
      <c r="A68" s="150" t="s">
        <v>70</v>
      </c>
      <c r="B68" s="258" t="s">
        <v>71</v>
      </c>
      <c r="C68" s="152">
        <v>235000</v>
      </c>
      <c r="D68" s="92">
        <f t="shared" si="9"/>
        <v>270265</v>
      </c>
      <c r="E68" s="92">
        <f t="shared" si="9"/>
        <v>270257</v>
      </c>
      <c r="F68" s="186">
        <f t="shared" si="0"/>
        <v>99.99703994227887</v>
      </c>
      <c r="G68" s="154"/>
      <c r="H68" s="155"/>
      <c r="I68" s="156"/>
      <c r="J68" s="154"/>
      <c r="K68" s="155"/>
      <c r="L68" s="298"/>
      <c r="M68" s="154"/>
      <c r="N68" s="155"/>
      <c r="O68" s="156"/>
      <c r="P68" s="154">
        <f>235000+35265</f>
        <v>270265</v>
      </c>
      <c r="Q68" s="155">
        <v>270257</v>
      </c>
      <c r="R68" s="257">
        <f>Q68/P68*100</f>
        <v>99.99703994227887</v>
      </c>
    </row>
    <row r="69" spans="1:18" ht="57" customHeight="1">
      <c r="A69" s="197" t="s">
        <v>72</v>
      </c>
      <c r="B69" s="299" t="s">
        <v>101</v>
      </c>
      <c r="C69" s="220">
        <v>25500</v>
      </c>
      <c r="D69" s="221">
        <f t="shared" si="9"/>
        <v>25500</v>
      </c>
      <c r="E69" s="221">
        <f t="shared" si="9"/>
        <v>15087</v>
      </c>
      <c r="F69" s="222">
        <f t="shared" si="0"/>
        <v>59.16470588235294</v>
      </c>
      <c r="G69" s="223">
        <v>25500</v>
      </c>
      <c r="H69" s="224">
        <v>15087</v>
      </c>
      <c r="I69" s="204">
        <f>H69/G69*100</f>
        <v>59.16470588235294</v>
      </c>
      <c r="J69" s="223"/>
      <c r="K69" s="224"/>
      <c r="L69" s="279"/>
      <c r="M69" s="223"/>
      <c r="N69" s="224"/>
      <c r="O69" s="204"/>
      <c r="P69" s="223"/>
      <c r="Q69" s="224"/>
      <c r="R69" s="274"/>
    </row>
    <row r="70" spans="1:18" ht="18" customHeight="1">
      <c r="A70" s="138" t="s">
        <v>102</v>
      </c>
      <c r="B70" s="139" t="s">
        <v>103</v>
      </c>
      <c r="C70" s="140">
        <f>SUM(C71:C72)</f>
        <v>2301900</v>
      </c>
      <c r="D70" s="141">
        <f>SUM(D71:D72)</f>
        <v>2900</v>
      </c>
      <c r="E70" s="141">
        <f>SUM(E71:E72)</f>
        <v>2771</v>
      </c>
      <c r="F70" s="266">
        <f t="shared" si="0"/>
        <v>95.55172413793103</v>
      </c>
      <c r="G70" s="143"/>
      <c r="H70" s="144"/>
      <c r="I70" s="132"/>
      <c r="J70" s="143"/>
      <c r="K70" s="144"/>
      <c r="L70" s="146"/>
      <c r="M70" s="143">
        <f>M71+M72</f>
        <v>2900</v>
      </c>
      <c r="N70" s="144">
        <f>SUM(N71:N72)</f>
        <v>2771</v>
      </c>
      <c r="O70" s="145">
        <f>N70/M70*100</f>
        <v>95.55172413793103</v>
      </c>
      <c r="P70" s="143"/>
      <c r="Q70" s="144"/>
      <c r="R70" s="255"/>
    </row>
    <row r="71" spans="1:18" s="163" customFormat="1" ht="21.75" customHeight="1">
      <c r="A71" s="175" t="s">
        <v>104</v>
      </c>
      <c r="B71" s="176" t="s">
        <v>105</v>
      </c>
      <c r="C71" s="177">
        <v>2300000</v>
      </c>
      <c r="D71" s="178"/>
      <c r="E71" s="178"/>
      <c r="F71" s="179"/>
      <c r="G71" s="180"/>
      <c r="H71" s="181"/>
      <c r="I71" s="182"/>
      <c r="J71" s="244"/>
      <c r="K71" s="245"/>
      <c r="L71" s="183"/>
      <c r="M71" s="244"/>
      <c r="N71" s="245"/>
      <c r="O71" s="182"/>
      <c r="P71" s="244"/>
      <c r="Q71" s="245"/>
      <c r="R71" s="256"/>
    </row>
    <row r="72" spans="1:18" s="163" customFormat="1" ht="21" customHeight="1">
      <c r="A72" s="197" t="s">
        <v>61</v>
      </c>
      <c r="B72" s="300" t="s">
        <v>106</v>
      </c>
      <c r="C72" s="220">
        <v>1900</v>
      </c>
      <c r="D72" s="221">
        <f>G72+J72+M72+P72</f>
        <v>2900</v>
      </c>
      <c r="E72" s="221">
        <f>H72+K72+N72+Q72</f>
        <v>2771</v>
      </c>
      <c r="F72" s="278">
        <f aca="true" t="shared" si="10" ref="F72:F82">E72/D72*100</f>
        <v>95.55172413793103</v>
      </c>
      <c r="G72" s="223"/>
      <c r="H72" s="224"/>
      <c r="I72" s="204"/>
      <c r="J72" s="205"/>
      <c r="K72" s="206"/>
      <c r="L72" s="207"/>
      <c r="M72" s="205">
        <f>1900+1000</f>
        <v>2900</v>
      </c>
      <c r="N72" s="206">
        <v>2771</v>
      </c>
      <c r="O72" s="204">
        <f>N72/M72*100</f>
        <v>95.55172413793103</v>
      </c>
      <c r="P72" s="205"/>
      <c r="Q72" s="206"/>
      <c r="R72" s="274"/>
    </row>
    <row r="73" spans="1:18" ht="16.5" customHeight="1">
      <c r="A73" s="164" t="s">
        <v>107</v>
      </c>
      <c r="B73" s="165" t="s">
        <v>108</v>
      </c>
      <c r="C73" s="166">
        <f>SUM(C75:C78)</f>
        <v>104000</v>
      </c>
      <c r="D73" s="167">
        <f>SUM(D75:D78)</f>
        <v>114000</v>
      </c>
      <c r="E73" s="167">
        <f>SUM(E74:E78)</f>
        <v>53699</v>
      </c>
      <c r="F73" s="275">
        <f t="shared" si="10"/>
        <v>47.10438596491228</v>
      </c>
      <c r="G73" s="170">
        <f>SUM(G74:G78)</f>
        <v>114468</v>
      </c>
      <c r="H73" s="170">
        <f>SUM(H74:H78)</f>
        <v>53699</v>
      </c>
      <c r="I73" s="261">
        <f>H73/G73*100</f>
        <v>46.91180067791872</v>
      </c>
      <c r="J73" s="169"/>
      <c r="K73" s="170"/>
      <c r="L73" s="172"/>
      <c r="M73" s="169"/>
      <c r="N73" s="170"/>
      <c r="O73" s="261"/>
      <c r="P73" s="169"/>
      <c r="Q73" s="170"/>
      <c r="R73" s="262"/>
    </row>
    <row r="74" spans="1:18" s="163" customFormat="1" ht="36.75" customHeight="1">
      <c r="A74" s="175" t="s">
        <v>30</v>
      </c>
      <c r="B74" s="176" t="s">
        <v>40</v>
      </c>
      <c r="C74" s="177"/>
      <c r="D74" s="178">
        <f aca="true" t="shared" si="11" ref="D74:E76">G74+J74+M74+P74</f>
        <v>468</v>
      </c>
      <c r="E74" s="178">
        <f t="shared" si="11"/>
        <v>468</v>
      </c>
      <c r="F74" s="186">
        <f t="shared" si="10"/>
        <v>100</v>
      </c>
      <c r="G74" s="180">
        <v>468</v>
      </c>
      <c r="H74" s="181">
        <v>468</v>
      </c>
      <c r="I74" s="182">
        <f>H74/G74*100</f>
        <v>100</v>
      </c>
      <c r="J74" s="180"/>
      <c r="K74" s="181"/>
      <c r="L74" s="183"/>
      <c r="M74" s="180"/>
      <c r="N74" s="181"/>
      <c r="O74" s="182"/>
      <c r="P74" s="180"/>
      <c r="Q74" s="181"/>
      <c r="R74" s="256"/>
    </row>
    <row r="75" spans="1:18" s="163" customFormat="1" ht="34.5" customHeight="1">
      <c r="A75" s="150" t="s">
        <v>61</v>
      </c>
      <c r="B75" s="151" t="s">
        <v>109</v>
      </c>
      <c r="C75" s="152"/>
      <c r="D75" s="92">
        <f t="shared" si="11"/>
        <v>10000</v>
      </c>
      <c r="E75" s="92">
        <f t="shared" si="11"/>
        <v>12139</v>
      </c>
      <c r="F75" s="186">
        <f t="shared" si="10"/>
        <v>121.39</v>
      </c>
      <c r="G75" s="301">
        <v>10000</v>
      </c>
      <c r="H75" s="155">
        <v>12139</v>
      </c>
      <c r="I75" s="156">
        <f>H75/G75*100</f>
        <v>121.39</v>
      </c>
      <c r="J75" s="154"/>
      <c r="K75" s="155"/>
      <c r="L75" s="157"/>
      <c r="M75" s="154"/>
      <c r="N75" s="155"/>
      <c r="O75" s="156"/>
      <c r="P75" s="154"/>
      <c r="Q75" s="155"/>
      <c r="R75" s="257"/>
    </row>
    <row r="76" spans="1:18" ht="50.25" customHeight="1">
      <c r="A76" s="150" t="s">
        <v>63</v>
      </c>
      <c r="B76" s="90" t="s">
        <v>110</v>
      </c>
      <c r="C76" s="152">
        <v>58000</v>
      </c>
      <c r="D76" s="92">
        <f t="shared" si="11"/>
        <v>58000</v>
      </c>
      <c r="E76" s="92">
        <f t="shared" si="11"/>
        <v>30081</v>
      </c>
      <c r="F76" s="186">
        <f t="shared" si="10"/>
        <v>51.86379310344827</v>
      </c>
      <c r="G76" s="301">
        <v>58000</v>
      </c>
      <c r="H76" s="155">
        <v>30081</v>
      </c>
      <c r="I76" s="156">
        <f>H76/G76*100</f>
        <v>51.86379310344827</v>
      </c>
      <c r="J76" s="187"/>
      <c r="K76" s="188"/>
      <c r="L76" s="157"/>
      <c r="M76" s="187"/>
      <c r="N76" s="188"/>
      <c r="O76" s="156"/>
      <c r="P76" s="187"/>
      <c r="Q76" s="188"/>
      <c r="R76" s="257"/>
    </row>
    <row r="77" spans="1:18" ht="23.25" customHeight="1">
      <c r="A77" s="197" t="s">
        <v>32</v>
      </c>
      <c r="B77" s="300" t="s">
        <v>33</v>
      </c>
      <c r="C77" s="220">
        <v>30000</v>
      </c>
      <c r="D77" s="221">
        <f>G77</f>
        <v>30000</v>
      </c>
      <c r="E77" s="221"/>
      <c r="F77" s="222"/>
      <c r="G77" s="302">
        <v>30000</v>
      </c>
      <c r="H77" s="224"/>
      <c r="I77" s="204"/>
      <c r="J77" s="205"/>
      <c r="K77" s="206"/>
      <c r="L77" s="207"/>
      <c r="M77" s="205"/>
      <c r="N77" s="206"/>
      <c r="O77" s="204"/>
      <c r="P77" s="205"/>
      <c r="Q77" s="206"/>
      <c r="R77" s="274"/>
    </row>
    <row r="78" spans="1:18" ht="39.75" customHeight="1">
      <c r="A78" s="197" t="s">
        <v>34</v>
      </c>
      <c r="B78" s="300" t="s">
        <v>111</v>
      </c>
      <c r="C78" s="220">
        <v>16000</v>
      </c>
      <c r="D78" s="221">
        <f>G78+J78+M78+P78</f>
        <v>16000</v>
      </c>
      <c r="E78" s="221">
        <f>H78+K78+N78+Q78</f>
        <v>11011</v>
      </c>
      <c r="F78" s="222">
        <f t="shared" si="10"/>
        <v>68.81875</v>
      </c>
      <c r="G78" s="302">
        <v>16000</v>
      </c>
      <c r="H78" s="224">
        <v>11011</v>
      </c>
      <c r="I78" s="204">
        <f>H78/G78*100</f>
        <v>68.81875</v>
      </c>
      <c r="J78" s="205"/>
      <c r="K78" s="206"/>
      <c r="L78" s="207"/>
      <c r="M78" s="205"/>
      <c r="N78" s="206"/>
      <c r="O78" s="204"/>
      <c r="P78" s="205"/>
      <c r="Q78" s="206"/>
      <c r="R78" s="274"/>
    </row>
    <row r="79" spans="1:18" ht="17.25" customHeight="1">
      <c r="A79" s="164" t="s">
        <v>112</v>
      </c>
      <c r="B79" s="165" t="s">
        <v>113</v>
      </c>
      <c r="C79" s="166">
        <f>C80+C81</f>
        <v>42000</v>
      </c>
      <c r="D79" s="167">
        <f>SUM(D80:D81)</f>
        <v>38361</v>
      </c>
      <c r="E79" s="167">
        <f>SUM(E80:E81)</f>
        <v>38361</v>
      </c>
      <c r="F79" s="266">
        <f t="shared" si="10"/>
        <v>100</v>
      </c>
      <c r="G79" s="169"/>
      <c r="H79" s="170"/>
      <c r="I79" s="132"/>
      <c r="J79" s="169"/>
      <c r="K79" s="170"/>
      <c r="L79" s="134"/>
      <c r="M79" s="169"/>
      <c r="N79" s="170"/>
      <c r="O79" s="261"/>
      <c r="P79" s="169">
        <f>SUM(P80:P81)</f>
        <v>38361</v>
      </c>
      <c r="Q79" s="170">
        <f>SUM(Q80:Q81)</f>
        <v>38361</v>
      </c>
      <c r="R79" s="262">
        <f>Q79/P79*100</f>
        <v>100</v>
      </c>
    </row>
    <row r="80" spans="1:18" ht="60.75" customHeight="1">
      <c r="A80" s="175" t="s">
        <v>70</v>
      </c>
      <c r="B80" s="272" t="s">
        <v>71</v>
      </c>
      <c r="C80" s="177">
        <v>34000</v>
      </c>
      <c r="D80" s="178">
        <f>G80+J80+M80+P80</f>
        <v>33896</v>
      </c>
      <c r="E80" s="178">
        <f>H80+K80+N80+Q80</f>
        <v>33896</v>
      </c>
      <c r="F80" s="263">
        <f t="shared" si="10"/>
        <v>100</v>
      </c>
      <c r="G80" s="180"/>
      <c r="H80" s="181"/>
      <c r="I80" s="182"/>
      <c r="J80" s="180"/>
      <c r="K80" s="181"/>
      <c r="L80" s="183"/>
      <c r="M80" s="180"/>
      <c r="N80" s="181"/>
      <c r="O80" s="182"/>
      <c r="P80" s="180">
        <f>34000-104</f>
        <v>33896</v>
      </c>
      <c r="Q80" s="181">
        <v>33896</v>
      </c>
      <c r="R80" s="256">
        <f>Q80/P80*100</f>
        <v>100</v>
      </c>
    </row>
    <row r="81" spans="1:18" s="163" customFormat="1" ht="66" customHeight="1">
      <c r="A81" s="197" t="s">
        <v>114</v>
      </c>
      <c r="B81" s="299" t="s">
        <v>115</v>
      </c>
      <c r="C81" s="220">
        <v>8000</v>
      </c>
      <c r="D81" s="221">
        <f>G81+J81+M81+P81</f>
        <v>4465</v>
      </c>
      <c r="E81" s="221">
        <f>H81+K81+N81+Q81</f>
        <v>4465</v>
      </c>
      <c r="F81" s="278">
        <f t="shared" si="10"/>
        <v>100</v>
      </c>
      <c r="G81" s="223"/>
      <c r="H81" s="224"/>
      <c r="I81" s="204"/>
      <c r="J81" s="223"/>
      <c r="K81" s="224"/>
      <c r="L81" s="207"/>
      <c r="M81" s="223"/>
      <c r="N81" s="224"/>
      <c r="O81" s="204"/>
      <c r="P81" s="223">
        <v>4465</v>
      </c>
      <c r="Q81" s="224">
        <v>4465</v>
      </c>
      <c r="R81" s="274">
        <f>Q81/P81*100</f>
        <v>100</v>
      </c>
    </row>
    <row r="82" spans="1:18" ht="15.75" customHeight="1">
      <c r="A82" s="164" t="s">
        <v>116</v>
      </c>
      <c r="B82" s="165" t="s">
        <v>19</v>
      </c>
      <c r="C82" s="166">
        <f>SUM(C83:C83)</f>
        <v>200000</v>
      </c>
      <c r="D82" s="167">
        <f>SUM(D83:D83)</f>
        <v>200000</v>
      </c>
      <c r="E82" s="167">
        <f>SUM(E83:E83)</f>
        <v>310509</v>
      </c>
      <c r="F82" s="303">
        <f t="shared" si="10"/>
        <v>155.2545</v>
      </c>
      <c r="G82" s="169">
        <f>SUM(G83:G83)</f>
        <v>200000</v>
      </c>
      <c r="H82" s="170">
        <f>SUM(H83:H83)</f>
        <v>310509</v>
      </c>
      <c r="I82" s="261">
        <f>H82/G82*100</f>
        <v>155.2545</v>
      </c>
      <c r="J82" s="169"/>
      <c r="K82" s="170"/>
      <c r="L82" s="172"/>
      <c r="M82" s="169"/>
      <c r="N82" s="170"/>
      <c r="O82" s="261"/>
      <c r="P82" s="169"/>
      <c r="Q82" s="170"/>
      <c r="R82" s="262"/>
    </row>
    <row r="83" spans="1:18" s="163" customFormat="1" ht="24" customHeight="1" thickBot="1">
      <c r="A83" s="175" t="s">
        <v>117</v>
      </c>
      <c r="B83" s="277" t="s">
        <v>118</v>
      </c>
      <c r="C83" s="177">
        <v>200000</v>
      </c>
      <c r="D83" s="178">
        <f aca="true" t="shared" si="12" ref="D83:E85">G83+J83+M83+P83</f>
        <v>200000</v>
      </c>
      <c r="E83" s="178">
        <f t="shared" si="12"/>
        <v>310509</v>
      </c>
      <c r="F83" s="179"/>
      <c r="G83" s="304">
        <v>200000</v>
      </c>
      <c r="H83" s="181">
        <v>310509</v>
      </c>
      <c r="I83" s="182"/>
      <c r="J83" s="244"/>
      <c r="K83" s="245"/>
      <c r="L83" s="183"/>
      <c r="M83" s="244"/>
      <c r="N83" s="245"/>
      <c r="O83" s="182"/>
      <c r="P83" s="244"/>
      <c r="Q83" s="245"/>
      <c r="R83" s="256"/>
    </row>
    <row r="84" spans="1:18" ht="58.5" customHeight="1" thickBot="1" thickTop="1">
      <c r="A84" s="225" t="s">
        <v>119</v>
      </c>
      <c r="B84" s="305" t="s">
        <v>120</v>
      </c>
      <c r="C84" s="227">
        <f>C85</f>
        <v>17910</v>
      </c>
      <c r="D84" s="64">
        <f>D85</f>
        <v>15917</v>
      </c>
      <c r="E84" s="228">
        <f>E85</f>
        <v>15664</v>
      </c>
      <c r="F84" s="306">
        <f aca="true" t="shared" si="13" ref="F84:F135">E84/D84*100</f>
        <v>98.41050449205252</v>
      </c>
      <c r="G84" s="307"/>
      <c r="H84" s="230"/>
      <c r="I84" s="308"/>
      <c r="J84" s="229">
        <f>J85</f>
        <v>15917</v>
      </c>
      <c r="K84" s="230">
        <f>K85</f>
        <v>15664</v>
      </c>
      <c r="L84" s="232">
        <f>K84/J84*100</f>
        <v>98.41050449205252</v>
      </c>
      <c r="M84" s="229"/>
      <c r="N84" s="230"/>
      <c r="O84" s="308"/>
      <c r="P84" s="229"/>
      <c r="Q84" s="230"/>
      <c r="R84" s="309"/>
    </row>
    <row r="85" spans="1:18" ht="39" customHeight="1" thickTop="1">
      <c r="A85" s="310" t="s">
        <v>121</v>
      </c>
      <c r="B85" s="311" t="s">
        <v>122</v>
      </c>
      <c r="C85" s="312">
        <f>SUM(C86)</f>
        <v>17910</v>
      </c>
      <c r="D85" s="313">
        <f t="shared" si="12"/>
        <v>15917</v>
      </c>
      <c r="E85" s="313">
        <f t="shared" si="12"/>
        <v>15664</v>
      </c>
      <c r="F85" s="314">
        <f t="shared" si="13"/>
        <v>98.41050449205252</v>
      </c>
      <c r="G85" s="315"/>
      <c r="H85" s="214"/>
      <c r="I85" s="316"/>
      <c r="J85" s="213">
        <f>J86</f>
        <v>15917</v>
      </c>
      <c r="K85" s="214">
        <f>K86</f>
        <v>15664</v>
      </c>
      <c r="L85" s="317">
        <f>K85/J85*100</f>
        <v>98.41050449205252</v>
      </c>
      <c r="M85" s="213"/>
      <c r="N85" s="214"/>
      <c r="O85" s="316"/>
      <c r="P85" s="213"/>
      <c r="Q85" s="214"/>
      <c r="R85" s="318"/>
    </row>
    <row r="86" spans="1:18" ht="57" customHeight="1" thickBot="1">
      <c r="A86" s="175" t="s">
        <v>20</v>
      </c>
      <c r="B86" s="176" t="s">
        <v>21</v>
      </c>
      <c r="C86" s="177">
        <v>17910</v>
      </c>
      <c r="D86" s="178">
        <f>G86+J86+M86+P86</f>
        <v>15917</v>
      </c>
      <c r="E86" s="178">
        <f>H86+K86+N86+Q86</f>
        <v>15664</v>
      </c>
      <c r="F86" s="319"/>
      <c r="G86" s="304"/>
      <c r="H86" s="181"/>
      <c r="I86" s="182"/>
      <c r="J86" s="244">
        <v>15917</v>
      </c>
      <c r="K86" s="245">
        <v>15664</v>
      </c>
      <c r="L86" s="183"/>
      <c r="M86" s="244"/>
      <c r="N86" s="245"/>
      <c r="O86" s="182"/>
      <c r="P86" s="244"/>
      <c r="Q86" s="245"/>
      <c r="R86" s="256"/>
    </row>
    <row r="87" spans="1:18" ht="37.5" customHeight="1" thickTop="1">
      <c r="A87" s="113" t="s">
        <v>123</v>
      </c>
      <c r="B87" s="320" t="s">
        <v>124</v>
      </c>
      <c r="C87" s="321">
        <f>C88+C93</f>
        <v>6917600</v>
      </c>
      <c r="D87" s="116">
        <f>G87+J87+M87+P87</f>
        <v>8194291</v>
      </c>
      <c r="E87" s="116">
        <f>E88+E93</f>
        <v>8194938</v>
      </c>
      <c r="F87" s="322">
        <f t="shared" si="13"/>
        <v>100.00789574107142</v>
      </c>
      <c r="G87" s="121"/>
      <c r="H87" s="119"/>
      <c r="I87" s="323"/>
      <c r="J87" s="121">
        <f>J88+J93</f>
        <v>8000</v>
      </c>
      <c r="K87" s="119">
        <f>K88+K93</f>
        <v>7999</v>
      </c>
      <c r="L87" s="324">
        <f>K87/J87*100</f>
        <v>99.9875</v>
      </c>
      <c r="M87" s="121"/>
      <c r="N87" s="119">
        <f>N88</f>
        <v>843</v>
      </c>
      <c r="O87" s="120"/>
      <c r="P87" s="121">
        <f>P88</f>
        <v>8186291</v>
      </c>
      <c r="Q87" s="119">
        <f>Q88</f>
        <v>8186096</v>
      </c>
      <c r="R87" s="325">
        <f>Q87/P87*100</f>
        <v>99.99761796887016</v>
      </c>
    </row>
    <row r="88" spans="1:18" ht="24.75" customHeight="1">
      <c r="A88" s="138" t="s">
        <v>125</v>
      </c>
      <c r="B88" s="139" t="s">
        <v>126</v>
      </c>
      <c r="C88" s="140">
        <f>SUM(C90:C92)</f>
        <v>6909600</v>
      </c>
      <c r="D88" s="141">
        <f>SUM(D89:D92)</f>
        <v>8186291</v>
      </c>
      <c r="E88" s="141">
        <f>SUM(E89:E92)</f>
        <v>8186939</v>
      </c>
      <c r="F88" s="266">
        <f t="shared" si="13"/>
        <v>100.00791567267765</v>
      </c>
      <c r="G88" s="143"/>
      <c r="H88" s="144"/>
      <c r="I88" s="204"/>
      <c r="J88" s="143"/>
      <c r="K88" s="144"/>
      <c r="L88" s="296"/>
      <c r="M88" s="143"/>
      <c r="N88" s="144">
        <f>SUM(N89:N92)</f>
        <v>843</v>
      </c>
      <c r="O88" s="145"/>
      <c r="P88" s="143">
        <f>SUM(P90:P92)</f>
        <v>8186291</v>
      </c>
      <c r="Q88" s="144">
        <f>SUM(Q90:Q92)</f>
        <v>8186096</v>
      </c>
      <c r="R88" s="255">
        <f>Q88/P88*100</f>
        <v>99.99761796887016</v>
      </c>
    </row>
    <row r="89" spans="1:18" s="326" customFormat="1" ht="15.75" customHeight="1">
      <c r="A89" s="175" t="s">
        <v>85</v>
      </c>
      <c r="B89" s="277" t="s">
        <v>127</v>
      </c>
      <c r="C89" s="177"/>
      <c r="D89" s="178"/>
      <c r="E89" s="178">
        <f aca="true" t="shared" si="14" ref="D89:E92">H89+K89+N89+Q89</f>
        <v>25</v>
      </c>
      <c r="F89" s="263"/>
      <c r="G89" s="180"/>
      <c r="H89" s="181"/>
      <c r="I89" s="182"/>
      <c r="J89" s="180"/>
      <c r="K89" s="181"/>
      <c r="L89" s="297"/>
      <c r="M89" s="180"/>
      <c r="N89" s="181">
        <v>25</v>
      </c>
      <c r="O89" s="182"/>
      <c r="P89" s="180"/>
      <c r="Q89" s="181"/>
      <c r="R89" s="256"/>
    </row>
    <row r="90" spans="1:18" ht="60.75" customHeight="1">
      <c r="A90" s="150" t="s">
        <v>70</v>
      </c>
      <c r="B90" s="258" t="s">
        <v>71</v>
      </c>
      <c r="C90" s="152">
        <v>6259600</v>
      </c>
      <c r="D90" s="92">
        <f t="shared" si="14"/>
        <v>7433797</v>
      </c>
      <c r="E90" s="92">
        <f t="shared" si="14"/>
        <v>7433602</v>
      </c>
      <c r="F90" s="159">
        <f t="shared" si="13"/>
        <v>99.99737684523804</v>
      </c>
      <c r="G90" s="154"/>
      <c r="H90" s="155"/>
      <c r="I90" s="156"/>
      <c r="J90" s="154"/>
      <c r="K90" s="155"/>
      <c r="L90" s="298"/>
      <c r="M90" s="154"/>
      <c r="N90" s="155"/>
      <c r="O90" s="156"/>
      <c r="P90" s="154">
        <f>7149186+83252+19500+2475+49125+110000+20259</f>
        <v>7433797</v>
      </c>
      <c r="Q90" s="155">
        <v>7433602</v>
      </c>
      <c r="R90" s="257">
        <f>Q90/P90*100</f>
        <v>99.99737684523804</v>
      </c>
    </row>
    <row r="91" spans="1:18" s="163" customFormat="1" ht="46.5" customHeight="1">
      <c r="A91" s="150" t="s">
        <v>72</v>
      </c>
      <c r="B91" s="258" t="s">
        <v>128</v>
      </c>
      <c r="C91" s="152"/>
      <c r="D91" s="92"/>
      <c r="E91" s="92">
        <f>H91+K91+N91+Q91</f>
        <v>818</v>
      </c>
      <c r="F91" s="159"/>
      <c r="G91" s="154"/>
      <c r="H91" s="155"/>
      <c r="I91" s="156"/>
      <c r="J91" s="154"/>
      <c r="K91" s="155"/>
      <c r="L91" s="298"/>
      <c r="M91" s="154"/>
      <c r="N91" s="155">
        <v>818</v>
      </c>
      <c r="O91" s="156"/>
      <c r="P91" s="154"/>
      <c r="Q91" s="155"/>
      <c r="R91" s="257"/>
    </row>
    <row r="92" spans="1:18" s="163" customFormat="1" ht="61.5" customHeight="1">
      <c r="A92" s="197" t="s">
        <v>87</v>
      </c>
      <c r="B92" s="273" t="s">
        <v>88</v>
      </c>
      <c r="C92" s="220">
        <v>650000</v>
      </c>
      <c r="D92" s="221">
        <f t="shared" si="14"/>
        <v>752494</v>
      </c>
      <c r="E92" s="221">
        <f t="shared" si="14"/>
        <v>752494</v>
      </c>
      <c r="F92" s="278">
        <f t="shared" si="13"/>
        <v>100</v>
      </c>
      <c r="G92" s="223"/>
      <c r="H92" s="224"/>
      <c r="I92" s="204"/>
      <c r="J92" s="223"/>
      <c r="K92" s="224"/>
      <c r="L92" s="279"/>
      <c r="M92" s="223"/>
      <c r="N92" s="224"/>
      <c r="O92" s="204"/>
      <c r="P92" s="223">
        <f>650000+92194+10300</f>
        <v>752494</v>
      </c>
      <c r="Q92" s="224">
        <v>752494</v>
      </c>
      <c r="R92" s="274">
        <f>Q92/P92*100</f>
        <v>100</v>
      </c>
    </row>
    <row r="93" spans="1:18" ht="17.25" customHeight="1">
      <c r="A93" s="164" t="s">
        <v>129</v>
      </c>
      <c r="B93" s="165" t="s">
        <v>130</v>
      </c>
      <c r="C93" s="166">
        <f>C94</f>
        <v>8000</v>
      </c>
      <c r="D93" s="167">
        <f>D94</f>
        <v>8000</v>
      </c>
      <c r="E93" s="167">
        <f>E94</f>
        <v>7999</v>
      </c>
      <c r="F93" s="327">
        <f t="shared" si="13"/>
        <v>99.9875</v>
      </c>
      <c r="G93" s="169"/>
      <c r="H93" s="170"/>
      <c r="I93" s="261"/>
      <c r="J93" s="169">
        <f>J94</f>
        <v>8000</v>
      </c>
      <c r="K93" s="170">
        <f>K94</f>
        <v>7999</v>
      </c>
      <c r="L93" s="328">
        <f>K93/J93*100</f>
        <v>99.9875</v>
      </c>
      <c r="M93" s="169"/>
      <c r="N93" s="170"/>
      <c r="O93" s="261"/>
      <c r="P93" s="169"/>
      <c r="Q93" s="170"/>
      <c r="R93" s="262"/>
    </row>
    <row r="94" spans="1:18" ht="65.25" customHeight="1" thickBot="1">
      <c r="A94" s="175" t="s">
        <v>20</v>
      </c>
      <c r="B94" s="272" t="s">
        <v>131</v>
      </c>
      <c r="C94" s="177">
        <v>8000</v>
      </c>
      <c r="D94" s="178">
        <f>J94</f>
        <v>8000</v>
      </c>
      <c r="E94" s="178">
        <f>K94</f>
        <v>7999</v>
      </c>
      <c r="F94" s="263"/>
      <c r="G94" s="180"/>
      <c r="H94" s="181"/>
      <c r="I94" s="182"/>
      <c r="J94" s="180">
        <v>8000</v>
      </c>
      <c r="K94" s="181">
        <v>7999</v>
      </c>
      <c r="L94" s="297"/>
      <c r="M94" s="180"/>
      <c r="N94" s="181"/>
      <c r="O94" s="182"/>
      <c r="P94" s="180"/>
      <c r="Q94" s="181"/>
      <c r="R94" s="256"/>
    </row>
    <row r="95" spans="1:18" ht="91.5" customHeight="1" thickBot="1" thickTop="1">
      <c r="A95" s="103" t="s">
        <v>132</v>
      </c>
      <c r="B95" s="329" t="s">
        <v>133</v>
      </c>
      <c r="C95" s="109">
        <f>C96+C98+C105+C115+C123+C126+C129+C131</f>
        <v>141832589</v>
      </c>
      <c r="D95" s="107">
        <f>D96+D98+D105+D115+D123+D126+D129+D131+D121</f>
        <v>148178789</v>
      </c>
      <c r="E95" s="107">
        <f>E96+E98+E105+E115+E121+E123+E126+E129+E131</f>
        <v>159258580</v>
      </c>
      <c r="F95" s="294">
        <f t="shared" si="13"/>
        <v>107.47731242424987</v>
      </c>
      <c r="G95" s="330">
        <f>G96+G98+G105+G115+G121+G123+G129+G131</f>
        <v>125742096</v>
      </c>
      <c r="H95" s="330">
        <f>H96+H98+H105+H115+H121+H123+H129+H131</f>
        <v>134501623</v>
      </c>
      <c r="I95" s="252">
        <f aca="true" t="shared" si="15" ref="I95:I155">H95/G95*100</f>
        <v>106.96626450381422</v>
      </c>
      <c r="J95" s="109"/>
      <c r="K95" s="107"/>
      <c r="L95" s="110"/>
      <c r="M95" s="109">
        <f>M96+M98+M105+M115+M123+M126</f>
        <v>22436693</v>
      </c>
      <c r="N95" s="107">
        <f>N115+N126</f>
        <v>24756957</v>
      </c>
      <c r="O95" s="252">
        <f>N95/M95*100</f>
        <v>110.34138141481012</v>
      </c>
      <c r="P95" s="109"/>
      <c r="Q95" s="107"/>
      <c r="R95" s="253"/>
    </row>
    <row r="96" spans="1:18" ht="36.75" thickTop="1">
      <c r="A96" s="138" t="s">
        <v>134</v>
      </c>
      <c r="B96" s="139" t="s">
        <v>135</v>
      </c>
      <c r="C96" s="140">
        <f>SUM(C97)</f>
        <v>520000</v>
      </c>
      <c r="D96" s="141">
        <f>D97</f>
        <v>460000</v>
      </c>
      <c r="E96" s="141">
        <f>E97</f>
        <v>476707</v>
      </c>
      <c r="F96" s="142">
        <f t="shared" si="13"/>
        <v>103.63195652173913</v>
      </c>
      <c r="G96" s="143">
        <f>G97</f>
        <v>460000</v>
      </c>
      <c r="H96" s="144">
        <f>H97</f>
        <v>476707</v>
      </c>
      <c r="I96" s="145">
        <f t="shared" si="15"/>
        <v>103.63195652173913</v>
      </c>
      <c r="J96" s="143"/>
      <c r="K96" s="144"/>
      <c r="L96" s="146"/>
      <c r="M96" s="143"/>
      <c r="N96" s="144"/>
      <c r="O96" s="145"/>
      <c r="P96" s="143"/>
      <c r="Q96" s="144"/>
      <c r="R96" s="255"/>
    </row>
    <row r="97" spans="1:18" ht="46.5" customHeight="1">
      <c r="A97" s="125" t="s">
        <v>136</v>
      </c>
      <c r="B97" s="331" t="s">
        <v>137</v>
      </c>
      <c r="C97" s="332">
        <v>520000</v>
      </c>
      <c r="D97" s="128">
        <f>G97+J97+M97+P97</f>
        <v>460000</v>
      </c>
      <c r="E97" s="128">
        <f>H97+K97+N97+Q97</f>
        <v>476707</v>
      </c>
      <c r="F97" s="333"/>
      <c r="G97" s="133">
        <f>520000-60000</f>
        <v>460000</v>
      </c>
      <c r="H97" s="131">
        <v>476707</v>
      </c>
      <c r="I97" s="132"/>
      <c r="J97" s="133"/>
      <c r="K97" s="131"/>
      <c r="L97" s="134"/>
      <c r="M97" s="133"/>
      <c r="N97" s="131"/>
      <c r="O97" s="132"/>
      <c r="P97" s="133"/>
      <c r="Q97" s="131"/>
      <c r="R97" s="270"/>
    </row>
    <row r="98" spans="1:18" ht="68.25" customHeight="1">
      <c r="A98" s="334" t="s">
        <v>138</v>
      </c>
      <c r="B98" s="335" t="s">
        <v>139</v>
      </c>
      <c r="C98" s="166">
        <f>SUM(C99:C104)</f>
        <v>29838700</v>
      </c>
      <c r="D98" s="167">
        <f>SUM(D99:D104)</f>
        <v>29118700</v>
      </c>
      <c r="E98" s="167">
        <f>SUM(E99:E104)</f>
        <v>29676385</v>
      </c>
      <c r="F98" s="303">
        <f t="shared" si="13"/>
        <v>101.91521256100032</v>
      </c>
      <c r="G98" s="169">
        <f>SUM(G99:G104)</f>
        <v>29118700</v>
      </c>
      <c r="H98" s="170">
        <f>SUM(H99:H104)</f>
        <v>29676385</v>
      </c>
      <c r="I98" s="261">
        <f t="shared" si="15"/>
        <v>101.91521256100032</v>
      </c>
      <c r="J98" s="169"/>
      <c r="K98" s="170"/>
      <c r="L98" s="172"/>
      <c r="M98" s="169"/>
      <c r="N98" s="170"/>
      <c r="O98" s="261"/>
      <c r="P98" s="169"/>
      <c r="Q98" s="170"/>
      <c r="R98" s="262"/>
    </row>
    <row r="99" spans="1:18" ht="18.75" customHeight="1">
      <c r="A99" s="175" t="s">
        <v>140</v>
      </c>
      <c r="B99" s="277" t="s">
        <v>141</v>
      </c>
      <c r="C99" s="177">
        <v>27147880</v>
      </c>
      <c r="D99" s="178">
        <f aca="true" t="shared" si="16" ref="D99:E104">G99+J99+M99+P99</f>
        <v>26747880</v>
      </c>
      <c r="E99" s="178">
        <f t="shared" si="16"/>
        <v>27247804</v>
      </c>
      <c r="F99" s="179">
        <f t="shared" si="13"/>
        <v>101.86902289078613</v>
      </c>
      <c r="G99" s="304">
        <f>27147880+600000-1000000</f>
        <v>26747880</v>
      </c>
      <c r="H99" s="181">
        <v>27247804</v>
      </c>
      <c r="I99" s="182">
        <f t="shared" si="15"/>
        <v>101.86902289078613</v>
      </c>
      <c r="J99" s="180"/>
      <c r="K99" s="181"/>
      <c r="L99" s="183"/>
      <c r="M99" s="180"/>
      <c r="N99" s="181"/>
      <c r="O99" s="182"/>
      <c r="P99" s="180"/>
      <c r="Q99" s="181"/>
      <c r="R99" s="256"/>
    </row>
    <row r="100" spans="1:18" s="163" customFormat="1" ht="14.25" customHeight="1">
      <c r="A100" s="150" t="s">
        <v>142</v>
      </c>
      <c r="B100" s="151" t="s">
        <v>143</v>
      </c>
      <c r="C100" s="152">
        <v>35940</v>
      </c>
      <c r="D100" s="92">
        <f t="shared" si="16"/>
        <v>35940</v>
      </c>
      <c r="E100" s="92">
        <f t="shared" si="16"/>
        <v>43521</v>
      </c>
      <c r="F100" s="186">
        <f t="shared" si="13"/>
        <v>121.09348914858096</v>
      </c>
      <c r="G100" s="301">
        <v>35940</v>
      </c>
      <c r="H100" s="155">
        <v>43521</v>
      </c>
      <c r="I100" s="156">
        <f t="shared" si="15"/>
        <v>121.09348914858096</v>
      </c>
      <c r="J100" s="154"/>
      <c r="K100" s="155"/>
      <c r="L100" s="157"/>
      <c r="M100" s="154"/>
      <c r="N100" s="155"/>
      <c r="O100" s="156"/>
      <c r="P100" s="154"/>
      <c r="Q100" s="155"/>
      <c r="R100" s="257"/>
    </row>
    <row r="101" spans="1:18" s="163" customFormat="1" ht="14.25" customHeight="1">
      <c r="A101" s="150" t="s">
        <v>144</v>
      </c>
      <c r="B101" s="151" t="s">
        <v>145</v>
      </c>
      <c r="C101" s="152">
        <v>41880</v>
      </c>
      <c r="D101" s="92">
        <f t="shared" si="16"/>
        <v>41880</v>
      </c>
      <c r="E101" s="92">
        <f t="shared" si="16"/>
        <v>45204</v>
      </c>
      <c r="F101" s="186">
        <f t="shared" si="13"/>
        <v>107.93696275071633</v>
      </c>
      <c r="G101" s="301">
        <v>41880</v>
      </c>
      <c r="H101" s="155">
        <v>45204</v>
      </c>
      <c r="I101" s="156">
        <f t="shared" si="15"/>
        <v>107.93696275071633</v>
      </c>
      <c r="J101" s="154"/>
      <c r="K101" s="155"/>
      <c r="L101" s="157"/>
      <c r="M101" s="154"/>
      <c r="N101" s="155"/>
      <c r="O101" s="156"/>
      <c r="P101" s="154"/>
      <c r="Q101" s="155"/>
      <c r="R101" s="257"/>
    </row>
    <row r="102" spans="1:18" ht="24">
      <c r="A102" s="150" t="s">
        <v>146</v>
      </c>
      <c r="B102" s="151" t="s">
        <v>147</v>
      </c>
      <c r="C102" s="152">
        <v>1093000</v>
      </c>
      <c r="D102" s="92">
        <f t="shared" si="16"/>
        <v>1423000</v>
      </c>
      <c r="E102" s="92">
        <f t="shared" si="16"/>
        <v>1412248</v>
      </c>
      <c r="F102" s="186">
        <f t="shared" si="13"/>
        <v>99.24441321152496</v>
      </c>
      <c r="G102" s="301">
        <f>1093000+390000-60000</f>
        <v>1423000</v>
      </c>
      <c r="H102" s="155">
        <v>1412248</v>
      </c>
      <c r="I102" s="156">
        <f t="shared" si="15"/>
        <v>99.24441321152496</v>
      </c>
      <c r="J102" s="154"/>
      <c r="K102" s="155"/>
      <c r="L102" s="157"/>
      <c r="M102" s="154"/>
      <c r="N102" s="155"/>
      <c r="O102" s="156"/>
      <c r="P102" s="154"/>
      <c r="Q102" s="155"/>
      <c r="R102" s="257"/>
    </row>
    <row r="103" spans="1:18" s="163" customFormat="1" ht="13.5" customHeight="1">
      <c r="A103" s="150" t="s">
        <v>148</v>
      </c>
      <c r="B103" s="151" t="s">
        <v>149</v>
      </c>
      <c r="C103" s="152">
        <v>520000</v>
      </c>
      <c r="D103" s="92">
        <f t="shared" si="16"/>
        <v>640000</v>
      </c>
      <c r="E103" s="92">
        <f t="shared" si="16"/>
        <v>618650</v>
      </c>
      <c r="F103" s="186">
        <f t="shared" si="13"/>
        <v>96.6640625</v>
      </c>
      <c r="G103" s="301">
        <f>520000+50000+70000</f>
        <v>640000</v>
      </c>
      <c r="H103" s="155">
        <v>618650</v>
      </c>
      <c r="I103" s="156">
        <f t="shared" si="15"/>
        <v>96.6640625</v>
      </c>
      <c r="J103" s="154"/>
      <c r="K103" s="155"/>
      <c r="L103" s="157"/>
      <c r="M103" s="154"/>
      <c r="N103" s="155"/>
      <c r="O103" s="156"/>
      <c r="P103" s="154"/>
      <c r="Q103" s="155"/>
      <c r="R103" s="257"/>
    </row>
    <row r="104" spans="1:18" ht="24" customHeight="1">
      <c r="A104" s="197" t="s">
        <v>150</v>
      </c>
      <c r="B104" s="300" t="s">
        <v>151</v>
      </c>
      <c r="C104" s="220">
        <v>1000000</v>
      </c>
      <c r="D104" s="221">
        <f t="shared" si="16"/>
        <v>230000</v>
      </c>
      <c r="E104" s="221">
        <f t="shared" si="16"/>
        <v>308958</v>
      </c>
      <c r="F104" s="222">
        <f t="shared" si="13"/>
        <v>134.3295652173913</v>
      </c>
      <c r="G104" s="302">
        <f>1000000-600000-170000</f>
        <v>230000</v>
      </c>
      <c r="H104" s="224">
        <v>308958</v>
      </c>
      <c r="I104" s="204">
        <f t="shared" si="15"/>
        <v>134.3295652173913</v>
      </c>
      <c r="J104" s="223"/>
      <c r="K104" s="224"/>
      <c r="L104" s="207"/>
      <c r="M104" s="223"/>
      <c r="N104" s="224"/>
      <c r="O104" s="204"/>
      <c r="P104" s="223"/>
      <c r="Q104" s="224"/>
      <c r="R104" s="274"/>
    </row>
    <row r="105" spans="1:18" ht="63" customHeight="1">
      <c r="A105" s="334" t="s">
        <v>152</v>
      </c>
      <c r="B105" s="335" t="s">
        <v>153</v>
      </c>
      <c r="C105" s="166">
        <f>SUM(C106:C114)</f>
        <v>14635568</v>
      </c>
      <c r="D105" s="167">
        <f>SUM(D106:D114)</f>
        <v>17385568</v>
      </c>
      <c r="E105" s="167">
        <f>SUM(E106:E114)</f>
        <v>17163384</v>
      </c>
      <c r="F105" s="303">
        <f t="shared" si="13"/>
        <v>98.72202047123223</v>
      </c>
      <c r="G105" s="169">
        <f>SUM(G106:G114)</f>
        <v>17385568</v>
      </c>
      <c r="H105" s="170">
        <f>SUM(H106:H114)</f>
        <v>17163384</v>
      </c>
      <c r="I105" s="261">
        <f t="shared" si="15"/>
        <v>98.72202047123223</v>
      </c>
      <c r="J105" s="169"/>
      <c r="K105" s="170"/>
      <c r="L105" s="172"/>
      <c r="M105" s="169"/>
      <c r="N105" s="170"/>
      <c r="O105" s="261"/>
      <c r="P105" s="169"/>
      <c r="Q105" s="170"/>
      <c r="R105" s="262"/>
    </row>
    <row r="106" spans="1:18" ht="15" customHeight="1">
      <c r="A106" s="175" t="s">
        <v>140</v>
      </c>
      <c r="B106" s="277" t="s">
        <v>141</v>
      </c>
      <c r="C106" s="177">
        <v>7658720</v>
      </c>
      <c r="D106" s="178">
        <f aca="true" t="shared" si="17" ref="D106:E114">G106+J106+M106+P106</f>
        <v>8308720</v>
      </c>
      <c r="E106" s="178">
        <f t="shared" si="17"/>
        <v>8066385</v>
      </c>
      <c r="F106" s="179">
        <f t="shared" si="13"/>
        <v>97.08336542812852</v>
      </c>
      <c r="G106" s="180">
        <f>7658720+650000</f>
        <v>8308720</v>
      </c>
      <c r="H106" s="181">
        <v>8066385</v>
      </c>
      <c r="I106" s="156">
        <f t="shared" si="15"/>
        <v>97.08336542812852</v>
      </c>
      <c r="J106" s="244"/>
      <c r="K106" s="245"/>
      <c r="L106" s="183"/>
      <c r="M106" s="244"/>
      <c r="N106" s="245"/>
      <c r="O106" s="182"/>
      <c r="P106" s="244"/>
      <c r="Q106" s="245"/>
      <c r="R106" s="256"/>
    </row>
    <row r="107" spans="1:18" ht="15" customHeight="1">
      <c r="A107" s="150" t="s">
        <v>142</v>
      </c>
      <c r="B107" s="151" t="s">
        <v>143</v>
      </c>
      <c r="C107" s="152">
        <v>585870</v>
      </c>
      <c r="D107" s="92">
        <f t="shared" si="17"/>
        <v>585870</v>
      </c>
      <c r="E107" s="92">
        <f t="shared" si="17"/>
        <v>616601</v>
      </c>
      <c r="F107" s="186">
        <f t="shared" si="13"/>
        <v>105.24536159898955</v>
      </c>
      <c r="G107" s="154">
        <v>585870</v>
      </c>
      <c r="H107" s="155">
        <v>616601</v>
      </c>
      <c r="I107" s="156">
        <f t="shared" si="15"/>
        <v>105.24536159898955</v>
      </c>
      <c r="J107" s="187"/>
      <c r="K107" s="188"/>
      <c r="L107" s="157"/>
      <c r="M107" s="187"/>
      <c r="N107" s="188"/>
      <c r="O107" s="156"/>
      <c r="P107" s="187"/>
      <c r="Q107" s="188"/>
      <c r="R107" s="257"/>
    </row>
    <row r="108" spans="1:18" ht="14.25" customHeight="1">
      <c r="A108" s="150" t="s">
        <v>144</v>
      </c>
      <c r="B108" s="151" t="s">
        <v>145</v>
      </c>
      <c r="C108" s="152">
        <v>260</v>
      </c>
      <c r="D108" s="92">
        <f t="shared" si="17"/>
        <v>260</v>
      </c>
      <c r="E108" s="92">
        <f t="shared" si="17"/>
        <v>221</v>
      </c>
      <c r="F108" s="186">
        <f t="shared" si="13"/>
        <v>85</v>
      </c>
      <c r="G108" s="154">
        <v>260</v>
      </c>
      <c r="H108" s="155">
        <v>221</v>
      </c>
      <c r="I108" s="156">
        <f t="shared" si="15"/>
        <v>85</v>
      </c>
      <c r="J108" s="187"/>
      <c r="K108" s="188"/>
      <c r="L108" s="157"/>
      <c r="M108" s="187"/>
      <c r="N108" s="188"/>
      <c r="O108" s="156"/>
      <c r="P108" s="187"/>
      <c r="Q108" s="188"/>
      <c r="R108" s="257"/>
    </row>
    <row r="109" spans="1:18" s="163" customFormat="1" ht="24">
      <c r="A109" s="150" t="s">
        <v>146</v>
      </c>
      <c r="B109" s="151" t="s">
        <v>147</v>
      </c>
      <c r="C109" s="152">
        <v>678600</v>
      </c>
      <c r="D109" s="92">
        <f t="shared" si="17"/>
        <v>688600</v>
      </c>
      <c r="E109" s="92">
        <f t="shared" si="17"/>
        <v>658560</v>
      </c>
      <c r="F109" s="186">
        <f t="shared" si="13"/>
        <v>95.63752541388324</v>
      </c>
      <c r="G109" s="154">
        <f>678600+10000</f>
        <v>688600</v>
      </c>
      <c r="H109" s="155">
        <v>658560</v>
      </c>
      <c r="I109" s="156">
        <f t="shared" si="15"/>
        <v>95.63752541388324</v>
      </c>
      <c r="J109" s="187"/>
      <c r="K109" s="188"/>
      <c r="L109" s="157"/>
      <c r="M109" s="187"/>
      <c r="N109" s="188"/>
      <c r="O109" s="156"/>
      <c r="P109" s="187"/>
      <c r="Q109" s="188"/>
      <c r="R109" s="257"/>
    </row>
    <row r="110" spans="1:18" s="163" customFormat="1" ht="24">
      <c r="A110" s="150" t="s">
        <v>154</v>
      </c>
      <c r="B110" s="151" t="s">
        <v>155</v>
      </c>
      <c r="C110" s="152">
        <v>350000</v>
      </c>
      <c r="D110" s="92">
        <f t="shared" si="17"/>
        <v>620000</v>
      </c>
      <c r="E110" s="92">
        <f t="shared" si="17"/>
        <v>613317</v>
      </c>
      <c r="F110" s="186">
        <f t="shared" si="13"/>
        <v>98.92209677419355</v>
      </c>
      <c r="G110" s="154">
        <f>350000+100000+170000</f>
        <v>620000</v>
      </c>
      <c r="H110" s="155">
        <v>613317</v>
      </c>
      <c r="I110" s="156">
        <f t="shared" si="15"/>
        <v>98.92209677419355</v>
      </c>
      <c r="J110" s="187"/>
      <c r="K110" s="188"/>
      <c r="L110" s="157"/>
      <c r="M110" s="187"/>
      <c r="N110" s="188"/>
      <c r="O110" s="156"/>
      <c r="P110" s="187"/>
      <c r="Q110" s="188"/>
      <c r="R110" s="257"/>
    </row>
    <row r="111" spans="1:18" s="163" customFormat="1" ht="15" customHeight="1">
      <c r="A111" s="150" t="s">
        <v>148</v>
      </c>
      <c r="B111" s="151" t="s">
        <v>149</v>
      </c>
      <c r="C111" s="152">
        <v>200000</v>
      </c>
      <c r="D111" s="92">
        <f t="shared" si="17"/>
        <v>150000</v>
      </c>
      <c r="E111" s="92">
        <f t="shared" si="17"/>
        <v>164040</v>
      </c>
      <c r="F111" s="186">
        <f t="shared" si="13"/>
        <v>109.35999999999999</v>
      </c>
      <c r="G111" s="154">
        <f>200000-50000</f>
        <v>150000</v>
      </c>
      <c r="H111" s="155">
        <v>164040</v>
      </c>
      <c r="I111" s="156">
        <f t="shared" si="15"/>
        <v>109.35999999999999</v>
      </c>
      <c r="J111" s="187"/>
      <c r="K111" s="188"/>
      <c r="L111" s="157"/>
      <c r="M111" s="187"/>
      <c r="N111" s="188"/>
      <c r="O111" s="156"/>
      <c r="P111" s="187"/>
      <c r="Q111" s="188"/>
      <c r="R111" s="257"/>
    </row>
    <row r="112" spans="1:18" s="163" customFormat="1" ht="24">
      <c r="A112" s="197" t="s">
        <v>150</v>
      </c>
      <c r="B112" s="300" t="s">
        <v>151</v>
      </c>
      <c r="C112" s="220">
        <v>4500000</v>
      </c>
      <c r="D112" s="221">
        <f t="shared" si="17"/>
        <v>6470000</v>
      </c>
      <c r="E112" s="221">
        <f t="shared" si="17"/>
        <v>6489909</v>
      </c>
      <c r="F112" s="222">
        <f t="shared" si="13"/>
        <v>100.30771251931994</v>
      </c>
      <c r="G112" s="223">
        <f>4500000+1000000+900000+70000</f>
        <v>6470000</v>
      </c>
      <c r="H112" s="224">
        <v>6489909</v>
      </c>
      <c r="I112" s="204">
        <f t="shared" si="15"/>
        <v>100.30771251931994</v>
      </c>
      <c r="J112" s="205"/>
      <c r="K112" s="206"/>
      <c r="L112" s="207"/>
      <c r="M112" s="205"/>
      <c r="N112" s="206"/>
      <c r="O112" s="204"/>
      <c r="P112" s="205"/>
      <c r="Q112" s="206"/>
      <c r="R112" s="274"/>
    </row>
    <row r="113" spans="1:18" ht="24.75" customHeight="1">
      <c r="A113" s="150" t="s">
        <v>156</v>
      </c>
      <c r="B113" s="151" t="s">
        <v>157</v>
      </c>
      <c r="C113" s="152">
        <v>100000</v>
      </c>
      <c r="D113" s="92"/>
      <c r="E113" s="92">
        <f t="shared" si="17"/>
        <v>866</v>
      </c>
      <c r="F113" s="186"/>
      <c r="G113" s="154"/>
      <c r="H113" s="155">
        <v>866</v>
      </c>
      <c r="I113" s="156"/>
      <c r="J113" s="187"/>
      <c r="K113" s="188"/>
      <c r="L113" s="157"/>
      <c r="M113" s="187"/>
      <c r="N113" s="188"/>
      <c r="O113" s="156"/>
      <c r="P113" s="187"/>
      <c r="Q113" s="188"/>
      <c r="R113" s="257"/>
    </row>
    <row r="114" spans="1:18" ht="43.5" customHeight="1">
      <c r="A114" s="197" t="s">
        <v>158</v>
      </c>
      <c r="B114" s="273" t="s">
        <v>159</v>
      </c>
      <c r="C114" s="220">
        <v>562118</v>
      </c>
      <c r="D114" s="92">
        <f t="shared" si="17"/>
        <v>562118</v>
      </c>
      <c r="E114" s="221">
        <f>H114+K114+N114+Q114</f>
        <v>553485</v>
      </c>
      <c r="F114" s="222">
        <f t="shared" si="13"/>
        <v>98.46420146659598</v>
      </c>
      <c r="G114" s="223">
        <v>562118</v>
      </c>
      <c r="H114" s="224">
        <v>553485</v>
      </c>
      <c r="I114" s="204">
        <f t="shared" si="15"/>
        <v>98.46420146659598</v>
      </c>
      <c r="J114" s="205"/>
      <c r="K114" s="206"/>
      <c r="L114" s="207"/>
      <c r="M114" s="205"/>
      <c r="N114" s="206"/>
      <c r="O114" s="204"/>
      <c r="P114" s="205"/>
      <c r="Q114" s="206"/>
      <c r="R114" s="274"/>
    </row>
    <row r="115" spans="1:18" ht="36.75" customHeight="1">
      <c r="A115" s="164" t="s">
        <v>160</v>
      </c>
      <c r="B115" s="165" t="s">
        <v>161</v>
      </c>
      <c r="C115" s="336">
        <f>SUM(C116:C119)</f>
        <v>4954000</v>
      </c>
      <c r="D115" s="170">
        <f>SUM(D116:D120)</f>
        <v>7812000</v>
      </c>
      <c r="E115" s="170">
        <f>SUM(E116:E120)</f>
        <v>8417997</v>
      </c>
      <c r="F115" s="303">
        <f t="shared" si="13"/>
        <v>107.75725806451612</v>
      </c>
      <c r="G115" s="169">
        <f>SUM(G116:G120)</f>
        <v>5462000</v>
      </c>
      <c r="H115" s="170">
        <f>SUM(H116:H120)</f>
        <v>5995449</v>
      </c>
      <c r="I115" s="261">
        <f t="shared" si="15"/>
        <v>109.76655071402416</v>
      </c>
      <c r="J115" s="169"/>
      <c r="K115" s="170"/>
      <c r="L115" s="172"/>
      <c r="M115" s="169">
        <f>SUM(M116:M119)</f>
        <v>2350000</v>
      </c>
      <c r="N115" s="170">
        <f>SUM(N116:N119)</f>
        <v>2422548</v>
      </c>
      <c r="O115" s="261">
        <f>N115/M115*100</f>
        <v>103.08714893617021</v>
      </c>
      <c r="P115" s="169"/>
      <c r="Q115" s="170"/>
      <c r="R115" s="262"/>
    </row>
    <row r="116" spans="1:18" ht="14.25" customHeight="1">
      <c r="A116" s="175" t="s">
        <v>162</v>
      </c>
      <c r="B116" s="277" t="s">
        <v>163</v>
      </c>
      <c r="C116" s="177">
        <v>3000000</v>
      </c>
      <c r="D116" s="178">
        <f aca="true" t="shared" si="18" ref="D116:E122">G116+J116+M116+P116</f>
        <v>3100000</v>
      </c>
      <c r="E116" s="178">
        <f t="shared" si="18"/>
        <v>3089127</v>
      </c>
      <c r="F116" s="179">
        <f t="shared" si="13"/>
        <v>99.64925806451613</v>
      </c>
      <c r="G116" s="180">
        <f>3000000+100000</f>
        <v>3100000</v>
      </c>
      <c r="H116" s="181">
        <v>3089127</v>
      </c>
      <c r="I116" s="182">
        <f t="shared" si="15"/>
        <v>99.64925806451613</v>
      </c>
      <c r="J116" s="180"/>
      <c r="K116" s="181"/>
      <c r="L116" s="183"/>
      <c r="M116" s="180"/>
      <c r="N116" s="181"/>
      <c r="O116" s="182"/>
      <c r="P116" s="180"/>
      <c r="Q116" s="181"/>
      <c r="R116" s="256"/>
    </row>
    <row r="117" spans="1:18" ht="26.25" customHeight="1">
      <c r="A117" s="150" t="s">
        <v>104</v>
      </c>
      <c r="B117" s="151" t="s">
        <v>105</v>
      </c>
      <c r="C117" s="152"/>
      <c r="D117" s="92">
        <f t="shared" si="18"/>
        <v>2300000</v>
      </c>
      <c r="E117" s="92">
        <f t="shared" si="18"/>
        <v>2313233</v>
      </c>
      <c r="F117" s="186">
        <f>E117/D117*100</f>
        <v>100.57534782608695</v>
      </c>
      <c r="G117" s="154"/>
      <c r="H117" s="155"/>
      <c r="I117" s="156"/>
      <c r="J117" s="154"/>
      <c r="K117" s="155"/>
      <c r="L117" s="157"/>
      <c r="M117" s="154">
        <v>2300000</v>
      </c>
      <c r="N117" s="155">
        <v>2313233</v>
      </c>
      <c r="O117" s="156">
        <f>N117/M117*100</f>
        <v>100.57534782608695</v>
      </c>
      <c r="P117" s="154"/>
      <c r="Q117" s="155"/>
      <c r="R117" s="257"/>
    </row>
    <row r="118" spans="1:18" s="163" customFormat="1" ht="21.75" customHeight="1">
      <c r="A118" s="150" t="s">
        <v>164</v>
      </c>
      <c r="B118" s="90" t="s">
        <v>165</v>
      </c>
      <c r="C118" s="152">
        <v>1800000</v>
      </c>
      <c r="D118" s="92">
        <f t="shared" si="18"/>
        <v>1800000</v>
      </c>
      <c r="E118" s="92">
        <f t="shared" si="18"/>
        <v>2038137</v>
      </c>
      <c r="F118" s="186">
        <f t="shared" si="13"/>
        <v>113.22983333333335</v>
      </c>
      <c r="G118" s="154">
        <v>1800000</v>
      </c>
      <c r="H118" s="155">
        <v>2038137</v>
      </c>
      <c r="I118" s="156">
        <f t="shared" si="15"/>
        <v>113.22983333333335</v>
      </c>
      <c r="J118" s="154"/>
      <c r="K118" s="155"/>
      <c r="L118" s="157"/>
      <c r="M118" s="154"/>
      <c r="N118" s="155"/>
      <c r="O118" s="156"/>
      <c r="P118" s="154"/>
      <c r="Q118" s="155"/>
      <c r="R118" s="257"/>
    </row>
    <row r="119" spans="1:18" s="163" customFormat="1" ht="72" customHeight="1">
      <c r="A119" s="150" t="s">
        <v>166</v>
      </c>
      <c r="B119" s="90" t="s">
        <v>167</v>
      </c>
      <c r="C119" s="152">
        <f>104000+50000</f>
        <v>154000</v>
      </c>
      <c r="D119" s="92">
        <f t="shared" si="18"/>
        <v>156000</v>
      </c>
      <c r="E119" s="92">
        <f t="shared" si="18"/>
        <v>247689</v>
      </c>
      <c r="F119" s="186">
        <f t="shared" si="13"/>
        <v>158.775</v>
      </c>
      <c r="G119" s="154">
        <f>104000+2000</f>
        <v>106000</v>
      </c>
      <c r="H119" s="188">
        <v>138374</v>
      </c>
      <c r="I119" s="156">
        <f t="shared" si="15"/>
        <v>130.54150943396226</v>
      </c>
      <c r="J119" s="154"/>
      <c r="K119" s="155"/>
      <c r="L119" s="157"/>
      <c r="M119" s="154">
        <v>50000</v>
      </c>
      <c r="N119" s="155">
        <v>109315</v>
      </c>
      <c r="O119" s="156">
        <f>N119/M119*100</f>
        <v>218.63000000000002</v>
      </c>
      <c r="P119" s="154"/>
      <c r="Q119" s="155"/>
      <c r="R119" s="257"/>
    </row>
    <row r="120" spans="1:18" ht="59.25" customHeight="1">
      <c r="A120" s="197" t="s">
        <v>166</v>
      </c>
      <c r="B120" s="273" t="s">
        <v>168</v>
      </c>
      <c r="C120" s="220"/>
      <c r="D120" s="221">
        <f t="shared" si="18"/>
        <v>456000</v>
      </c>
      <c r="E120" s="221">
        <f t="shared" si="18"/>
        <v>729811</v>
      </c>
      <c r="F120" s="222">
        <f>E120/D120*100</f>
        <v>160.04627192982457</v>
      </c>
      <c r="G120" s="223">
        <v>456000</v>
      </c>
      <c r="H120" s="206">
        <v>729811</v>
      </c>
      <c r="I120" s="204">
        <f t="shared" si="15"/>
        <v>160.04627192982457</v>
      </c>
      <c r="J120" s="223"/>
      <c r="K120" s="224"/>
      <c r="L120" s="207"/>
      <c r="M120" s="223"/>
      <c r="N120" s="224"/>
      <c r="O120" s="204"/>
      <c r="P120" s="223"/>
      <c r="Q120" s="224"/>
      <c r="R120" s="274"/>
    </row>
    <row r="121" spans="1:18" s="338" customFormat="1" ht="18.75" customHeight="1">
      <c r="A121" s="138" t="s">
        <v>169</v>
      </c>
      <c r="B121" s="139" t="s">
        <v>170</v>
      </c>
      <c r="C121" s="140"/>
      <c r="D121" s="313">
        <f t="shared" si="18"/>
        <v>20000</v>
      </c>
      <c r="E121" s="313">
        <f t="shared" si="18"/>
        <v>43602</v>
      </c>
      <c r="F121" s="337">
        <f>E121/D121*100</f>
        <v>218.01</v>
      </c>
      <c r="G121" s="143">
        <f>G122</f>
        <v>20000</v>
      </c>
      <c r="H121" s="144">
        <f>H122</f>
        <v>43602</v>
      </c>
      <c r="I121" s="145">
        <f>H121/G121*100</f>
        <v>218.01</v>
      </c>
      <c r="J121" s="143"/>
      <c r="K121" s="144"/>
      <c r="L121" s="146"/>
      <c r="M121" s="143"/>
      <c r="N121" s="144"/>
      <c r="O121" s="145"/>
      <c r="P121" s="143"/>
      <c r="Q121" s="144"/>
      <c r="R121" s="255"/>
    </row>
    <row r="122" spans="1:18" ht="21.75" customHeight="1">
      <c r="A122" s="197" t="s">
        <v>171</v>
      </c>
      <c r="B122" s="273" t="s">
        <v>172</v>
      </c>
      <c r="C122" s="220"/>
      <c r="D122" s="339">
        <f t="shared" si="18"/>
        <v>20000</v>
      </c>
      <c r="E122" s="221">
        <f t="shared" si="18"/>
        <v>43602</v>
      </c>
      <c r="F122" s="222"/>
      <c r="G122" s="223">
        <v>20000</v>
      </c>
      <c r="H122" s="224">
        <v>43602</v>
      </c>
      <c r="I122" s="204"/>
      <c r="J122" s="223"/>
      <c r="K122" s="224"/>
      <c r="L122" s="207"/>
      <c r="M122" s="223"/>
      <c r="N122" s="224"/>
      <c r="O122" s="204"/>
      <c r="P122" s="223"/>
      <c r="Q122" s="224"/>
      <c r="R122" s="274"/>
    </row>
    <row r="123" spans="1:18" ht="36">
      <c r="A123" s="164" t="s">
        <v>173</v>
      </c>
      <c r="B123" s="165" t="s">
        <v>174</v>
      </c>
      <c r="C123" s="336">
        <f>SUM(C124:C125)</f>
        <v>72010628</v>
      </c>
      <c r="D123" s="170">
        <f>SUM(D124:D125)</f>
        <v>72910628</v>
      </c>
      <c r="E123" s="170">
        <f>SUM(E124:E125)</f>
        <v>80671228</v>
      </c>
      <c r="F123" s="303">
        <f t="shared" si="13"/>
        <v>110.64399006410972</v>
      </c>
      <c r="G123" s="169">
        <f>G124+G125</f>
        <v>72910628</v>
      </c>
      <c r="H123" s="170">
        <f>SUM(H124:H125)</f>
        <v>80671228</v>
      </c>
      <c r="I123" s="261">
        <f t="shared" si="15"/>
        <v>110.64399006410972</v>
      </c>
      <c r="J123" s="169"/>
      <c r="K123" s="170"/>
      <c r="L123" s="172"/>
      <c r="M123" s="169"/>
      <c r="N123" s="170"/>
      <c r="O123" s="261"/>
      <c r="P123" s="169"/>
      <c r="Q123" s="170"/>
      <c r="R123" s="262"/>
    </row>
    <row r="124" spans="1:18" s="163" customFormat="1" ht="24.75" customHeight="1">
      <c r="A124" s="175" t="s">
        <v>175</v>
      </c>
      <c r="B124" s="277" t="s">
        <v>176</v>
      </c>
      <c r="C124" s="177">
        <v>68660628</v>
      </c>
      <c r="D124" s="178">
        <f>G124+J124+M124+P124</f>
        <v>68660628</v>
      </c>
      <c r="E124" s="178">
        <f>H124+K124+N124+Q124</f>
        <v>76153005</v>
      </c>
      <c r="F124" s="179">
        <f t="shared" si="13"/>
        <v>110.91218827768368</v>
      </c>
      <c r="G124" s="304">
        <v>68660628</v>
      </c>
      <c r="H124" s="181">
        <v>76153005</v>
      </c>
      <c r="I124" s="182">
        <f t="shared" si="15"/>
        <v>110.91218827768368</v>
      </c>
      <c r="J124" s="180"/>
      <c r="K124" s="181"/>
      <c r="L124" s="183"/>
      <c r="M124" s="180"/>
      <c r="N124" s="181"/>
      <c r="O124" s="182"/>
      <c r="P124" s="180"/>
      <c r="Q124" s="181"/>
      <c r="R124" s="256"/>
    </row>
    <row r="125" spans="1:18" ht="24">
      <c r="A125" s="197" t="s">
        <v>177</v>
      </c>
      <c r="B125" s="300" t="s">
        <v>178</v>
      </c>
      <c r="C125" s="220">
        <v>3350000</v>
      </c>
      <c r="D125" s="221">
        <f>G125+J125+M125+P125</f>
        <v>4250000</v>
      </c>
      <c r="E125" s="221">
        <f>H125+K125+N125+Q125</f>
        <v>4518223</v>
      </c>
      <c r="F125" s="222">
        <f t="shared" si="13"/>
        <v>106.31112941176471</v>
      </c>
      <c r="G125" s="302">
        <f>3350000+2100000-1200000</f>
        <v>4250000</v>
      </c>
      <c r="H125" s="224">
        <v>4518223</v>
      </c>
      <c r="I125" s="204">
        <f t="shared" si="15"/>
        <v>106.31112941176471</v>
      </c>
      <c r="J125" s="223"/>
      <c r="K125" s="224"/>
      <c r="L125" s="207"/>
      <c r="M125" s="223"/>
      <c r="N125" s="224"/>
      <c r="O125" s="204"/>
      <c r="P125" s="223"/>
      <c r="Q125" s="224"/>
      <c r="R125" s="274"/>
    </row>
    <row r="126" spans="1:18" ht="36">
      <c r="A126" s="164" t="s">
        <v>179</v>
      </c>
      <c r="B126" s="165" t="s">
        <v>180</v>
      </c>
      <c r="C126" s="336">
        <f>SUM(C127:C128)</f>
        <v>19786693</v>
      </c>
      <c r="D126" s="170">
        <f>SUM(D127:D128)</f>
        <v>20086693</v>
      </c>
      <c r="E126" s="170">
        <f>SUM(E127:E128)</f>
        <v>22334409</v>
      </c>
      <c r="F126" s="303">
        <f t="shared" si="13"/>
        <v>111.19007494165416</v>
      </c>
      <c r="G126" s="169"/>
      <c r="H126" s="170"/>
      <c r="I126" s="132"/>
      <c r="J126" s="169"/>
      <c r="K126" s="170"/>
      <c r="L126" s="172"/>
      <c r="M126" s="169">
        <f>M127+M128</f>
        <v>20086693</v>
      </c>
      <c r="N126" s="170">
        <f>SUM(N127:N128)</f>
        <v>22334409</v>
      </c>
      <c r="O126" s="261">
        <f aca="true" t="shared" si="19" ref="O126:O135">N126/M126*100</f>
        <v>111.19007494165416</v>
      </c>
      <c r="P126" s="169"/>
      <c r="Q126" s="170"/>
      <c r="R126" s="262"/>
    </row>
    <row r="127" spans="1:18" s="163" customFormat="1" ht="26.25" customHeight="1">
      <c r="A127" s="340" t="s">
        <v>175</v>
      </c>
      <c r="B127" s="277" t="s">
        <v>181</v>
      </c>
      <c r="C127" s="177">
        <v>19286693</v>
      </c>
      <c r="D127" s="178">
        <f aca="true" t="shared" si="20" ref="D127:E133">G127+J127+M127+P127</f>
        <v>19286693</v>
      </c>
      <c r="E127" s="178">
        <f t="shared" si="20"/>
        <v>21391295</v>
      </c>
      <c r="F127" s="179">
        <f t="shared" si="13"/>
        <v>110.91219733730402</v>
      </c>
      <c r="G127" s="180"/>
      <c r="H127" s="181"/>
      <c r="I127" s="182"/>
      <c r="J127" s="180"/>
      <c r="K127" s="181"/>
      <c r="L127" s="183"/>
      <c r="M127" s="180">
        <v>19286693</v>
      </c>
      <c r="N127" s="181">
        <v>21391295</v>
      </c>
      <c r="O127" s="182">
        <f t="shared" si="19"/>
        <v>110.91219733730402</v>
      </c>
      <c r="P127" s="180"/>
      <c r="Q127" s="181"/>
      <c r="R127" s="256"/>
    </row>
    <row r="128" spans="1:18" ht="24.75" customHeight="1">
      <c r="A128" s="197" t="s">
        <v>177</v>
      </c>
      <c r="B128" s="300" t="s">
        <v>178</v>
      </c>
      <c r="C128" s="220">
        <v>500000</v>
      </c>
      <c r="D128" s="221">
        <f t="shared" si="20"/>
        <v>800000</v>
      </c>
      <c r="E128" s="221">
        <f t="shared" si="20"/>
        <v>943114</v>
      </c>
      <c r="F128" s="222">
        <f t="shared" si="13"/>
        <v>117.88924999999999</v>
      </c>
      <c r="G128" s="223"/>
      <c r="H128" s="224"/>
      <c r="I128" s="204"/>
      <c r="J128" s="223"/>
      <c r="K128" s="224"/>
      <c r="L128" s="207"/>
      <c r="M128" s="223">
        <f>500000+300000</f>
        <v>800000</v>
      </c>
      <c r="N128" s="224">
        <v>943114</v>
      </c>
      <c r="O128" s="204">
        <f t="shared" si="19"/>
        <v>117.88924999999999</v>
      </c>
      <c r="P128" s="223"/>
      <c r="Q128" s="224"/>
      <c r="R128" s="274"/>
    </row>
    <row r="129" spans="1:18" s="338" customFormat="1" ht="15.75" customHeight="1">
      <c r="A129" s="164" t="s">
        <v>182</v>
      </c>
      <c r="B129" s="165" t="s">
        <v>183</v>
      </c>
      <c r="C129" s="166"/>
      <c r="D129" s="313">
        <f t="shared" si="20"/>
        <v>275200</v>
      </c>
      <c r="E129" s="210">
        <f t="shared" si="20"/>
        <v>275200</v>
      </c>
      <c r="F129" s="337">
        <f t="shared" si="13"/>
        <v>100</v>
      </c>
      <c r="G129" s="169">
        <f>G130</f>
        <v>275200</v>
      </c>
      <c r="H129" s="170">
        <f>H130</f>
        <v>275200</v>
      </c>
      <c r="I129" s="261">
        <f>H129/G129*100</f>
        <v>100</v>
      </c>
      <c r="J129" s="169"/>
      <c r="K129" s="170"/>
      <c r="L129" s="172"/>
      <c r="M129" s="169"/>
      <c r="N129" s="170"/>
      <c r="O129" s="261"/>
      <c r="P129" s="169"/>
      <c r="Q129" s="170"/>
      <c r="R129" s="262"/>
    </row>
    <row r="130" spans="1:18" ht="13.5" customHeight="1">
      <c r="A130" s="150" t="s">
        <v>184</v>
      </c>
      <c r="B130" s="151" t="s">
        <v>185</v>
      </c>
      <c r="C130" s="152"/>
      <c r="D130" s="221">
        <f t="shared" si="20"/>
        <v>275200</v>
      </c>
      <c r="E130" s="92">
        <f t="shared" si="20"/>
        <v>275200</v>
      </c>
      <c r="F130" s="222"/>
      <c r="G130" s="154">
        <v>275200</v>
      </c>
      <c r="H130" s="155">
        <v>275200</v>
      </c>
      <c r="I130" s="341"/>
      <c r="J130" s="154"/>
      <c r="K130" s="155"/>
      <c r="L130" s="157"/>
      <c r="M130" s="154"/>
      <c r="N130" s="155"/>
      <c r="O130" s="156"/>
      <c r="P130" s="154"/>
      <c r="Q130" s="155"/>
      <c r="R130" s="257"/>
    </row>
    <row r="131" spans="1:18" s="338" customFormat="1" ht="36" customHeight="1">
      <c r="A131" s="164" t="s">
        <v>186</v>
      </c>
      <c r="B131" s="165" t="s">
        <v>187</v>
      </c>
      <c r="C131" s="166">
        <f>SUM(C132:C133)</f>
        <v>87000</v>
      </c>
      <c r="D131" s="313">
        <f t="shared" si="20"/>
        <v>110000</v>
      </c>
      <c r="E131" s="210">
        <f t="shared" si="20"/>
        <v>199668</v>
      </c>
      <c r="F131" s="337">
        <f t="shared" si="13"/>
        <v>181.51636363636362</v>
      </c>
      <c r="G131" s="169">
        <f>SUM(G132:G133)</f>
        <v>110000</v>
      </c>
      <c r="H131" s="170">
        <f>SUM(H132:H133)</f>
        <v>199668</v>
      </c>
      <c r="I131" s="261">
        <f>H131/G131*100</f>
        <v>181.51636363636362</v>
      </c>
      <c r="J131" s="169"/>
      <c r="K131" s="170"/>
      <c r="L131" s="172"/>
      <c r="M131" s="169"/>
      <c r="N131" s="170"/>
      <c r="O131" s="261"/>
      <c r="P131" s="169"/>
      <c r="Q131" s="170"/>
      <c r="R131" s="262"/>
    </row>
    <row r="132" spans="1:18" s="163" customFormat="1" ht="37.5" customHeight="1">
      <c r="A132" s="175" t="s">
        <v>61</v>
      </c>
      <c r="B132" s="277" t="s">
        <v>188</v>
      </c>
      <c r="C132" s="177">
        <v>80000</v>
      </c>
      <c r="D132" s="178">
        <f t="shared" si="20"/>
        <v>80000</v>
      </c>
      <c r="E132" s="178">
        <f t="shared" si="20"/>
        <v>160278</v>
      </c>
      <c r="F132" s="179">
        <f t="shared" si="13"/>
        <v>200.3475</v>
      </c>
      <c r="G132" s="180">
        <v>80000</v>
      </c>
      <c r="H132" s="181">
        <v>160278</v>
      </c>
      <c r="I132" s="182">
        <f>H132/G132*100</f>
        <v>200.3475</v>
      </c>
      <c r="J132" s="180"/>
      <c r="K132" s="181"/>
      <c r="L132" s="183"/>
      <c r="M132" s="180"/>
      <c r="N132" s="181"/>
      <c r="O132" s="184"/>
      <c r="P132" s="180"/>
      <c r="Q132" s="181"/>
      <c r="R132" s="185"/>
    </row>
    <row r="133" spans="1:18" s="163" customFormat="1" ht="24.75" customHeight="1" thickBot="1">
      <c r="A133" s="342" t="s">
        <v>34</v>
      </c>
      <c r="B133" s="343" t="s">
        <v>189</v>
      </c>
      <c r="C133" s="344">
        <v>7000</v>
      </c>
      <c r="D133" s="249">
        <f t="shared" si="20"/>
        <v>30000</v>
      </c>
      <c r="E133" s="249">
        <f t="shared" si="20"/>
        <v>39390</v>
      </c>
      <c r="F133" s="250">
        <f t="shared" si="13"/>
        <v>131.29999999999998</v>
      </c>
      <c r="G133" s="345">
        <f>7000+23000</f>
        <v>30000</v>
      </c>
      <c r="H133" s="346">
        <v>39390</v>
      </c>
      <c r="I133" s="347">
        <f>H133/G133*100</f>
        <v>131.29999999999998</v>
      </c>
      <c r="J133" s="348"/>
      <c r="K133" s="349"/>
      <c r="L133" s="350"/>
      <c r="M133" s="348"/>
      <c r="N133" s="349"/>
      <c r="O133" s="347"/>
      <c r="P133" s="348"/>
      <c r="Q133" s="349"/>
      <c r="R133" s="351"/>
    </row>
    <row r="134" spans="1:18" ht="19.5" customHeight="1" thickBot="1" thickTop="1">
      <c r="A134" s="103" t="s">
        <v>190</v>
      </c>
      <c r="B134" s="251" t="s">
        <v>191</v>
      </c>
      <c r="C134" s="109">
        <f>C135+C140+C144+C146</f>
        <v>84602688</v>
      </c>
      <c r="D134" s="64">
        <f>G134+J134+M134+P134</f>
        <v>93133849</v>
      </c>
      <c r="E134" s="107">
        <f>E135+E140+E144+E146+E137</f>
        <v>93146100</v>
      </c>
      <c r="F134" s="294">
        <f t="shared" si="13"/>
        <v>100.01315418629375</v>
      </c>
      <c r="G134" s="109">
        <f>G135+G140+G144+G137</f>
        <v>40251698</v>
      </c>
      <c r="H134" s="107">
        <f>H135+H137+H140+H144</f>
        <v>40252794</v>
      </c>
      <c r="I134" s="252">
        <f t="shared" si="15"/>
        <v>100.0027228664987</v>
      </c>
      <c r="J134" s="109"/>
      <c r="K134" s="107"/>
      <c r="L134" s="110"/>
      <c r="M134" s="105">
        <f>M135+M137+M140+M144+M146</f>
        <v>52882151</v>
      </c>
      <c r="N134" s="107">
        <f>N135+N137+N140+N144+N146</f>
        <v>52893306</v>
      </c>
      <c r="O134" s="252">
        <f t="shared" si="19"/>
        <v>100.0210940738776</v>
      </c>
      <c r="P134" s="109"/>
      <c r="Q134" s="107"/>
      <c r="R134" s="253"/>
    </row>
    <row r="135" spans="1:18" ht="40.5" customHeight="1" thickTop="1">
      <c r="A135" s="138" t="s">
        <v>192</v>
      </c>
      <c r="B135" s="139" t="s">
        <v>193</v>
      </c>
      <c r="C135" s="254">
        <f>SUM(C136)</f>
        <v>78044009</v>
      </c>
      <c r="D135" s="144">
        <f>SUM(D136)</f>
        <v>84278363</v>
      </c>
      <c r="E135" s="144">
        <f>SUM(E136)</f>
        <v>84278363</v>
      </c>
      <c r="F135" s="352">
        <f t="shared" si="13"/>
        <v>100</v>
      </c>
      <c r="G135" s="143">
        <f>G136</f>
        <v>37850914</v>
      </c>
      <c r="H135" s="144">
        <f>H136</f>
        <v>37850914</v>
      </c>
      <c r="I135" s="353">
        <f t="shared" si="15"/>
        <v>100</v>
      </c>
      <c r="J135" s="143"/>
      <c r="K135" s="144"/>
      <c r="L135" s="146"/>
      <c r="M135" s="143">
        <f>M136</f>
        <v>46427449</v>
      </c>
      <c r="N135" s="144">
        <f>N136</f>
        <v>46427449</v>
      </c>
      <c r="O135" s="145">
        <f t="shared" si="19"/>
        <v>100</v>
      </c>
      <c r="P135" s="143"/>
      <c r="Q135" s="144"/>
      <c r="R135" s="255"/>
    </row>
    <row r="136" spans="1:18" ht="27" customHeight="1">
      <c r="A136" s="125" t="s">
        <v>194</v>
      </c>
      <c r="B136" s="331" t="s">
        <v>195</v>
      </c>
      <c r="C136" s="332">
        <f>36121645+41922364</f>
        <v>78044009</v>
      </c>
      <c r="D136" s="221">
        <f aca="true" t="shared" si="21" ref="D136:E139">G136+J136+M136+P136</f>
        <v>84278363</v>
      </c>
      <c r="E136" s="221">
        <f t="shared" si="21"/>
        <v>84278363</v>
      </c>
      <c r="F136" s="333"/>
      <c r="G136" s="133">
        <f>37840365+10549</f>
        <v>37850914</v>
      </c>
      <c r="H136" s="131">
        <v>37850914</v>
      </c>
      <c r="I136" s="132"/>
      <c r="J136" s="133"/>
      <c r="K136" s="131"/>
      <c r="L136" s="134"/>
      <c r="M136" s="133">
        <f>46426241+1208</f>
        <v>46427449</v>
      </c>
      <c r="N136" s="131">
        <v>46427449</v>
      </c>
      <c r="O136" s="132"/>
      <c r="P136" s="133"/>
      <c r="Q136" s="131"/>
      <c r="R136" s="270"/>
    </row>
    <row r="137" spans="1:18" s="338" customFormat="1" ht="27" customHeight="1">
      <c r="A137" s="164" t="s">
        <v>196</v>
      </c>
      <c r="B137" s="165" t="s">
        <v>197</v>
      </c>
      <c r="C137" s="354"/>
      <c r="D137" s="141">
        <f t="shared" si="21"/>
        <v>1289509</v>
      </c>
      <c r="E137" s="141">
        <f t="shared" si="21"/>
        <v>1289509</v>
      </c>
      <c r="F137" s="303">
        <f aca="true" t="shared" si="22" ref="F137:F199">E137/D137*100</f>
        <v>100</v>
      </c>
      <c r="G137" s="169">
        <f>G138</f>
        <v>89509</v>
      </c>
      <c r="H137" s="170">
        <f>H138</f>
        <v>89509</v>
      </c>
      <c r="I137" s="261">
        <f>H137/G137*100</f>
        <v>100</v>
      </c>
      <c r="J137" s="169"/>
      <c r="K137" s="170"/>
      <c r="L137" s="172"/>
      <c r="M137" s="169">
        <f>M139</f>
        <v>1200000</v>
      </c>
      <c r="N137" s="170">
        <f>N139</f>
        <v>1200000</v>
      </c>
      <c r="O137" s="261">
        <f>N137/M137*100</f>
        <v>100</v>
      </c>
      <c r="P137" s="169"/>
      <c r="Q137" s="170"/>
      <c r="R137" s="262"/>
    </row>
    <row r="138" spans="1:18" s="326" customFormat="1" ht="27" customHeight="1">
      <c r="A138" s="175" t="s">
        <v>198</v>
      </c>
      <c r="B138" s="176" t="s">
        <v>199</v>
      </c>
      <c r="C138" s="355"/>
      <c r="D138" s="178">
        <f>G138</f>
        <v>89509</v>
      </c>
      <c r="E138" s="178">
        <f>H138</f>
        <v>89509</v>
      </c>
      <c r="F138" s="179">
        <f>E138/D138*100</f>
        <v>100</v>
      </c>
      <c r="G138" s="180">
        <v>89509</v>
      </c>
      <c r="H138" s="181">
        <v>89509</v>
      </c>
      <c r="I138" s="182">
        <f>H138/G138*100</f>
        <v>100</v>
      </c>
      <c r="J138" s="180"/>
      <c r="K138" s="181"/>
      <c r="L138" s="183"/>
      <c r="M138" s="180"/>
      <c r="N138" s="181"/>
      <c r="O138" s="182"/>
      <c r="P138" s="180"/>
      <c r="Q138" s="181"/>
      <c r="R138" s="256"/>
    </row>
    <row r="139" spans="1:18" s="163" customFormat="1" ht="68.25" customHeight="1">
      <c r="A139" s="197" t="s">
        <v>200</v>
      </c>
      <c r="B139" s="273" t="s">
        <v>201</v>
      </c>
      <c r="C139" s="356"/>
      <c r="D139" s="221">
        <f t="shared" si="21"/>
        <v>1200000</v>
      </c>
      <c r="E139" s="221">
        <f t="shared" si="21"/>
        <v>1200000</v>
      </c>
      <c r="F139" s="222">
        <f t="shared" si="22"/>
        <v>100</v>
      </c>
      <c r="G139" s="223"/>
      <c r="H139" s="224"/>
      <c r="I139" s="204"/>
      <c r="J139" s="223"/>
      <c r="K139" s="224"/>
      <c r="L139" s="207"/>
      <c r="M139" s="223">
        <v>1200000</v>
      </c>
      <c r="N139" s="224">
        <v>1200000</v>
      </c>
      <c r="O139" s="204">
        <f>N139/M139*100</f>
        <v>100</v>
      </c>
      <c r="P139" s="223"/>
      <c r="Q139" s="224"/>
      <c r="R139" s="274"/>
    </row>
    <row r="140" spans="1:18" ht="20.25" customHeight="1">
      <c r="A140" s="357" t="s">
        <v>202</v>
      </c>
      <c r="B140" s="165" t="s">
        <v>203</v>
      </c>
      <c r="C140" s="354">
        <f>SUM(C141:C143)</f>
        <v>1070500</v>
      </c>
      <c r="D140" s="167">
        <f>SUM(D141:D143)</f>
        <v>2167309</v>
      </c>
      <c r="E140" s="167">
        <f>SUM(E141:E143)</f>
        <v>2179560</v>
      </c>
      <c r="F140" s="303">
        <f t="shared" si="22"/>
        <v>100.5652631904357</v>
      </c>
      <c r="G140" s="169">
        <f>SUM(G141:G143)</f>
        <v>1822349</v>
      </c>
      <c r="H140" s="170">
        <f>SUM(H141:H143)</f>
        <v>1823445</v>
      </c>
      <c r="I140" s="261">
        <f t="shared" si="15"/>
        <v>100.06014215718284</v>
      </c>
      <c r="J140" s="358"/>
      <c r="K140" s="359"/>
      <c r="L140" s="134"/>
      <c r="M140" s="169">
        <f>SUM(M141:M143)</f>
        <v>344960</v>
      </c>
      <c r="N140" s="170">
        <f>SUM(N141:N143)</f>
        <v>356115</v>
      </c>
      <c r="O140" s="261">
        <f>N140/M140*100</f>
        <v>103.23370825602969</v>
      </c>
      <c r="P140" s="358"/>
      <c r="Q140" s="359"/>
      <c r="R140" s="270"/>
    </row>
    <row r="141" spans="1:18" s="163" customFormat="1" ht="33" customHeight="1">
      <c r="A141" s="150" t="s">
        <v>171</v>
      </c>
      <c r="B141" s="151" t="s">
        <v>172</v>
      </c>
      <c r="C141" s="152">
        <v>500000</v>
      </c>
      <c r="D141" s="92">
        <f aca="true" t="shared" si="23" ref="D141:E143">G141+J141+M141+P141</f>
        <v>850000</v>
      </c>
      <c r="E141" s="92">
        <f t="shared" si="23"/>
        <v>769584</v>
      </c>
      <c r="F141" s="186">
        <f t="shared" si="22"/>
        <v>90.53929411764706</v>
      </c>
      <c r="G141" s="154">
        <f>500000+100000+250000</f>
        <v>850000</v>
      </c>
      <c r="H141" s="155">
        <v>769584</v>
      </c>
      <c r="I141" s="156">
        <f t="shared" si="15"/>
        <v>90.53929411764706</v>
      </c>
      <c r="J141" s="154"/>
      <c r="K141" s="155"/>
      <c r="L141" s="157"/>
      <c r="M141" s="154"/>
      <c r="N141" s="155"/>
      <c r="O141" s="156"/>
      <c r="P141" s="154"/>
      <c r="Q141" s="155"/>
      <c r="R141" s="257"/>
    </row>
    <row r="142" spans="1:18" s="163" customFormat="1" ht="14.25" customHeight="1">
      <c r="A142" s="150" t="s">
        <v>85</v>
      </c>
      <c r="B142" s="151" t="s">
        <v>86</v>
      </c>
      <c r="C142" s="152">
        <f>556300+100</f>
        <v>556400</v>
      </c>
      <c r="D142" s="92">
        <f t="shared" si="23"/>
        <v>915200</v>
      </c>
      <c r="E142" s="92">
        <f t="shared" si="23"/>
        <v>990470</v>
      </c>
      <c r="F142" s="186">
        <f t="shared" si="22"/>
        <v>108.22443181818183</v>
      </c>
      <c r="G142" s="154">
        <f>556300+7900+202000+2500+101400</f>
        <v>870100</v>
      </c>
      <c r="H142" s="155">
        <v>939846</v>
      </c>
      <c r="I142" s="156">
        <f t="shared" si="15"/>
        <v>108.01586024594873</v>
      </c>
      <c r="J142" s="154"/>
      <c r="K142" s="155"/>
      <c r="L142" s="157"/>
      <c r="M142" s="154">
        <f>100+7700+3200+5800+3600+19300+5400</f>
        <v>45100</v>
      </c>
      <c r="N142" s="155">
        <v>50624</v>
      </c>
      <c r="O142" s="156">
        <f>N142/M142*100</f>
        <v>112.24833702882484</v>
      </c>
      <c r="P142" s="154"/>
      <c r="Q142" s="155"/>
      <c r="R142" s="257"/>
    </row>
    <row r="143" spans="1:18" s="163" customFormat="1" ht="42" customHeight="1">
      <c r="A143" s="150" t="s">
        <v>34</v>
      </c>
      <c r="B143" s="151" t="s">
        <v>204</v>
      </c>
      <c r="C143" s="152">
        <f>7800+6300</f>
        <v>14100</v>
      </c>
      <c r="D143" s="92">
        <f t="shared" si="23"/>
        <v>402109</v>
      </c>
      <c r="E143" s="92">
        <f t="shared" si="23"/>
        <v>419506</v>
      </c>
      <c r="F143" s="186">
        <f t="shared" si="22"/>
        <v>104.32643885115726</v>
      </c>
      <c r="G143" s="154">
        <f>7950+3199+600+500+90000</f>
        <v>102249</v>
      </c>
      <c r="H143" s="155">
        <v>114015</v>
      </c>
      <c r="I143" s="156">
        <f t="shared" si="15"/>
        <v>111.50720300443035</v>
      </c>
      <c r="J143" s="154"/>
      <c r="K143" s="155"/>
      <c r="L143" s="157"/>
      <c r="M143" s="154">
        <f>6300+292110+1100+350</f>
        <v>299860</v>
      </c>
      <c r="N143" s="155">
        <v>305491</v>
      </c>
      <c r="O143" s="156">
        <f>N143/M143*100</f>
        <v>101.87787634229306</v>
      </c>
      <c r="P143" s="154"/>
      <c r="Q143" s="155"/>
      <c r="R143" s="257"/>
    </row>
    <row r="144" spans="1:18" ht="25.5" customHeight="1">
      <c r="A144" s="164" t="s">
        <v>205</v>
      </c>
      <c r="B144" s="165" t="s">
        <v>206</v>
      </c>
      <c r="C144" s="166">
        <f>SUM(C145)</f>
        <v>578437</v>
      </c>
      <c r="D144" s="167">
        <f>D145</f>
        <v>488926</v>
      </c>
      <c r="E144" s="167">
        <f>E145</f>
        <v>488926</v>
      </c>
      <c r="F144" s="303">
        <f t="shared" si="22"/>
        <v>100</v>
      </c>
      <c r="G144" s="169">
        <f>G145</f>
        <v>488926</v>
      </c>
      <c r="H144" s="170">
        <f>H145</f>
        <v>488926</v>
      </c>
      <c r="I144" s="261">
        <f t="shared" si="15"/>
        <v>100</v>
      </c>
      <c r="J144" s="358"/>
      <c r="K144" s="359"/>
      <c r="L144" s="134"/>
      <c r="M144" s="289"/>
      <c r="N144" s="290"/>
      <c r="O144" s="132"/>
      <c r="P144" s="289"/>
      <c r="Q144" s="290"/>
      <c r="R144" s="270"/>
    </row>
    <row r="145" spans="1:18" ht="24">
      <c r="A145" s="125" t="s">
        <v>194</v>
      </c>
      <c r="B145" s="331" t="s">
        <v>195</v>
      </c>
      <c r="C145" s="332">
        <v>578437</v>
      </c>
      <c r="D145" s="128">
        <f>G145+J145+M145+P145</f>
        <v>488926</v>
      </c>
      <c r="E145" s="128">
        <f>H145+K145+N145+Q145</f>
        <v>488926</v>
      </c>
      <c r="F145" s="333"/>
      <c r="G145" s="133">
        <f>578437-89511</f>
        <v>488926</v>
      </c>
      <c r="H145" s="131">
        <v>488926</v>
      </c>
      <c r="I145" s="132"/>
      <c r="J145" s="133"/>
      <c r="K145" s="131"/>
      <c r="L145" s="134"/>
      <c r="M145" s="133"/>
      <c r="N145" s="131"/>
      <c r="O145" s="132"/>
      <c r="P145" s="133"/>
      <c r="Q145" s="131"/>
      <c r="R145" s="270"/>
    </row>
    <row r="146" spans="1:18" ht="34.5" customHeight="1">
      <c r="A146" s="164" t="s">
        <v>207</v>
      </c>
      <c r="B146" s="165" t="s">
        <v>208</v>
      </c>
      <c r="C146" s="166">
        <f>C147</f>
        <v>4909742</v>
      </c>
      <c r="D146" s="167">
        <f>D147</f>
        <v>4909742</v>
      </c>
      <c r="E146" s="167">
        <f>E147</f>
        <v>4909742</v>
      </c>
      <c r="F146" s="303">
        <f t="shared" si="22"/>
        <v>100</v>
      </c>
      <c r="G146" s="169"/>
      <c r="H146" s="170"/>
      <c r="I146" s="132"/>
      <c r="J146" s="169"/>
      <c r="K146" s="170"/>
      <c r="L146" s="172"/>
      <c r="M146" s="169">
        <f>M147</f>
        <v>4909742</v>
      </c>
      <c r="N146" s="170">
        <f>N147</f>
        <v>4909742</v>
      </c>
      <c r="O146" s="261">
        <f>N146/M146*100</f>
        <v>100</v>
      </c>
      <c r="P146" s="169"/>
      <c r="Q146" s="170"/>
      <c r="R146" s="262"/>
    </row>
    <row r="147" spans="1:26" s="163" customFormat="1" ht="24" customHeight="1" thickBot="1">
      <c r="A147" s="175" t="s">
        <v>194</v>
      </c>
      <c r="B147" s="277" t="s">
        <v>195</v>
      </c>
      <c r="C147" s="177">
        <v>4909742</v>
      </c>
      <c r="D147" s="178">
        <f>G147+J147+M147+P147</f>
        <v>4909742</v>
      </c>
      <c r="E147" s="178">
        <f>H147+K147+N147+Q147</f>
        <v>4909742</v>
      </c>
      <c r="F147" s="179"/>
      <c r="G147" s="284"/>
      <c r="H147" s="285"/>
      <c r="I147" s="182"/>
      <c r="J147" s="284"/>
      <c r="K147" s="285"/>
      <c r="L147" s="286"/>
      <c r="M147" s="180">
        <v>4909742</v>
      </c>
      <c r="N147" s="181">
        <v>4909742</v>
      </c>
      <c r="O147" s="182"/>
      <c r="P147" s="284"/>
      <c r="Q147" s="285"/>
      <c r="R147" s="287"/>
      <c r="T147" s="360"/>
      <c r="U147" s="360"/>
      <c r="V147" s="360" t="s">
        <v>209</v>
      </c>
      <c r="W147" s="360"/>
      <c r="X147" s="360"/>
      <c r="Y147" s="360" t="s">
        <v>210</v>
      </c>
      <c r="Z147" s="360"/>
    </row>
    <row r="148" spans="1:26" ht="27.75" customHeight="1" thickBot="1" thickTop="1">
      <c r="A148" s="103" t="s">
        <v>211</v>
      </c>
      <c r="B148" s="251" t="s">
        <v>212</v>
      </c>
      <c r="C148" s="64">
        <f>C149+C157+C162+C165+C169+C171+C178+C184+C190</f>
        <v>1025900</v>
      </c>
      <c r="D148" s="64">
        <f>D149+D157+D162+D165+D169+D171+D178+D184+D190</f>
        <v>2410825</v>
      </c>
      <c r="E148" s="64">
        <f>E149+E157+E162+E165+E169+E171+E178+E184+E190</f>
        <v>2415111</v>
      </c>
      <c r="F148" s="294">
        <f t="shared" si="22"/>
        <v>100.17778146485124</v>
      </c>
      <c r="G148" s="64">
        <f>G149+G157+G162+G165+G169+G171+G178+G184+G184+G190</f>
        <v>1546829</v>
      </c>
      <c r="H148" s="64">
        <f>H149+H157+H162+H165+H169+H171+H178+H184+H190</f>
        <v>1543375</v>
      </c>
      <c r="I148" s="252">
        <f t="shared" si="15"/>
        <v>99.77670447088852</v>
      </c>
      <c r="J148" s="109">
        <f>J190</f>
        <v>7100</v>
      </c>
      <c r="K148" s="107">
        <f>K190</f>
        <v>7100</v>
      </c>
      <c r="L148" s="295">
        <f>K148/J148*100</f>
        <v>100</v>
      </c>
      <c r="M148" s="109">
        <f>M157+M171+M178+M184+M190</f>
        <v>856896</v>
      </c>
      <c r="N148" s="107">
        <f>N157+N171+N178+N184+N190</f>
        <v>864636</v>
      </c>
      <c r="O148" s="252">
        <f>N148/M148*100</f>
        <v>100.90326013892002</v>
      </c>
      <c r="P148" s="109"/>
      <c r="Q148" s="107"/>
      <c r="R148" s="112"/>
      <c r="T148" s="360"/>
      <c r="U148" s="360" t="s">
        <v>213</v>
      </c>
      <c r="V148" s="360" t="s">
        <v>214</v>
      </c>
      <c r="W148" s="360" t="s">
        <v>215</v>
      </c>
      <c r="X148" s="360" t="s">
        <v>213</v>
      </c>
      <c r="Y148" s="360" t="s">
        <v>214</v>
      </c>
      <c r="Z148" s="360" t="s">
        <v>215</v>
      </c>
    </row>
    <row r="149" spans="1:26" ht="18.75" customHeight="1" thickTop="1">
      <c r="A149" s="113" t="s">
        <v>216</v>
      </c>
      <c r="B149" s="320" t="s">
        <v>217</v>
      </c>
      <c r="C149" s="115">
        <f>SUM(C150:C156)</f>
        <v>315500</v>
      </c>
      <c r="D149" s="119">
        <f>SUM(D150:D156)</f>
        <v>809160</v>
      </c>
      <c r="E149" s="119">
        <f>SUM(E150:E156)</f>
        <v>818838</v>
      </c>
      <c r="F149" s="142">
        <f t="shared" si="22"/>
        <v>101.1960551683227</v>
      </c>
      <c r="G149" s="121">
        <f>SUM(G150:G156)</f>
        <v>809160</v>
      </c>
      <c r="H149" s="119">
        <f>SUM(H150:H156)</f>
        <v>818838</v>
      </c>
      <c r="I149" s="120">
        <f t="shared" si="15"/>
        <v>101.1960551683227</v>
      </c>
      <c r="J149" s="121"/>
      <c r="K149" s="119"/>
      <c r="L149" s="324"/>
      <c r="M149" s="121"/>
      <c r="N149" s="119"/>
      <c r="O149" s="123"/>
      <c r="P149" s="121"/>
      <c r="Q149" s="119"/>
      <c r="R149" s="124"/>
      <c r="T149" s="360">
        <v>69</v>
      </c>
      <c r="U149" s="361">
        <f>C150+C166</f>
        <v>5800</v>
      </c>
      <c r="V149" s="361">
        <f>D150+D166</f>
        <v>5900</v>
      </c>
      <c r="W149" s="361">
        <f>E150+E166</f>
        <v>5644</v>
      </c>
      <c r="X149" s="361">
        <f aca="true" t="shared" si="24" ref="X149:Z150">C158+C172+C179+C185</f>
        <v>6600</v>
      </c>
      <c r="Y149" s="361">
        <f t="shared" si="24"/>
        <v>9500</v>
      </c>
      <c r="Z149" s="361">
        <f t="shared" si="24"/>
        <v>10113</v>
      </c>
    </row>
    <row r="150" spans="1:26" s="163" customFormat="1" ht="24">
      <c r="A150" s="175" t="s">
        <v>61</v>
      </c>
      <c r="B150" s="277" t="s">
        <v>218</v>
      </c>
      <c r="C150" s="177">
        <v>4300</v>
      </c>
      <c r="D150" s="178">
        <f aca="true" t="shared" si="25" ref="D150:E156">G150+J150+M150+P150</f>
        <v>4400</v>
      </c>
      <c r="E150" s="178">
        <f t="shared" si="25"/>
        <v>3693</v>
      </c>
      <c r="F150" s="179">
        <f t="shared" si="22"/>
        <v>83.93181818181819</v>
      </c>
      <c r="G150" s="180">
        <f>4300+100</f>
        <v>4400</v>
      </c>
      <c r="H150" s="181">
        <v>3693</v>
      </c>
      <c r="I150" s="182">
        <f t="shared" si="15"/>
        <v>83.93181818181819</v>
      </c>
      <c r="J150" s="180"/>
      <c r="K150" s="181"/>
      <c r="L150" s="183"/>
      <c r="M150" s="180"/>
      <c r="N150" s="181"/>
      <c r="O150" s="184"/>
      <c r="P150" s="180"/>
      <c r="Q150" s="181"/>
      <c r="R150" s="185"/>
      <c r="T150" s="362">
        <v>75</v>
      </c>
      <c r="U150" s="363">
        <f>C151+C163+C167</f>
        <v>460600</v>
      </c>
      <c r="V150" s="363">
        <f>D151+D163+D167</f>
        <v>824900</v>
      </c>
      <c r="W150" s="363">
        <f>E151+E163+E167</f>
        <v>829252</v>
      </c>
      <c r="X150" s="363">
        <f t="shared" si="24"/>
        <v>358700</v>
      </c>
      <c r="Y150" s="363">
        <f t="shared" si="24"/>
        <v>692300</v>
      </c>
      <c r="Z150" s="363">
        <f t="shared" si="24"/>
        <v>674967</v>
      </c>
    </row>
    <row r="151" spans="1:26" s="163" customFormat="1" ht="59.25" customHeight="1">
      <c r="A151" s="150" t="s">
        <v>63</v>
      </c>
      <c r="B151" s="90" t="s">
        <v>64</v>
      </c>
      <c r="C151" s="152">
        <v>303400</v>
      </c>
      <c r="D151" s="92">
        <f t="shared" si="25"/>
        <v>539100</v>
      </c>
      <c r="E151" s="92">
        <f t="shared" si="25"/>
        <v>544763</v>
      </c>
      <c r="F151" s="186">
        <f t="shared" si="22"/>
        <v>101.05045446113894</v>
      </c>
      <c r="G151" s="154">
        <f>303400+112000+77000+19100+27600</f>
        <v>539100</v>
      </c>
      <c r="H151" s="155">
        <v>544763</v>
      </c>
      <c r="I151" s="156">
        <f t="shared" si="15"/>
        <v>101.05045446113894</v>
      </c>
      <c r="J151" s="154"/>
      <c r="K151" s="155"/>
      <c r="L151" s="157"/>
      <c r="M151" s="154"/>
      <c r="N151" s="155"/>
      <c r="O151" s="160"/>
      <c r="P151" s="154"/>
      <c r="Q151" s="155"/>
      <c r="R151" s="158"/>
      <c r="T151" s="364">
        <v>83</v>
      </c>
      <c r="U151" s="365">
        <f>C152+C170</f>
        <v>5000</v>
      </c>
      <c r="V151" s="365">
        <f>D152+D170</f>
        <v>24400</v>
      </c>
      <c r="W151" s="365">
        <f>E152+E170</f>
        <v>26748</v>
      </c>
      <c r="X151" s="365">
        <f>C160+C174+C181</f>
        <v>11200</v>
      </c>
      <c r="Y151" s="365">
        <f>D160+D174+D181</f>
        <v>11800</v>
      </c>
      <c r="Z151" s="365">
        <f>E160+E174+E181</f>
        <v>11801</v>
      </c>
    </row>
    <row r="152" spans="1:26" ht="14.25" customHeight="1">
      <c r="A152" s="150" t="s">
        <v>95</v>
      </c>
      <c r="B152" s="151" t="s">
        <v>96</v>
      </c>
      <c r="C152" s="152">
        <v>5000</v>
      </c>
      <c r="D152" s="92">
        <f t="shared" si="25"/>
        <v>10000</v>
      </c>
      <c r="E152" s="92">
        <f t="shared" si="25"/>
        <v>11446</v>
      </c>
      <c r="F152" s="186">
        <f t="shared" si="22"/>
        <v>114.46000000000001</v>
      </c>
      <c r="G152" s="154">
        <f>5000+2000+3000</f>
        <v>10000</v>
      </c>
      <c r="H152" s="155">
        <v>11446</v>
      </c>
      <c r="I152" s="156">
        <f t="shared" si="15"/>
        <v>114.46000000000001</v>
      </c>
      <c r="J152" s="154"/>
      <c r="K152" s="155"/>
      <c r="L152" s="157"/>
      <c r="M152" s="154"/>
      <c r="N152" s="155"/>
      <c r="O152" s="160"/>
      <c r="P152" s="154"/>
      <c r="Q152" s="155"/>
      <c r="R152" s="158"/>
      <c r="T152" s="366">
        <v>87</v>
      </c>
      <c r="U152" s="361">
        <f>C153+C168</f>
        <v>0</v>
      </c>
      <c r="V152" s="361">
        <f>D153+D168</f>
        <v>1500</v>
      </c>
      <c r="W152" s="361">
        <f>E153+E168</f>
        <v>6117</v>
      </c>
      <c r="X152" s="361">
        <f>C175+C187</f>
        <v>0</v>
      </c>
      <c r="Y152" s="361">
        <f>D175+D187</f>
        <v>7400</v>
      </c>
      <c r="Z152" s="361">
        <f>E175+E187</f>
        <v>4191</v>
      </c>
    </row>
    <row r="153" spans="1:26" s="163" customFormat="1" ht="23.25" customHeight="1">
      <c r="A153" s="150" t="s">
        <v>32</v>
      </c>
      <c r="B153" s="161" t="s">
        <v>33</v>
      </c>
      <c r="C153" s="152"/>
      <c r="D153" s="92">
        <f t="shared" si="25"/>
        <v>1500</v>
      </c>
      <c r="E153" s="92">
        <f t="shared" si="25"/>
        <v>5490</v>
      </c>
      <c r="F153" s="186">
        <f t="shared" si="22"/>
        <v>366</v>
      </c>
      <c r="G153" s="154">
        <v>1500</v>
      </c>
      <c r="H153" s="155">
        <v>5490</v>
      </c>
      <c r="I153" s="156">
        <f t="shared" si="15"/>
        <v>366</v>
      </c>
      <c r="J153" s="154"/>
      <c r="K153" s="155"/>
      <c r="L153" s="157"/>
      <c r="M153" s="154"/>
      <c r="N153" s="155"/>
      <c r="O153" s="160"/>
      <c r="P153" s="154"/>
      <c r="Q153" s="155"/>
      <c r="R153" s="158"/>
      <c r="T153" s="366">
        <v>92</v>
      </c>
      <c r="U153" s="361">
        <f>C154</f>
        <v>200</v>
      </c>
      <c r="V153" s="361">
        <f>D154</f>
        <v>7200</v>
      </c>
      <c r="W153" s="361">
        <f>E154</f>
        <v>7222</v>
      </c>
      <c r="X153" s="361">
        <f>C176+C182+C188</f>
        <v>0</v>
      </c>
      <c r="Y153" s="361">
        <f>D176+D182+D188</f>
        <v>470</v>
      </c>
      <c r="Z153" s="361">
        <f>E176+E182+E188</f>
        <v>504</v>
      </c>
    </row>
    <row r="154" spans="1:26" ht="14.25" customHeight="1">
      <c r="A154" s="150" t="s">
        <v>85</v>
      </c>
      <c r="B154" s="161" t="s">
        <v>127</v>
      </c>
      <c r="C154" s="152">
        <v>200</v>
      </c>
      <c r="D154" s="92">
        <f t="shared" si="25"/>
        <v>7200</v>
      </c>
      <c r="E154" s="92">
        <f t="shared" si="25"/>
        <v>7222</v>
      </c>
      <c r="F154" s="186">
        <f t="shared" si="22"/>
        <v>100.30555555555556</v>
      </c>
      <c r="G154" s="154">
        <f>200+7000</f>
        <v>7200</v>
      </c>
      <c r="H154" s="155">
        <v>7222</v>
      </c>
      <c r="I154" s="156">
        <f t="shared" si="15"/>
        <v>100.30555555555556</v>
      </c>
      <c r="J154" s="154"/>
      <c r="K154" s="155"/>
      <c r="L154" s="157"/>
      <c r="M154" s="154"/>
      <c r="N154" s="155"/>
      <c r="O154" s="160"/>
      <c r="P154" s="154"/>
      <c r="Q154" s="155"/>
      <c r="R154" s="158"/>
      <c r="T154" s="366">
        <v>97</v>
      </c>
      <c r="U154" s="361">
        <f>C155+C164</f>
        <v>2600</v>
      </c>
      <c r="V154" s="361">
        <f>D155+D164</f>
        <v>53500</v>
      </c>
      <c r="W154" s="361">
        <f>E155+E164</f>
        <v>54073</v>
      </c>
      <c r="X154" s="361">
        <f>C161+C177+C183+C189</f>
        <v>1100</v>
      </c>
      <c r="Y154" s="361">
        <f>D161+D177+D183+D189</f>
        <v>3780</v>
      </c>
      <c r="Z154" s="361">
        <f>E161+E177+E183+E189</f>
        <v>4117</v>
      </c>
    </row>
    <row r="155" spans="1:26" s="163" customFormat="1" ht="14.25" customHeight="1">
      <c r="A155" s="197" t="s">
        <v>34</v>
      </c>
      <c r="B155" s="300" t="s">
        <v>35</v>
      </c>
      <c r="C155" s="220">
        <v>2600</v>
      </c>
      <c r="D155" s="221">
        <f t="shared" si="25"/>
        <v>3500</v>
      </c>
      <c r="E155" s="221">
        <f t="shared" si="25"/>
        <v>2764</v>
      </c>
      <c r="F155" s="222">
        <f t="shared" si="22"/>
        <v>78.97142857142858</v>
      </c>
      <c r="G155" s="223">
        <f>2600+900</f>
        <v>3500</v>
      </c>
      <c r="H155" s="224">
        <v>2764</v>
      </c>
      <c r="I155" s="204">
        <f t="shared" si="15"/>
        <v>78.97142857142858</v>
      </c>
      <c r="J155" s="223"/>
      <c r="K155" s="224"/>
      <c r="L155" s="207"/>
      <c r="M155" s="223"/>
      <c r="N155" s="224"/>
      <c r="O155" s="367"/>
      <c r="P155" s="223"/>
      <c r="Q155" s="224"/>
      <c r="R155" s="368"/>
      <c r="T155" s="366">
        <v>2030</v>
      </c>
      <c r="U155" s="361">
        <f>C156+C191</f>
        <v>174100</v>
      </c>
      <c r="V155" s="361">
        <f>D156+D191</f>
        <v>418252</v>
      </c>
      <c r="W155" s="361">
        <f>E156+E191</f>
        <v>402211</v>
      </c>
      <c r="X155" s="361">
        <f>C193</f>
        <v>0</v>
      </c>
      <c r="Y155" s="361">
        <f>D193</f>
        <v>45640</v>
      </c>
      <c r="Z155" s="361">
        <f>E193</f>
        <v>45484</v>
      </c>
    </row>
    <row r="156" spans="1:26" ht="48">
      <c r="A156" s="150" t="s">
        <v>219</v>
      </c>
      <c r="B156" s="151" t="s">
        <v>220</v>
      </c>
      <c r="C156" s="152"/>
      <c r="D156" s="92">
        <f t="shared" si="25"/>
        <v>243460</v>
      </c>
      <c r="E156" s="92">
        <f t="shared" si="25"/>
        <v>243460</v>
      </c>
      <c r="F156" s="186">
        <f>E156/D156*100</f>
        <v>100</v>
      </c>
      <c r="G156" s="154">
        <v>243460</v>
      </c>
      <c r="H156" s="155">
        <v>243460</v>
      </c>
      <c r="I156" s="156">
        <f>H156/G156*100</f>
        <v>100</v>
      </c>
      <c r="J156" s="154"/>
      <c r="K156" s="155"/>
      <c r="L156" s="157"/>
      <c r="M156" s="154"/>
      <c r="N156" s="155"/>
      <c r="O156" s="160"/>
      <c r="P156" s="154"/>
      <c r="Q156" s="155"/>
      <c r="R156" s="158"/>
      <c r="T156" s="366">
        <v>6430</v>
      </c>
      <c r="U156" s="360"/>
      <c r="V156" s="360"/>
      <c r="W156" s="360"/>
      <c r="X156" s="361">
        <f>C203</f>
        <v>0</v>
      </c>
      <c r="Y156" s="361">
        <f>D203</f>
        <v>48425</v>
      </c>
      <c r="Z156" s="361">
        <f>E203</f>
        <v>48425</v>
      </c>
    </row>
    <row r="157" spans="1:26" ht="24">
      <c r="A157" s="164" t="s">
        <v>221</v>
      </c>
      <c r="B157" s="165" t="s">
        <v>222</v>
      </c>
      <c r="C157" s="276">
        <f>SUM(C158:C161)</f>
        <v>2300</v>
      </c>
      <c r="D157" s="167">
        <f>SUM(D158:D161)</f>
        <v>6190</v>
      </c>
      <c r="E157" s="167">
        <f>SUM(E158:E161)</f>
        <v>6339</v>
      </c>
      <c r="F157" s="303">
        <f t="shared" si="22"/>
        <v>102.40710823909531</v>
      </c>
      <c r="G157" s="169"/>
      <c r="H157" s="170"/>
      <c r="I157" s="132"/>
      <c r="J157" s="358"/>
      <c r="K157" s="359"/>
      <c r="L157" s="134"/>
      <c r="M157" s="276">
        <f>SUM(M158:M161)</f>
        <v>6190</v>
      </c>
      <c r="N157" s="167">
        <f>SUM(N158:N161)</f>
        <v>6339</v>
      </c>
      <c r="O157" s="261">
        <f>N157/M157*100</f>
        <v>102.40710823909531</v>
      </c>
      <c r="P157" s="289"/>
      <c r="Q157" s="290"/>
      <c r="R157" s="369"/>
      <c r="T157" s="366">
        <v>2700</v>
      </c>
      <c r="U157" s="361">
        <f>C194</f>
        <v>0</v>
      </c>
      <c r="V157" s="361">
        <f>D194</f>
        <v>6859</v>
      </c>
      <c r="W157" s="361">
        <f>E194</f>
        <v>6496</v>
      </c>
      <c r="X157" s="360"/>
      <c r="Y157" s="360"/>
      <c r="Z157" s="360"/>
    </row>
    <row r="158" spans="1:26" ht="15" customHeight="1">
      <c r="A158" s="175" t="s">
        <v>61</v>
      </c>
      <c r="B158" s="277" t="s">
        <v>223</v>
      </c>
      <c r="C158" s="177">
        <v>100</v>
      </c>
      <c r="D158" s="178">
        <f aca="true" t="shared" si="26" ref="D158:E161">G158+J158+M158+P158</f>
        <v>200</v>
      </c>
      <c r="E158" s="178">
        <f t="shared" si="26"/>
        <v>279</v>
      </c>
      <c r="F158" s="179">
        <f t="shared" si="22"/>
        <v>139.5</v>
      </c>
      <c r="G158" s="180"/>
      <c r="H158" s="181"/>
      <c r="I158" s="182"/>
      <c r="J158" s="180"/>
      <c r="K158" s="181"/>
      <c r="L158" s="183"/>
      <c r="M158" s="180">
        <f>100+100</f>
        <v>200</v>
      </c>
      <c r="N158" s="181">
        <v>279</v>
      </c>
      <c r="O158" s="182">
        <f>N158/M158*100</f>
        <v>139.5</v>
      </c>
      <c r="P158" s="180"/>
      <c r="Q158" s="181"/>
      <c r="R158" s="185"/>
      <c r="T158" s="366">
        <v>2707</v>
      </c>
      <c r="U158" s="361">
        <f>C196+C197+C198+C199</f>
        <v>0</v>
      </c>
      <c r="V158" s="361">
        <f>D196+D197+D198+D199</f>
        <v>169164</v>
      </c>
      <c r="W158" s="361">
        <f>E196+E197+E198+E199</f>
        <v>170458</v>
      </c>
      <c r="X158" s="361">
        <f>C200</f>
        <v>0</v>
      </c>
      <c r="Y158" s="361">
        <f>D200</f>
        <v>37581</v>
      </c>
      <c r="Z158" s="361">
        <f>E200</f>
        <v>65034</v>
      </c>
    </row>
    <row r="159" spans="1:26" ht="57" customHeight="1">
      <c r="A159" s="150" t="s">
        <v>63</v>
      </c>
      <c r="B159" s="90" t="s">
        <v>64</v>
      </c>
      <c r="C159" s="152">
        <v>2200</v>
      </c>
      <c r="D159" s="92">
        <f t="shared" si="26"/>
        <v>4500</v>
      </c>
      <c r="E159" s="92">
        <f t="shared" si="26"/>
        <v>4587</v>
      </c>
      <c r="F159" s="186">
        <f t="shared" si="22"/>
        <v>101.93333333333334</v>
      </c>
      <c r="G159" s="154"/>
      <c r="H159" s="155"/>
      <c r="I159" s="156"/>
      <c r="J159" s="154"/>
      <c r="K159" s="155"/>
      <c r="L159" s="157"/>
      <c r="M159" s="154">
        <f>2200+1100+1200</f>
        <v>4500</v>
      </c>
      <c r="N159" s="155">
        <v>4587</v>
      </c>
      <c r="O159" s="156">
        <f>N159/M159*100</f>
        <v>101.93333333333334</v>
      </c>
      <c r="P159" s="154"/>
      <c r="Q159" s="155"/>
      <c r="R159" s="158"/>
      <c r="T159" s="366" t="s">
        <v>224</v>
      </c>
      <c r="U159" s="361">
        <f>C201+C202</f>
        <v>0</v>
      </c>
      <c r="V159" s="361">
        <f>D201+D202</f>
        <v>35154</v>
      </c>
      <c r="W159" s="361">
        <f>E201+E202</f>
        <v>35154</v>
      </c>
      <c r="X159" s="360"/>
      <c r="Y159" s="360"/>
      <c r="Z159" s="360"/>
    </row>
    <row r="160" spans="1:26" ht="14.25" customHeight="1">
      <c r="A160" s="150" t="s">
        <v>95</v>
      </c>
      <c r="B160" s="151" t="s">
        <v>96</v>
      </c>
      <c r="C160" s="152"/>
      <c r="D160" s="92">
        <f>G160+J160+M160+P160</f>
        <v>800</v>
      </c>
      <c r="E160" s="92">
        <f>H160+K160+N160+Q160</f>
        <v>786</v>
      </c>
      <c r="F160" s="186">
        <f t="shared" si="22"/>
        <v>98.25</v>
      </c>
      <c r="G160" s="154"/>
      <c r="H160" s="155"/>
      <c r="I160" s="156"/>
      <c r="J160" s="154"/>
      <c r="K160" s="155"/>
      <c r="L160" s="157"/>
      <c r="M160" s="154">
        <v>800</v>
      </c>
      <c r="N160" s="155">
        <v>786</v>
      </c>
      <c r="O160" s="156">
        <f>N160/M160*100</f>
        <v>98.25</v>
      </c>
      <c r="P160" s="154"/>
      <c r="Q160" s="155"/>
      <c r="R160" s="158"/>
      <c r="T160" s="360"/>
      <c r="U160" s="360"/>
      <c r="V160" s="360"/>
      <c r="W160" s="360"/>
      <c r="X160" s="360"/>
      <c r="Y160" s="360"/>
      <c r="Z160" s="360"/>
    </row>
    <row r="161" spans="1:26" ht="16.5" customHeight="1">
      <c r="A161" s="197" t="s">
        <v>34</v>
      </c>
      <c r="B161" s="273" t="s">
        <v>35</v>
      </c>
      <c r="C161" s="220"/>
      <c r="D161" s="221">
        <f t="shared" si="26"/>
        <v>690</v>
      </c>
      <c r="E161" s="221">
        <f t="shared" si="26"/>
        <v>687</v>
      </c>
      <c r="F161" s="186">
        <f t="shared" si="22"/>
        <v>99.56521739130434</v>
      </c>
      <c r="G161" s="223"/>
      <c r="H161" s="224"/>
      <c r="I161" s="204"/>
      <c r="J161" s="223"/>
      <c r="K161" s="224"/>
      <c r="L161" s="207"/>
      <c r="M161" s="223">
        <v>690</v>
      </c>
      <c r="N161" s="224">
        <v>687</v>
      </c>
      <c r="O161" s="156">
        <f>N161/M161*100</f>
        <v>99.56521739130434</v>
      </c>
      <c r="P161" s="223"/>
      <c r="Q161" s="224"/>
      <c r="R161" s="368"/>
      <c r="T161" s="360"/>
      <c r="U161" s="361">
        <f aca="true" t="shared" si="27" ref="U161:Z161">SUM(U149:U159)</f>
        <v>648300</v>
      </c>
      <c r="V161" s="361">
        <f t="shared" si="27"/>
        <v>1546829</v>
      </c>
      <c r="W161" s="361">
        <f t="shared" si="27"/>
        <v>1543375</v>
      </c>
      <c r="X161" s="361">
        <f t="shared" si="27"/>
        <v>377600</v>
      </c>
      <c r="Y161" s="361">
        <f t="shared" si="27"/>
        <v>856896</v>
      </c>
      <c r="Z161" s="361">
        <f t="shared" si="27"/>
        <v>864636</v>
      </c>
    </row>
    <row r="162" spans="1:18" ht="13.5" customHeight="1">
      <c r="A162" s="370" t="s">
        <v>225</v>
      </c>
      <c r="B162" s="371" t="s">
        <v>226</v>
      </c>
      <c r="C162" s="372">
        <f>SUM(C163:C164)</f>
        <v>76700</v>
      </c>
      <c r="D162" s="210">
        <f>SUM(D163:D164)</f>
        <v>126700</v>
      </c>
      <c r="E162" s="210">
        <f>SUM(E163:E164)</f>
        <v>132664</v>
      </c>
      <c r="F162" s="303">
        <f t="shared" si="22"/>
        <v>104.70718232044199</v>
      </c>
      <c r="G162" s="373">
        <f>SUM(G163:G164)</f>
        <v>126700</v>
      </c>
      <c r="H162" s="290">
        <f>SUM(H163:H164)</f>
        <v>132664</v>
      </c>
      <c r="I162" s="261">
        <f aca="true" t="shared" si="28" ref="I162:I167">H162/G162*100</f>
        <v>104.70718232044199</v>
      </c>
      <c r="J162" s="289"/>
      <c r="K162" s="290"/>
      <c r="L162" s="374"/>
      <c r="M162" s="289"/>
      <c r="N162" s="290"/>
      <c r="O162" s="375"/>
      <c r="P162" s="289"/>
      <c r="Q162" s="290"/>
      <c r="R162" s="376"/>
    </row>
    <row r="163" spans="1:18" ht="58.5" customHeight="1">
      <c r="A163" s="150" t="s">
        <v>63</v>
      </c>
      <c r="B163" s="90" t="s">
        <v>64</v>
      </c>
      <c r="C163" s="152">
        <v>76700</v>
      </c>
      <c r="D163" s="92">
        <f>G163+J163+M163+P163</f>
        <v>76700</v>
      </c>
      <c r="E163" s="92">
        <f>H163+K163+N163+Q163</f>
        <v>81355</v>
      </c>
      <c r="F163" s="186">
        <f>E163/D163*100</f>
        <v>106.06910039113428</v>
      </c>
      <c r="G163" s="301">
        <v>76700</v>
      </c>
      <c r="H163" s="155">
        <v>81355</v>
      </c>
      <c r="I163" s="156">
        <f>H163/G163*100</f>
        <v>106.06910039113428</v>
      </c>
      <c r="J163" s="154"/>
      <c r="K163" s="155"/>
      <c r="L163" s="157"/>
      <c r="M163" s="154"/>
      <c r="N163" s="155"/>
      <c r="O163" s="156"/>
      <c r="P163" s="154"/>
      <c r="Q163" s="155"/>
      <c r="R163" s="158"/>
    </row>
    <row r="164" spans="1:18" ht="36" customHeight="1">
      <c r="A164" s="197" t="s">
        <v>34</v>
      </c>
      <c r="B164" s="300" t="s">
        <v>227</v>
      </c>
      <c r="C164" s="220"/>
      <c r="D164" s="221">
        <f>G164+J164+M164+P164</f>
        <v>50000</v>
      </c>
      <c r="E164" s="221">
        <f>H164+K164+N164+Q164</f>
        <v>51309</v>
      </c>
      <c r="F164" s="222">
        <f>E164/D164*100</f>
        <v>102.61800000000001</v>
      </c>
      <c r="G164" s="302">
        <v>50000</v>
      </c>
      <c r="H164" s="224">
        <v>51309</v>
      </c>
      <c r="I164" s="204">
        <f>H164/G164*100</f>
        <v>102.61800000000001</v>
      </c>
      <c r="J164" s="223"/>
      <c r="K164" s="224"/>
      <c r="L164" s="207"/>
      <c r="M164" s="223"/>
      <c r="N164" s="224"/>
      <c r="O164" s="204"/>
      <c r="P164" s="223"/>
      <c r="Q164" s="224"/>
      <c r="R164" s="368"/>
    </row>
    <row r="165" spans="1:18" ht="18" customHeight="1">
      <c r="A165" s="164" t="s">
        <v>228</v>
      </c>
      <c r="B165" s="165" t="s">
        <v>229</v>
      </c>
      <c r="C165" s="336">
        <f>SUM(C166:C167)</f>
        <v>82000</v>
      </c>
      <c r="D165" s="170">
        <f>SUM(D166:D167)</f>
        <v>210600</v>
      </c>
      <c r="E165" s="170">
        <f>SUM(E166:E168)</f>
        <v>205712</v>
      </c>
      <c r="F165" s="142">
        <f t="shared" si="22"/>
        <v>97.67901234567901</v>
      </c>
      <c r="G165" s="143">
        <f>SUM(G166:G167)</f>
        <v>210600</v>
      </c>
      <c r="H165" s="144">
        <f>SUM(H166:H168)</f>
        <v>205712</v>
      </c>
      <c r="I165" s="145">
        <f t="shared" si="28"/>
        <v>97.67901234567901</v>
      </c>
      <c r="J165" s="169"/>
      <c r="K165" s="170"/>
      <c r="L165" s="172"/>
      <c r="M165" s="169"/>
      <c r="N165" s="170"/>
      <c r="O165" s="173"/>
      <c r="P165" s="169"/>
      <c r="Q165" s="170"/>
      <c r="R165" s="174"/>
    </row>
    <row r="166" spans="1:18" s="163" customFormat="1" ht="25.5" customHeight="1">
      <c r="A166" s="175" t="s">
        <v>61</v>
      </c>
      <c r="B166" s="277" t="s">
        <v>218</v>
      </c>
      <c r="C166" s="177">
        <v>1500</v>
      </c>
      <c r="D166" s="178">
        <f>G166+J166+M166+P166</f>
        <v>1500</v>
      </c>
      <c r="E166" s="178">
        <f>H166+K166+N166+Q166</f>
        <v>1951</v>
      </c>
      <c r="F166" s="179">
        <f t="shared" si="22"/>
        <v>130.06666666666666</v>
      </c>
      <c r="G166" s="180">
        <v>1500</v>
      </c>
      <c r="H166" s="181">
        <v>1951</v>
      </c>
      <c r="I166" s="182">
        <f t="shared" si="28"/>
        <v>130.06666666666666</v>
      </c>
      <c r="J166" s="180"/>
      <c r="K166" s="181"/>
      <c r="L166" s="183"/>
      <c r="M166" s="180"/>
      <c r="N166" s="181"/>
      <c r="O166" s="182"/>
      <c r="P166" s="180"/>
      <c r="Q166" s="181"/>
      <c r="R166" s="185"/>
    </row>
    <row r="167" spans="1:18" s="163" customFormat="1" ht="59.25" customHeight="1">
      <c r="A167" s="150" t="s">
        <v>63</v>
      </c>
      <c r="B167" s="90" t="s">
        <v>64</v>
      </c>
      <c r="C167" s="152">
        <v>80500</v>
      </c>
      <c r="D167" s="92">
        <f>G167+J167+M167+P167</f>
        <v>209100</v>
      </c>
      <c r="E167" s="92">
        <f>H167+K167+N167+Q167</f>
        <v>203134</v>
      </c>
      <c r="F167" s="186">
        <f t="shared" si="22"/>
        <v>97.14681970349115</v>
      </c>
      <c r="G167" s="154">
        <f>80500+69900+44700+14000</f>
        <v>209100</v>
      </c>
      <c r="H167" s="155">
        <v>203134</v>
      </c>
      <c r="I167" s="156">
        <f t="shared" si="28"/>
        <v>97.14681970349115</v>
      </c>
      <c r="J167" s="154"/>
      <c r="K167" s="155"/>
      <c r="L167" s="157"/>
      <c r="M167" s="154"/>
      <c r="N167" s="155"/>
      <c r="O167" s="156"/>
      <c r="P167" s="154"/>
      <c r="Q167" s="155"/>
      <c r="R167" s="158"/>
    </row>
    <row r="168" spans="1:18" s="163" customFormat="1" ht="26.25" customHeight="1">
      <c r="A168" s="197" t="s">
        <v>32</v>
      </c>
      <c r="B168" s="300" t="s">
        <v>33</v>
      </c>
      <c r="C168" s="220"/>
      <c r="D168" s="221"/>
      <c r="E168" s="221">
        <f>H168+K168+N168+Q168</f>
        <v>627</v>
      </c>
      <c r="F168" s="222"/>
      <c r="G168" s="223"/>
      <c r="H168" s="224">
        <v>627</v>
      </c>
      <c r="I168" s="204"/>
      <c r="J168" s="223"/>
      <c r="K168" s="224"/>
      <c r="L168" s="207"/>
      <c r="M168" s="223"/>
      <c r="N168" s="224"/>
      <c r="O168" s="204"/>
      <c r="P168" s="223"/>
      <c r="Q168" s="224"/>
      <c r="R168" s="368"/>
    </row>
    <row r="169" spans="1:18" ht="37.5" customHeight="1">
      <c r="A169" s="164" t="s">
        <v>230</v>
      </c>
      <c r="B169" s="165" t="s">
        <v>231</v>
      </c>
      <c r="C169" s="336">
        <f>C170</f>
        <v>0</v>
      </c>
      <c r="D169" s="170">
        <f>D170</f>
        <v>14400</v>
      </c>
      <c r="E169" s="170">
        <f>E170</f>
        <v>15302</v>
      </c>
      <c r="F169" s="142">
        <f>E169/D169*100</f>
        <v>106.26388888888889</v>
      </c>
      <c r="G169" s="143">
        <f>SUM(G170:G171)</f>
        <v>14400</v>
      </c>
      <c r="H169" s="144">
        <f>SUM(H170:H171)</f>
        <v>15302</v>
      </c>
      <c r="I169" s="145">
        <f>H169/G169*100</f>
        <v>106.26388888888889</v>
      </c>
      <c r="J169" s="169"/>
      <c r="K169" s="170"/>
      <c r="L169" s="172"/>
      <c r="M169" s="169"/>
      <c r="N169" s="170"/>
      <c r="O169" s="173"/>
      <c r="P169" s="169"/>
      <c r="Q169" s="170"/>
      <c r="R169" s="174"/>
    </row>
    <row r="170" spans="1:18" ht="15.75" customHeight="1">
      <c r="A170" s="150" t="s">
        <v>95</v>
      </c>
      <c r="B170" s="151" t="s">
        <v>96</v>
      </c>
      <c r="C170" s="152"/>
      <c r="D170" s="92">
        <f>G170+J170+M170+P170</f>
        <v>14400</v>
      </c>
      <c r="E170" s="92">
        <f>H170+K170+N170+Q170</f>
        <v>15302</v>
      </c>
      <c r="F170" s="186"/>
      <c r="G170" s="154">
        <v>14400</v>
      </c>
      <c r="H170" s="155">
        <v>15302</v>
      </c>
      <c r="I170" s="156"/>
      <c r="J170" s="154"/>
      <c r="K170" s="155"/>
      <c r="L170" s="157"/>
      <c r="M170" s="154"/>
      <c r="N170" s="155"/>
      <c r="O170" s="156"/>
      <c r="P170" s="154"/>
      <c r="Q170" s="155"/>
      <c r="R170" s="158"/>
    </row>
    <row r="171" spans="1:18" ht="19.5" customHeight="1">
      <c r="A171" s="164" t="s">
        <v>232</v>
      </c>
      <c r="B171" s="165" t="s">
        <v>233</v>
      </c>
      <c r="C171" s="166">
        <f>SUM(C172:C177)</f>
        <v>122600</v>
      </c>
      <c r="D171" s="167">
        <f>SUM(D172:D177)</f>
        <v>296070</v>
      </c>
      <c r="E171" s="167">
        <f>SUM(E172:E177)</f>
        <v>290262</v>
      </c>
      <c r="F171" s="303">
        <f t="shared" si="22"/>
        <v>98.03830175296383</v>
      </c>
      <c r="G171" s="169"/>
      <c r="H171" s="170"/>
      <c r="I171" s="132"/>
      <c r="J171" s="358"/>
      <c r="K171" s="359"/>
      <c r="L171" s="134"/>
      <c r="M171" s="289">
        <f>SUM(M172:M177)</f>
        <v>296070</v>
      </c>
      <c r="N171" s="290">
        <f>SUM(N172:N177)</f>
        <v>290262</v>
      </c>
      <c r="O171" s="261">
        <f aca="true" t="shared" si="29" ref="O171:O189">N171/M171*100</f>
        <v>98.03830175296383</v>
      </c>
      <c r="P171" s="289"/>
      <c r="Q171" s="290"/>
      <c r="R171" s="369"/>
    </row>
    <row r="172" spans="1:18" ht="24">
      <c r="A172" s="175" t="s">
        <v>61</v>
      </c>
      <c r="B172" s="277" t="s">
        <v>218</v>
      </c>
      <c r="C172" s="177">
        <v>2800</v>
      </c>
      <c r="D172" s="178">
        <f aca="true" t="shared" si="30" ref="D172:E177">G172+J172+M172+P172</f>
        <v>3600</v>
      </c>
      <c r="E172" s="178">
        <f t="shared" si="30"/>
        <v>3783</v>
      </c>
      <c r="F172" s="179">
        <f t="shared" si="22"/>
        <v>105.08333333333333</v>
      </c>
      <c r="G172" s="180"/>
      <c r="H172" s="181"/>
      <c r="I172" s="182"/>
      <c r="J172" s="180"/>
      <c r="K172" s="181"/>
      <c r="L172" s="183"/>
      <c r="M172" s="180">
        <f>2800+300+300+200</f>
        <v>3600</v>
      </c>
      <c r="N172" s="181">
        <v>3783</v>
      </c>
      <c r="O172" s="182">
        <f t="shared" si="29"/>
        <v>105.08333333333333</v>
      </c>
      <c r="P172" s="180"/>
      <c r="Q172" s="181"/>
      <c r="R172" s="185"/>
    </row>
    <row r="173" spans="1:18" ht="70.5" customHeight="1">
      <c r="A173" s="150" t="s">
        <v>63</v>
      </c>
      <c r="B173" s="151" t="s">
        <v>64</v>
      </c>
      <c r="C173" s="152">
        <v>111800</v>
      </c>
      <c r="D173" s="92">
        <f t="shared" si="30"/>
        <v>284900</v>
      </c>
      <c r="E173" s="92">
        <f t="shared" si="30"/>
        <v>278841</v>
      </c>
      <c r="F173" s="186">
        <f t="shared" si="22"/>
        <v>97.87328887328887</v>
      </c>
      <c r="G173" s="154"/>
      <c r="H173" s="155"/>
      <c r="I173" s="156"/>
      <c r="J173" s="154"/>
      <c r="K173" s="155"/>
      <c r="L173" s="157"/>
      <c r="M173" s="154">
        <f>111800+50000+26600+14000+70500+12000</f>
        <v>284900</v>
      </c>
      <c r="N173" s="155">
        <v>278841</v>
      </c>
      <c r="O173" s="160">
        <f t="shared" si="29"/>
        <v>97.87328887328887</v>
      </c>
      <c r="P173" s="154"/>
      <c r="Q173" s="155"/>
      <c r="R173" s="257"/>
    </row>
    <row r="174" spans="1:18" s="163" customFormat="1" ht="13.5" customHeight="1">
      <c r="A174" s="150" t="s">
        <v>95</v>
      </c>
      <c r="B174" s="151" t="s">
        <v>96</v>
      </c>
      <c r="C174" s="152">
        <v>8000</v>
      </c>
      <c r="D174" s="92">
        <f t="shared" si="30"/>
        <v>5000</v>
      </c>
      <c r="E174" s="92">
        <f t="shared" si="30"/>
        <v>5015</v>
      </c>
      <c r="F174" s="186">
        <f t="shared" si="22"/>
        <v>100.29999999999998</v>
      </c>
      <c r="G174" s="154"/>
      <c r="H174" s="155"/>
      <c r="I174" s="156"/>
      <c r="J174" s="154"/>
      <c r="K174" s="155"/>
      <c r="L174" s="157"/>
      <c r="M174" s="154">
        <f>8000-3000</f>
        <v>5000</v>
      </c>
      <c r="N174" s="155">
        <v>5015</v>
      </c>
      <c r="O174" s="156">
        <f t="shared" si="29"/>
        <v>100.29999999999998</v>
      </c>
      <c r="P174" s="154"/>
      <c r="Q174" s="155"/>
      <c r="R174" s="158"/>
    </row>
    <row r="175" spans="1:18" s="163" customFormat="1" ht="23.25" customHeight="1">
      <c r="A175" s="150" t="s">
        <v>32</v>
      </c>
      <c r="B175" s="151" t="s">
        <v>33</v>
      </c>
      <c r="C175" s="152"/>
      <c r="D175" s="92">
        <f t="shared" si="30"/>
        <v>900</v>
      </c>
      <c r="E175" s="92">
        <f t="shared" si="30"/>
        <v>599</v>
      </c>
      <c r="F175" s="186">
        <f t="shared" si="22"/>
        <v>66.55555555555556</v>
      </c>
      <c r="G175" s="154"/>
      <c r="H175" s="155"/>
      <c r="I175" s="156"/>
      <c r="J175" s="154"/>
      <c r="K175" s="155"/>
      <c r="L175" s="157"/>
      <c r="M175" s="154">
        <f>100+800</f>
        <v>900</v>
      </c>
      <c r="N175" s="155">
        <v>599</v>
      </c>
      <c r="O175" s="156">
        <f t="shared" si="29"/>
        <v>66.55555555555556</v>
      </c>
      <c r="P175" s="154"/>
      <c r="Q175" s="155"/>
      <c r="R175" s="158"/>
    </row>
    <row r="176" spans="1:18" s="163" customFormat="1" ht="17.25" customHeight="1">
      <c r="A176" s="150" t="s">
        <v>85</v>
      </c>
      <c r="B176" s="151" t="s">
        <v>127</v>
      </c>
      <c r="C176" s="152"/>
      <c r="D176" s="92">
        <f t="shared" si="30"/>
        <v>270</v>
      </c>
      <c r="E176" s="92">
        <f t="shared" si="30"/>
        <v>249</v>
      </c>
      <c r="F176" s="186">
        <f t="shared" si="22"/>
        <v>92.22222222222223</v>
      </c>
      <c r="G176" s="154"/>
      <c r="H176" s="155"/>
      <c r="I176" s="156"/>
      <c r="J176" s="154"/>
      <c r="K176" s="155"/>
      <c r="L176" s="157"/>
      <c r="M176" s="154">
        <f>220+50</f>
        <v>270</v>
      </c>
      <c r="N176" s="155">
        <v>249</v>
      </c>
      <c r="O176" s="156">
        <f t="shared" si="29"/>
        <v>92.22222222222223</v>
      </c>
      <c r="P176" s="154"/>
      <c r="Q176" s="155"/>
      <c r="R176" s="158"/>
    </row>
    <row r="177" spans="1:18" ht="15.75" customHeight="1">
      <c r="A177" s="197" t="s">
        <v>34</v>
      </c>
      <c r="B177" s="300" t="s">
        <v>35</v>
      </c>
      <c r="C177" s="220"/>
      <c r="D177" s="221">
        <f t="shared" si="30"/>
        <v>1400</v>
      </c>
      <c r="E177" s="221">
        <f t="shared" si="30"/>
        <v>1775</v>
      </c>
      <c r="F177" s="222">
        <f t="shared" si="22"/>
        <v>126.78571428571428</v>
      </c>
      <c r="G177" s="223"/>
      <c r="H177" s="224"/>
      <c r="I177" s="204"/>
      <c r="J177" s="223"/>
      <c r="K177" s="224"/>
      <c r="L177" s="207"/>
      <c r="M177" s="223">
        <f>900+500</f>
        <v>1400</v>
      </c>
      <c r="N177" s="224">
        <v>1775</v>
      </c>
      <c r="O177" s="156">
        <f t="shared" si="29"/>
        <v>126.78571428571428</v>
      </c>
      <c r="P177" s="223"/>
      <c r="Q177" s="224"/>
      <c r="R177" s="368"/>
    </row>
    <row r="178" spans="1:18" ht="18.75" customHeight="1">
      <c r="A178" s="164" t="s">
        <v>234</v>
      </c>
      <c r="B178" s="165" t="s">
        <v>235</v>
      </c>
      <c r="C178" s="166">
        <f>SUM(C179:C183)</f>
        <v>210200</v>
      </c>
      <c r="D178" s="167">
        <f>SUM(D179:D183)</f>
        <v>362200</v>
      </c>
      <c r="E178" s="167">
        <f>SUM(E179:E183)</f>
        <v>351448</v>
      </c>
      <c r="F178" s="142">
        <f t="shared" si="22"/>
        <v>97.03147432357814</v>
      </c>
      <c r="G178" s="169"/>
      <c r="H178" s="170"/>
      <c r="I178" s="132"/>
      <c r="J178" s="289"/>
      <c r="K178" s="290"/>
      <c r="L178" s="134"/>
      <c r="M178" s="289">
        <f>SUM(M179:M183)</f>
        <v>362200</v>
      </c>
      <c r="N178" s="290">
        <f>SUM(N179:N183)</f>
        <v>351448</v>
      </c>
      <c r="O178" s="261">
        <f t="shared" si="29"/>
        <v>97.03147432357814</v>
      </c>
      <c r="P178" s="289"/>
      <c r="Q178" s="290"/>
      <c r="R178" s="369"/>
    </row>
    <row r="179" spans="1:18" s="163" customFormat="1" ht="22.5" customHeight="1">
      <c r="A179" s="175" t="s">
        <v>61</v>
      </c>
      <c r="B179" s="277" t="s">
        <v>236</v>
      </c>
      <c r="C179" s="177">
        <v>2600</v>
      </c>
      <c r="D179" s="178">
        <f aca="true" t="shared" si="31" ref="D179:E183">G179+J179+M179+P179</f>
        <v>5000</v>
      </c>
      <c r="E179" s="178">
        <f t="shared" si="31"/>
        <v>5294</v>
      </c>
      <c r="F179" s="179">
        <f t="shared" si="22"/>
        <v>105.88</v>
      </c>
      <c r="G179" s="304"/>
      <c r="H179" s="181"/>
      <c r="I179" s="182"/>
      <c r="J179" s="180"/>
      <c r="K179" s="181"/>
      <c r="L179" s="183"/>
      <c r="M179" s="180">
        <f>2600+400+1800+200</f>
        <v>5000</v>
      </c>
      <c r="N179" s="181">
        <v>5294</v>
      </c>
      <c r="O179" s="182">
        <f t="shared" si="29"/>
        <v>105.88</v>
      </c>
      <c r="P179" s="180"/>
      <c r="Q179" s="181"/>
      <c r="R179" s="185"/>
    </row>
    <row r="180" spans="1:18" s="163" customFormat="1" ht="57.75" customHeight="1">
      <c r="A180" s="150" t="s">
        <v>63</v>
      </c>
      <c r="B180" s="90" t="s">
        <v>64</v>
      </c>
      <c r="C180" s="152">
        <v>204300</v>
      </c>
      <c r="D180" s="92">
        <f t="shared" si="31"/>
        <v>350600</v>
      </c>
      <c r="E180" s="92">
        <f t="shared" si="31"/>
        <v>339501</v>
      </c>
      <c r="F180" s="186">
        <f t="shared" si="22"/>
        <v>96.83428408442668</v>
      </c>
      <c r="G180" s="301"/>
      <c r="H180" s="155"/>
      <c r="I180" s="156"/>
      <c r="J180" s="154"/>
      <c r="K180" s="155"/>
      <c r="L180" s="157"/>
      <c r="M180" s="154">
        <f>204300+129500+500+16300</f>
        <v>350600</v>
      </c>
      <c r="N180" s="155">
        <v>339501</v>
      </c>
      <c r="O180" s="156">
        <f t="shared" si="29"/>
        <v>96.83428408442668</v>
      </c>
      <c r="P180" s="154"/>
      <c r="Q180" s="155"/>
      <c r="R180" s="158"/>
    </row>
    <row r="181" spans="1:18" ht="15.75" customHeight="1">
      <c r="A181" s="150" t="s">
        <v>95</v>
      </c>
      <c r="B181" s="151" t="s">
        <v>96</v>
      </c>
      <c r="C181" s="152">
        <v>3200</v>
      </c>
      <c r="D181" s="92">
        <f>G181+J181+M181+P181</f>
        <v>6000</v>
      </c>
      <c r="E181" s="92">
        <f>H181+K181+N181+Q181</f>
        <v>6000</v>
      </c>
      <c r="F181" s="186">
        <f>E181/D181*100</f>
        <v>100</v>
      </c>
      <c r="G181" s="301"/>
      <c r="H181" s="155"/>
      <c r="I181" s="156"/>
      <c r="J181" s="154"/>
      <c r="K181" s="155"/>
      <c r="L181" s="157"/>
      <c r="M181" s="154">
        <f>3200+800+2000</f>
        <v>6000</v>
      </c>
      <c r="N181" s="155">
        <v>6000</v>
      </c>
      <c r="O181" s="156">
        <f t="shared" si="29"/>
        <v>100</v>
      </c>
      <c r="P181" s="154"/>
      <c r="Q181" s="155"/>
      <c r="R181" s="158"/>
    </row>
    <row r="182" spans="1:18" ht="15.75" customHeight="1">
      <c r="A182" s="150" t="s">
        <v>85</v>
      </c>
      <c r="B182" s="151" t="s">
        <v>127</v>
      </c>
      <c r="C182" s="152"/>
      <c r="D182" s="92">
        <f t="shared" si="31"/>
        <v>150</v>
      </c>
      <c r="E182" s="92">
        <f t="shared" si="31"/>
        <v>236</v>
      </c>
      <c r="F182" s="186">
        <f>E182/D182*100</f>
        <v>157.33333333333331</v>
      </c>
      <c r="G182" s="301"/>
      <c r="H182" s="155"/>
      <c r="I182" s="156"/>
      <c r="J182" s="154"/>
      <c r="K182" s="155"/>
      <c r="L182" s="157"/>
      <c r="M182" s="154">
        <v>150</v>
      </c>
      <c r="N182" s="155">
        <v>236</v>
      </c>
      <c r="O182" s="156">
        <f t="shared" si="29"/>
        <v>157.33333333333331</v>
      </c>
      <c r="P182" s="154"/>
      <c r="Q182" s="155"/>
      <c r="R182" s="158"/>
    </row>
    <row r="183" spans="1:18" ht="17.25" customHeight="1">
      <c r="A183" s="197" t="s">
        <v>34</v>
      </c>
      <c r="B183" s="300" t="s">
        <v>35</v>
      </c>
      <c r="C183" s="220">
        <v>100</v>
      </c>
      <c r="D183" s="221">
        <f t="shared" si="31"/>
        <v>450</v>
      </c>
      <c r="E183" s="221">
        <f t="shared" si="31"/>
        <v>417</v>
      </c>
      <c r="F183" s="222">
        <f t="shared" si="22"/>
        <v>92.66666666666666</v>
      </c>
      <c r="G183" s="302"/>
      <c r="H183" s="224"/>
      <c r="I183" s="204"/>
      <c r="J183" s="223"/>
      <c r="K183" s="224"/>
      <c r="L183" s="207"/>
      <c r="M183" s="223">
        <f>100+50+300</f>
        <v>450</v>
      </c>
      <c r="N183" s="224">
        <v>417</v>
      </c>
      <c r="O183" s="204">
        <f t="shared" si="29"/>
        <v>92.66666666666666</v>
      </c>
      <c r="P183" s="223"/>
      <c r="Q183" s="224"/>
      <c r="R183" s="368"/>
    </row>
    <row r="184" spans="1:18" ht="29.25" customHeight="1">
      <c r="A184" s="164" t="s">
        <v>237</v>
      </c>
      <c r="B184" s="165" t="s">
        <v>238</v>
      </c>
      <c r="C184" s="166">
        <f>SUM(C185:C189)</f>
        <v>42500</v>
      </c>
      <c r="D184" s="167">
        <f>SUM(D185:D189)</f>
        <v>60790</v>
      </c>
      <c r="E184" s="167">
        <f>SUM(E185:E189)</f>
        <v>57644</v>
      </c>
      <c r="F184" s="275">
        <f t="shared" si="22"/>
        <v>94.8248067116302</v>
      </c>
      <c r="G184" s="169"/>
      <c r="H184" s="170"/>
      <c r="I184" s="132"/>
      <c r="J184" s="289"/>
      <c r="K184" s="290"/>
      <c r="L184" s="134"/>
      <c r="M184" s="289">
        <f>SUM(M185:M189)</f>
        <v>60790</v>
      </c>
      <c r="N184" s="290">
        <f>SUM(N185:N189)</f>
        <v>57644</v>
      </c>
      <c r="O184" s="261">
        <f t="shared" si="29"/>
        <v>94.8248067116302</v>
      </c>
      <c r="P184" s="289"/>
      <c r="Q184" s="290"/>
      <c r="R184" s="369"/>
    </row>
    <row r="185" spans="1:18" s="163" customFormat="1" ht="26.25" customHeight="1">
      <c r="A185" s="125" t="s">
        <v>61</v>
      </c>
      <c r="B185" s="331" t="s">
        <v>218</v>
      </c>
      <c r="C185" s="332">
        <v>1100</v>
      </c>
      <c r="D185" s="128">
        <f aca="true" t="shared" si="32" ref="D185:E189">G185+J185+M185+P185</f>
        <v>700</v>
      </c>
      <c r="E185" s="128">
        <f t="shared" si="32"/>
        <v>757</v>
      </c>
      <c r="F185" s="333">
        <f t="shared" si="22"/>
        <v>108.14285714285714</v>
      </c>
      <c r="G185" s="268"/>
      <c r="H185" s="131"/>
      <c r="I185" s="132"/>
      <c r="J185" s="133"/>
      <c r="K185" s="131"/>
      <c r="L185" s="134"/>
      <c r="M185" s="133">
        <f>1100-400</f>
        <v>700</v>
      </c>
      <c r="N185" s="131">
        <v>757</v>
      </c>
      <c r="O185" s="132">
        <f t="shared" si="29"/>
        <v>108.14285714285714</v>
      </c>
      <c r="P185" s="133"/>
      <c r="Q185" s="131"/>
      <c r="R185" s="136"/>
    </row>
    <row r="186" spans="1:18" s="163" customFormat="1" ht="54.75" customHeight="1">
      <c r="A186" s="150" t="s">
        <v>63</v>
      </c>
      <c r="B186" s="90" t="s">
        <v>64</v>
      </c>
      <c r="C186" s="152">
        <v>40400</v>
      </c>
      <c r="D186" s="92">
        <f>G186+J186+M186+P186</f>
        <v>52300</v>
      </c>
      <c r="E186" s="92">
        <f>H186+K186+N186+Q186</f>
        <v>52038</v>
      </c>
      <c r="F186" s="186">
        <f>E186/D186*100</f>
        <v>99.49904397705545</v>
      </c>
      <c r="G186" s="301"/>
      <c r="H186" s="155"/>
      <c r="I186" s="156"/>
      <c r="J186" s="154"/>
      <c r="K186" s="155"/>
      <c r="L186" s="157"/>
      <c r="M186" s="154">
        <f>40400+11900</f>
        <v>52300</v>
      </c>
      <c r="N186" s="155">
        <v>52038</v>
      </c>
      <c r="O186" s="156">
        <f t="shared" si="29"/>
        <v>99.49904397705545</v>
      </c>
      <c r="P186" s="154"/>
      <c r="Q186" s="155"/>
      <c r="R186" s="158"/>
    </row>
    <row r="187" spans="1:18" s="163" customFormat="1" ht="28.5" customHeight="1">
      <c r="A187" s="150" t="s">
        <v>32</v>
      </c>
      <c r="B187" s="151" t="s">
        <v>33</v>
      </c>
      <c r="C187" s="152"/>
      <c r="D187" s="92">
        <f t="shared" si="32"/>
        <v>6500</v>
      </c>
      <c r="E187" s="92">
        <f t="shared" si="32"/>
        <v>3592</v>
      </c>
      <c r="F187" s="186">
        <f t="shared" si="22"/>
        <v>55.261538461538464</v>
      </c>
      <c r="G187" s="301"/>
      <c r="H187" s="155"/>
      <c r="I187" s="156"/>
      <c r="J187" s="154"/>
      <c r="K187" s="155"/>
      <c r="L187" s="157"/>
      <c r="M187" s="154">
        <f>3000+3500</f>
        <v>6500</v>
      </c>
      <c r="N187" s="155">
        <v>3592</v>
      </c>
      <c r="O187" s="156">
        <f t="shared" si="29"/>
        <v>55.261538461538464</v>
      </c>
      <c r="P187" s="154"/>
      <c r="Q187" s="155"/>
      <c r="R187" s="158"/>
    </row>
    <row r="188" spans="1:18" s="163" customFormat="1" ht="15" customHeight="1">
      <c r="A188" s="150" t="s">
        <v>85</v>
      </c>
      <c r="B188" s="151" t="s">
        <v>127</v>
      </c>
      <c r="C188" s="152"/>
      <c r="D188" s="92">
        <f t="shared" si="32"/>
        <v>50</v>
      </c>
      <c r="E188" s="92">
        <f t="shared" si="32"/>
        <v>19</v>
      </c>
      <c r="F188" s="186">
        <f t="shared" si="22"/>
        <v>38</v>
      </c>
      <c r="G188" s="301"/>
      <c r="H188" s="155"/>
      <c r="I188" s="156"/>
      <c r="J188" s="154"/>
      <c r="K188" s="155"/>
      <c r="L188" s="157"/>
      <c r="M188" s="154">
        <v>50</v>
      </c>
      <c r="N188" s="155">
        <v>19</v>
      </c>
      <c r="O188" s="156">
        <f t="shared" si="29"/>
        <v>38</v>
      </c>
      <c r="P188" s="154"/>
      <c r="Q188" s="155"/>
      <c r="R188" s="158"/>
    </row>
    <row r="189" spans="1:18" ht="18" customHeight="1">
      <c r="A189" s="197" t="s">
        <v>34</v>
      </c>
      <c r="B189" s="300" t="s">
        <v>35</v>
      </c>
      <c r="C189" s="220">
        <v>1000</v>
      </c>
      <c r="D189" s="221">
        <f t="shared" si="32"/>
        <v>1240</v>
      </c>
      <c r="E189" s="221">
        <f t="shared" si="32"/>
        <v>1238</v>
      </c>
      <c r="F189" s="222">
        <f t="shared" si="22"/>
        <v>99.83870967741936</v>
      </c>
      <c r="G189" s="302"/>
      <c r="H189" s="224"/>
      <c r="I189" s="204"/>
      <c r="J189" s="223"/>
      <c r="K189" s="224"/>
      <c r="L189" s="207"/>
      <c r="M189" s="223">
        <f>1000+450-210</f>
        <v>1240</v>
      </c>
      <c r="N189" s="224">
        <v>1238</v>
      </c>
      <c r="O189" s="204">
        <f t="shared" si="29"/>
        <v>99.83870967741936</v>
      </c>
      <c r="P189" s="223"/>
      <c r="Q189" s="224"/>
      <c r="R189" s="368"/>
    </row>
    <row r="190" spans="1:18" ht="15.75" customHeight="1">
      <c r="A190" s="164" t="s">
        <v>239</v>
      </c>
      <c r="B190" s="165" t="s">
        <v>19</v>
      </c>
      <c r="C190" s="276">
        <f>SUM(C191:C195)</f>
        <v>174100</v>
      </c>
      <c r="D190" s="167">
        <f>G190+J190+M190</f>
        <v>524715</v>
      </c>
      <c r="E190" s="167">
        <f>H190+K190+N190</f>
        <v>536902</v>
      </c>
      <c r="F190" s="275">
        <f t="shared" si="22"/>
        <v>102.32259417016856</v>
      </c>
      <c r="G190" s="276">
        <f>G191+G192+G194+G195+G201+G202+G203+G193</f>
        <v>385969</v>
      </c>
      <c r="H190" s="167">
        <f>H191+H192+H194+H195+H201+H202+H203+H193</f>
        <v>370859</v>
      </c>
      <c r="I190" s="261">
        <f>H190/G190*100</f>
        <v>96.08517782516213</v>
      </c>
      <c r="J190" s="169">
        <f>J192</f>
        <v>7100</v>
      </c>
      <c r="K190" s="170">
        <f>K192</f>
        <v>7100</v>
      </c>
      <c r="L190" s="134">
        <f>K190/J190*100</f>
        <v>100</v>
      </c>
      <c r="M190" s="276">
        <f>M191+M192+M194+M195+M201+M202+M203+M193</f>
        <v>131646</v>
      </c>
      <c r="N190" s="167">
        <f>N191+N192+N194+N195+N201+N202+N203+N193</f>
        <v>158943</v>
      </c>
      <c r="O190" s="145">
        <f>N190/M190*100</f>
        <v>120.73515336584477</v>
      </c>
      <c r="P190" s="169"/>
      <c r="Q190" s="170"/>
      <c r="R190" s="136"/>
    </row>
    <row r="191" spans="1:18" ht="41.25" customHeight="1">
      <c r="A191" s="150" t="s">
        <v>219</v>
      </c>
      <c r="B191" s="151" t="s">
        <v>240</v>
      </c>
      <c r="C191" s="152">
        <v>174100</v>
      </c>
      <c r="D191" s="92">
        <f aca="true" t="shared" si="33" ref="D191:E203">G191+J191+M191+P191</f>
        <v>174792</v>
      </c>
      <c r="E191" s="92">
        <f t="shared" si="33"/>
        <v>158751</v>
      </c>
      <c r="F191" s="186">
        <f t="shared" si="22"/>
        <v>90.82280653576824</v>
      </c>
      <c r="G191" s="154">
        <f>174000+116144+122365+27023-264740</f>
        <v>174792</v>
      </c>
      <c r="H191" s="155">
        <v>158751</v>
      </c>
      <c r="I191" s="156">
        <f>H191/G191*100</f>
        <v>90.82280653576824</v>
      </c>
      <c r="J191" s="154"/>
      <c r="K191" s="155"/>
      <c r="L191" s="157"/>
      <c r="M191" s="154"/>
      <c r="N191" s="155"/>
      <c r="O191" s="156"/>
      <c r="P191" s="154"/>
      <c r="Q191" s="155"/>
      <c r="R191" s="158"/>
    </row>
    <row r="192" spans="1:18" s="163" customFormat="1" ht="72" customHeight="1">
      <c r="A192" s="150" t="s">
        <v>92</v>
      </c>
      <c r="B192" s="151" t="s">
        <v>241</v>
      </c>
      <c r="C192" s="152"/>
      <c r="D192" s="92">
        <f t="shared" si="33"/>
        <v>7100</v>
      </c>
      <c r="E192" s="92">
        <f t="shared" si="33"/>
        <v>7100</v>
      </c>
      <c r="F192" s="186">
        <f>E192/D192*100</f>
        <v>100</v>
      </c>
      <c r="G192" s="154"/>
      <c r="H192" s="155"/>
      <c r="I192" s="156"/>
      <c r="J192" s="154">
        <v>7100</v>
      </c>
      <c r="K192" s="155">
        <v>7100</v>
      </c>
      <c r="L192" s="157">
        <f>K192/J192*100</f>
        <v>100</v>
      </c>
      <c r="M192" s="154"/>
      <c r="N192" s="155"/>
      <c r="O192" s="156"/>
      <c r="P192" s="154"/>
      <c r="Q192" s="155"/>
      <c r="R192" s="158"/>
    </row>
    <row r="193" spans="1:18" s="163" customFormat="1" ht="51.75" customHeight="1">
      <c r="A193" s="150" t="s">
        <v>242</v>
      </c>
      <c r="B193" s="151" t="s">
        <v>243</v>
      </c>
      <c r="C193" s="152"/>
      <c r="D193" s="92">
        <f t="shared" si="33"/>
        <v>45640</v>
      </c>
      <c r="E193" s="92">
        <f t="shared" si="33"/>
        <v>45484</v>
      </c>
      <c r="F193" s="186">
        <f>E193/D193*100</f>
        <v>99.65819456617002</v>
      </c>
      <c r="G193" s="154"/>
      <c r="H193" s="155"/>
      <c r="I193" s="156"/>
      <c r="J193" s="154"/>
      <c r="K193" s="155"/>
      <c r="L193" s="157"/>
      <c r="M193" s="154">
        <f>44582+662+396</f>
        <v>45640</v>
      </c>
      <c r="N193" s="155">
        <v>45484</v>
      </c>
      <c r="O193" s="156">
        <f>N193/M193*100</f>
        <v>99.65819456617002</v>
      </c>
      <c r="P193" s="154"/>
      <c r="Q193" s="155"/>
      <c r="R193" s="158"/>
    </row>
    <row r="194" spans="1:18" ht="53.25" customHeight="1">
      <c r="A194" s="150" t="s">
        <v>244</v>
      </c>
      <c r="B194" s="151" t="s">
        <v>245</v>
      </c>
      <c r="C194" s="152"/>
      <c r="D194" s="92">
        <f t="shared" si="33"/>
        <v>6859</v>
      </c>
      <c r="E194" s="92">
        <f t="shared" si="33"/>
        <v>6496</v>
      </c>
      <c r="F194" s="186">
        <f t="shared" si="22"/>
        <v>94.70768333576322</v>
      </c>
      <c r="G194" s="154">
        <v>6859</v>
      </c>
      <c r="H194" s="155">
        <v>6496</v>
      </c>
      <c r="I194" s="156">
        <f aca="true" t="shared" si="34" ref="I194:I199">H194/G194*100</f>
        <v>94.70768333576322</v>
      </c>
      <c r="J194" s="154"/>
      <c r="K194" s="155"/>
      <c r="L194" s="157"/>
      <c r="M194" s="154"/>
      <c r="N194" s="155"/>
      <c r="O194" s="156"/>
      <c r="P194" s="154"/>
      <c r="Q194" s="155"/>
      <c r="R194" s="158"/>
    </row>
    <row r="195" spans="1:18" s="163" customFormat="1" ht="48" customHeight="1">
      <c r="A195" s="197" t="s">
        <v>246</v>
      </c>
      <c r="B195" s="300" t="s">
        <v>247</v>
      </c>
      <c r="C195" s="220"/>
      <c r="D195" s="221">
        <f t="shared" si="33"/>
        <v>206745</v>
      </c>
      <c r="E195" s="221">
        <f t="shared" si="33"/>
        <v>235492</v>
      </c>
      <c r="F195" s="222">
        <f t="shared" si="22"/>
        <v>113.90456842970809</v>
      </c>
      <c r="G195" s="223">
        <f>SUM(G196:G199)</f>
        <v>169164</v>
      </c>
      <c r="H195" s="224">
        <v>170458</v>
      </c>
      <c r="I195" s="204">
        <f t="shared" si="34"/>
        <v>100.76493816651298</v>
      </c>
      <c r="J195" s="223"/>
      <c r="K195" s="224"/>
      <c r="L195" s="207"/>
      <c r="M195" s="223">
        <f>M200</f>
        <v>37581</v>
      </c>
      <c r="N195" s="224">
        <f>N200</f>
        <v>65034</v>
      </c>
      <c r="O195" s="204">
        <f>N195/M195*100</f>
        <v>173.05021154306698</v>
      </c>
      <c r="P195" s="223"/>
      <c r="Q195" s="224"/>
      <c r="R195" s="368"/>
    </row>
    <row r="196" spans="1:18" s="388" customFormat="1" ht="39" customHeight="1">
      <c r="A196" s="377"/>
      <c r="B196" s="378" t="s">
        <v>248</v>
      </c>
      <c r="C196" s="379"/>
      <c r="D196" s="380">
        <f t="shared" si="33"/>
        <v>56526</v>
      </c>
      <c r="E196" s="380">
        <f t="shared" si="33"/>
        <v>56784</v>
      </c>
      <c r="F196" s="381">
        <f t="shared" si="22"/>
        <v>100.45642713087784</v>
      </c>
      <c r="G196" s="382">
        <f>44935+11591</f>
        <v>56526</v>
      </c>
      <c r="H196" s="383">
        <v>56784</v>
      </c>
      <c r="I196" s="384">
        <f t="shared" si="34"/>
        <v>100.45642713087784</v>
      </c>
      <c r="J196" s="385"/>
      <c r="K196" s="383"/>
      <c r="L196" s="386"/>
      <c r="M196" s="385"/>
      <c r="N196" s="383"/>
      <c r="O196" s="384"/>
      <c r="P196" s="385"/>
      <c r="Q196" s="383"/>
      <c r="R196" s="387"/>
    </row>
    <row r="197" spans="1:18" s="388" customFormat="1" ht="24" customHeight="1">
      <c r="A197" s="377"/>
      <c r="B197" s="378" t="s">
        <v>249</v>
      </c>
      <c r="C197" s="379"/>
      <c r="D197" s="380">
        <f t="shared" si="33"/>
        <v>4291</v>
      </c>
      <c r="E197" s="380">
        <f t="shared" si="33"/>
        <v>4290</v>
      </c>
      <c r="F197" s="381">
        <f t="shared" si="22"/>
        <v>99.97669540899558</v>
      </c>
      <c r="G197" s="382">
        <v>4291</v>
      </c>
      <c r="H197" s="383">
        <v>4290</v>
      </c>
      <c r="I197" s="384">
        <f t="shared" si="34"/>
        <v>99.97669540899558</v>
      </c>
      <c r="J197" s="385"/>
      <c r="K197" s="383"/>
      <c r="L197" s="386"/>
      <c r="M197" s="385"/>
      <c r="N197" s="383"/>
      <c r="O197" s="384"/>
      <c r="P197" s="385"/>
      <c r="Q197" s="383"/>
      <c r="R197" s="387"/>
    </row>
    <row r="198" spans="1:18" s="388" customFormat="1" ht="30.75" customHeight="1">
      <c r="A198" s="377"/>
      <c r="B198" s="378" t="s">
        <v>250</v>
      </c>
      <c r="C198" s="379"/>
      <c r="D198" s="380">
        <f t="shared" si="33"/>
        <v>63547</v>
      </c>
      <c r="E198" s="380">
        <f t="shared" si="33"/>
        <v>63546</v>
      </c>
      <c r="F198" s="381">
        <f t="shared" si="22"/>
        <v>99.99842636159063</v>
      </c>
      <c r="G198" s="382">
        <v>63547</v>
      </c>
      <c r="H198" s="383">
        <v>63546</v>
      </c>
      <c r="I198" s="384">
        <f t="shared" si="34"/>
        <v>99.99842636159063</v>
      </c>
      <c r="J198" s="385"/>
      <c r="K198" s="383"/>
      <c r="L198" s="386"/>
      <c r="M198" s="385"/>
      <c r="N198" s="383"/>
      <c r="O198" s="384"/>
      <c r="P198" s="385"/>
      <c r="Q198" s="383"/>
      <c r="R198" s="387"/>
    </row>
    <row r="199" spans="1:18" s="388" customFormat="1" ht="24" customHeight="1">
      <c r="A199" s="377"/>
      <c r="B199" s="378" t="s">
        <v>251</v>
      </c>
      <c r="C199" s="379"/>
      <c r="D199" s="380">
        <f t="shared" si="33"/>
        <v>44800</v>
      </c>
      <c r="E199" s="380">
        <f t="shared" si="33"/>
        <v>45838</v>
      </c>
      <c r="F199" s="381">
        <f t="shared" si="22"/>
        <v>102.31696428571428</v>
      </c>
      <c r="G199" s="382">
        <v>44800</v>
      </c>
      <c r="H199" s="383">
        <v>45838</v>
      </c>
      <c r="I199" s="384">
        <f t="shared" si="34"/>
        <v>102.31696428571428</v>
      </c>
      <c r="J199" s="385"/>
      <c r="K199" s="383"/>
      <c r="L199" s="386"/>
      <c r="M199" s="385"/>
      <c r="N199" s="383"/>
      <c r="O199" s="384"/>
      <c r="P199" s="385"/>
      <c r="Q199" s="383"/>
      <c r="R199" s="387"/>
    </row>
    <row r="200" spans="1:18" s="388" customFormat="1" ht="21" customHeight="1">
      <c r="A200" s="377"/>
      <c r="B200" s="378" t="s">
        <v>252</v>
      </c>
      <c r="C200" s="379"/>
      <c r="D200" s="380">
        <f t="shared" si="33"/>
        <v>37581</v>
      </c>
      <c r="E200" s="380">
        <f t="shared" si="33"/>
        <v>65034</v>
      </c>
      <c r="F200" s="381">
        <f>E200/D200*100</f>
        <v>173.05021154306698</v>
      </c>
      <c r="G200" s="382"/>
      <c r="H200" s="383"/>
      <c r="I200" s="384"/>
      <c r="J200" s="385"/>
      <c r="K200" s="383"/>
      <c r="L200" s="386"/>
      <c r="M200" s="385">
        <f>132+28715+8734</f>
        <v>37581</v>
      </c>
      <c r="N200" s="383">
        <v>65034</v>
      </c>
      <c r="O200" s="384">
        <f>N200/M200*100</f>
        <v>173.05021154306698</v>
      </c>
      <c r="P200" s="385"/>
      <c r="Q200" s="383"/>
      <c r="R200" s="387"/>
    </row>
    <row r="201" spans="1:18" s="163" customFormat="1" ht="61.5" customHeight="1">
      <c r="A201" s="150" t="s">
        <v>52</v>
      </c>
      <c r="B201" s="151" t="s">
        <v>253</v>
      </c>
      <c r="C201" s="152"/>
      <c r="D201" s="92">
        <f t="shared" si="33"/>
        <v>31018</v>
      </c>
      <c r="E201" s="92">
        <f t="shared" si="33"/>
        <v>31018</v>
      </c>
      <c r="F201" s="156">
        <f>E201/D201*100</f>
        <v>100</v>
      </c>
      <c r="G201" s="389">
        <v>31018</v>
      </c>
      <c r="H201" s="155">
        <v>31018</v>
      </c>
      <c r="I201" s="156">
        <f>H201/G201*100</f>
        <v>100</v>
      </c>
      <c r="J201" s="154"/>
      <c r="K201" s="155"/>
      <c r="L201" s="157"/>
      <c r="M201" s="154"/>
      <c r="N201" s="155"/>
      <c r="O201" s="156"/>
      <c r="P201" s="154"/>
      <c r="Q201" s="155"/>
      <c r="R201" s="158"/>
    </row>
    <row r="202" spans="1:18" s="163" customFormat="1" ht="63" customHeight="1">
      <c r="A202" s="150" t="s">
        <v>54</v>
      </c>
      <c r="B202" s="151" t="s">
        <v>253</v>
      </c>
      <c r="C202" s="152"/>
      <c r="D202" s="92">
        <f t="shared" si="33"/>
        <v>4136</v>
      </c>
      <c r="E202" s="92">
        <f t="shared" si="33"/>
        <v>4136</v>
      </c>
      <c r="F202" s="156">
        <f>E202/D202*100</f>
        <v>100</v>
      </c>
      <c r="G202" s="389">
        <v>4136</v>
      </c>
      <c r="H202" s="155">
        <v>4136</v>
      </c>
      <c r="I202" s="156">
        <f>H202/G202*100</f>
        <v>100</v>
      </c>
      <c r="J202" s="154"/>
      <c r="K202" s="155"/>
      <c r="L202" s="157"/>
      <c r="M202" s="154"/>
      <c r="N202" s="155"/>
      <c r="O202" s="156"/>
      <c r="P202" s="154"/>
      <c r="Q202" s="155"/>
      <c r="R202" s="158"/>
    </row>
    <row r="203" spans="1:18" s="400" customFormat="1" ht="57.75" customHeight="1" thickBot="1">
      <c r="A203" s="390">
        <v>6430</v>
      </c>
      <c r="B203" s="391" t="s">
        <v>254</v>
      </c>
      <c r="C203" s="392"/>
      <c r="D203" s="249">
        <f t="shared" si="33"/>
        <v>48425</v>
      </c>
      <c r="E203" s="249">
        <f t="shared" si="33"/>
        <v>48425</v>
      </c>
      <c r="F203" s="250">
        <f>E203/D203*100</f>
        <v>100</v>
      </c>
      <c r="G203" s="393"/>
      <c r="H203" s="394"/>
      <c r="I203" s="395"/>
      <c r="J203" s="396"/>
      <c r="K203" s="394"/>
      <c r="L203" s="397"/>
      <c r="M203" s="398">
        <v>48425</v>
      </c>
      <c r="N203" s="346">
        <v>48425</v>
      </c>
      <c r="O203" s="395">
        <f>N203/M203*100</f>
        <v>100</v>
      </c>
      <c r="P203" s="396"/>
      <c r="Q203" s="394"/>
      <c r="R203" s="399"/>
    </row>
    <row r="204" spans="1:18" ht="20.25" customHeight="1" thickBot="1" thickTop="1">
      <c r="A204" s="103" t="s">
        <v>255</v>
      </c>
      <c r="B204" s="251" t="s">
        <v>256</v>
      </c>
      <c r="C204" s="264">
        <f>SUM(C205)</f>
        <v>8000</v>
      </c>
      <c r="D204" s="64">
        <f>D205+D207</f>
        <v>17020</v>
      </c>
      <c r="E204" s="64">
        <f>E205+E207</f>
        <v>18175</v>
      </c>
      <c r="F204" s="294">
        <f aca="true" t="shared" si="35" ref="F204:F266">E204/D204*100</f>
        <v>106.78613396004701</v>
      </c>
      <c r="G204" s="64">
        <f>G205+G207</f>
        <v>8000</v>
      </c>
      <c r="H204" s="64">
        <f>H205+H207</f>
        <v>9207</v>
      </c>
      <c r="I204" s="252">
        <f>H204/G204*100</f>
        <v>115.0875</v>
      </c>
      <c r="J204" s="109">
        <f>J207</f>
        <v>520</v>
      </c>
      <c r="K204" s="107">
        <f>K207</f>
        <v>520</v>
      </c>
      <c r="L204" s="110">
        <f>K204/J204*100</f>
        <v>100</v>
      </c>
      <c r="M204" s="109"/>
      <c r="N204" s="107"/>
      <c r="O204" s="111"/>
      <c r="P204" s="265">
        <f>P205</f>
        <v>8500</v>
      </c>
      <c r="Q204" s="64">
        <f>Q205</f>
        <v>8448</v>
      </c>
      <c r="R204" s="253">
        <f>Q204/P204*100</f>
        <v>99.38823529411765</v>
      </c>
    </row>
    <row r="205" spans="1:18" ht="44.25" customHeight="1" thickTop="1">
      <c r="A205" s="138" t="s">
        <v>257</v>
      </c>
      <c r="B205" s="401" t="s">
        <v>258</v>
      </c>
      <c r="C205" s="140">
        <f>SUM(C206)</f>
        <v>8000</v>
      </c>
      <c r="D205" s="141">
        <f>SUM(D206)</f>
        <v>8500</v>
      </c>
      <c r="E205" s="141">
        <f>H205+K205+N205+Q205</f>
        <v>8448</v>
      </c>
      <c r="F205" s="142">
        <f t="shared" si="35"/>
        <v>99.38823529411765</v>
      </c>
      <c r="G205" s="143"/>
      <c r="H205" s="144"/>
      <c r="I205" s="145"/>
      <c r="J205" s="143"/>
      <c r="K205" s="144"/>
      <c r="L205" s="146"/>
      <c r="M205" s="143"/>
      <c r="N205" s="144"/>
      <c r="O205" s="148"/>
      <c r="P205" s="143">
        <f>P206</f>
        <v>8500</v>
      </c>
      <c r="Q205" s="144">
        <f>Q206</f>
        <v>8448</v>
      </c>
      <c r="R205" s="255">
        <f>Q205/P205*100</f>
        <v>99.38823529411765</v>
      </c>
    </row>
    <row r="206" spans="1:18" ht="66" customHeight="1">
      <c r="A206" s="125" t="s">
        <v>70</v>
      </c>
      <c r="B206" s="402" t="s">
        <v>71</v>
      </c>
      <c r="C206" s="332">
        <v>8000</v>
      </c>
      <c r="D206" s="128">
        <f aca="true" t="shared" si="36" ref="D206:E218">G206+J206+M206+P206</f>
        <v>8500</v>
      </c>
      <c r="E206" s="403">
        <f>H206+K206+N206+Q206</f>
        <v>8448</v>
      </c>
      <c r="F206" s="333"/>
      <c r="G206" s="133"/>
      <c r="H206" s="131"/>
      <c r="I206" s="261"/>
      <c r="J206" s="133"/>
      <c r="K206" s="131"/>
      <c r="L206" s="134"/>
      <c r="M206" s="133"/>
      <c r="N206" s="131"/>
      <c r="O206" s="132"/>
      <c r="P206" s="133">
        <f>8000+500</f>
        <v>8500</v>
      </c>
      <c r="Q206" s="131">
        <v>8448</v>
      </c>
      <c r="R206" s="270"/>
    </row>
    <row r="207" spans="1:18" s="218" customFormat="1" ht="17.25" customHeight="1">
      <c r="A207" s="164" t="s">
        <v>259</v>
      </c>
      <c r="B207" s="404" t="s">
        <v>19</v>
      </c>
      <c r="C207" s="166"/>
      <c r="D207" s="210">
        <f t="shared" si="36"/>
        <v>8520</v>
      </c>
      <c r="E207" s="167">
        <f>H207+K207+N207+Q207</f>
        <v>9727</v>
      </c>
      <c r="F207" s="303">
        <f>E207/D207*100</f>
        <v>114.16666666666666</v>
      </c>
      <c r="G207" s="169">
        <f>SUM(G208:G209)</f>
        <v>8000</v>
      </c>
      <c r="H207" s="170">
        <f>H208</f>
        <v>9207</v>
      </c>
      <c r="I207" s="261">
        <f>H207/G207*100</f>
        <v>115.0875</v>
      </c>
      <c r="J207" s="169">
        <f>J209</f>
        <v>520</v>
      </c>
      <c r="K207" s="170">
        <f>K209</f>
        <v>520</v>
      </c>
      <c r="L207" s="172">
        <f>K207/J207*100</f>
        <v>100</v>
      </c>
      <c r="M207" s="169"/>
      <c r="N207" s="170"/>
      <c r="O207" s="261"/>
      <c r="P207" s="169"/>
      <c r="Q207" s="170"/>
      <c r="R207" s="262"/>
    </row>
    <row r="208" spans="1:18" ht="24.75" customHeight="1">
      <c r="A208" s="150" t="s">
        <v>34</v>
      </c>
      <c r="B208" s="90" t="s">
        <v>260</v>
      </c>
      <c r="C208" s="152"/>
      <c r="D208" s="178">
        <f t="shared" si="36"/>
        <v>8000</v>
      </c>
      <c r="E208" s="405">
        <f>H208+K208+N208+Q208</f>
        <v>9207</v>
      </c>
      <c r="F208" s="186">
        <f>E208/D208*100</f>
        <v>115.0875</v>
      </c>
      <c r="G208" s="154">
        <v>8000</v>
      </c>
      <c r="H208" s="155">
        <v>9207</v>
      </c>
      <c r="I208" s="406">
        <f>H208/G208*100</f>
        <v>115.0875</v>
      </c>
      <c r="J208" s="154"/>
      <c r="K208" s="155"/>
      <c r="L208" s="157"/>
      <c r="M208" s="154"/>
      <c r="N208" s="155"/>
      <c r="O208" s="156"/>
      <c r="P208" s="154"/>
      <c r="Q208" s="155"/>
      <c r="R208" s="257"/>
    </row>
    <row r="209" spans="1:18" ht="68.25" customHeight="1" thickBot="1">
      <c r="A209" s="342" t="s">
        <v>20</v>
      </c>
      <c r="B209" s="90" t="s">
        <v>261</v>
      </c>
      <c r="C209" s="344"/>
      <c r="D209" s="249">
        <f t="shared" si="36"/>
        <v>520</v>
      </c>
      <c r="E209" s="407">
        <f>H209+K209+N209+Q209</f>
        <v>520</v>
      </c>
      <c r="F209" s="250">
        <f>E209/D209*100</f>
        <v>100</v>
      </c>
      <c r="G209" s="398"/>
      <c r="H209" s="346"/>
      <c r="I209" s="408"/>
      <c r="J209" s="398">
        <f>189+331</f>
        <v>520</v>
      </c>
      <c r="K209" s="346">
        <v>520</v>
      </c>
      <c r="L209" s="350">
        <f>K209/J209*100</f>
        <v>100</v>
      </c>
      <c r="M209" s="398"/>
      <c r="N209" s="346"/>
      <c r="O209" s="347"/>
      <c r="P209" s="398"/>
      <c r="Q209" s="346"/>
      <c r="R209" s="351"/>
    </row>
    <row r="210" spans="1:18" ht="23.25" customHeight="1" thickBot="1" thickTop="1">
      <c r="A210" s="409" t="s">
        <v>262</v>
      </c>
      <c r="B210" s="104" t="s">
        <v>263</v>
      </c>
      <c r="C210" s="265">
        <f>C211+C215+C219+C225+C229+C233+C235+C239+C244+C248+C252+C254+C258</f>
        <v>24989200</v>
      </c>
      <c r="D210" s="64">
        <f>D211+D215+D219+D225+D229+D233+D235+D239+D244+D248+D252+D254+D258+D242</f>
        <v>28042237</v>
      </c>
      <c r="E210" s="64">
        <f>E211+E215+E219+E225+E229+E233+E235+E239+E244+E248+E252+E254+E258+E242</f>
        <v>25244436</v>
      </c>
      <c r="F210" s="294">
        <f>E210/D210*100</f>
        <v>90.02290366492515</v>
      </c>
      <c r="G210" s="265">
        <f>G211+G215+G219+G225+G229+G233+G235+G239+G244+G248+G252+G254+G258</f>
        <v>5029819</v>
      </c>
      <c r="H210" s="64">
        <f>H211+H215+H219+H225+H229+H233+H235+H239+H244+H248+H252+H254+H258</f>
        <v>4903348</v>
      </c>
      <c r="I210" s="295">
        <f>H210/G210*100</f>
        <v>97.48557552468587</v>
      </c>
      <c r="J210" s="265">
        <f>J211+J215+J219+J225+J229+J233+J235+J239+J244+J248+J252+J254+J258</f>
        <v>22512248</v>
      </c>
      <c r="K210" s="64">
        <f>K211+K215+K219+K225+K229+K233+K235+K239+K244+K248+K252+K254+K258</f>
        <v>19825950</v>
      </c>
      <c r="L210" s="295">
        <f>K210/J210*100</f>
        <v>88.06739335849534</v>
      </c>
      <c r="M210" s="265">
        <f>M211+M215+M219+M225+M229+M233+M235+M239+M244+M248+M252+M254+M258+M242</f>
        <v>482670</v>
      </c>
      <c r="N210" s="64">
        <f>N211+N215+N219+N225+N229+N233+N235+N239+N244+N248+N252+N254+N258+N242</f>
        <v>497668</v>
      </c>
      <c r="O210" s="295">
        <f>N210/M210*100</f>
        <v>103.10729898274182</v>
      </c>
      <c r="P210" s="265">
        <f>P211+P215+P219+P225+P229+P233+P235+P239+P244+P248+P252+P254+P258</f>
        <v>17500</v>
      </c>
      <c r="Q210" s="64">
        <f>Q211+Q215+Q219+Q225+Q229+Q233+Q235+Q239+Q244+Q248+Q252+Q254+Q258</f>
        <v>17470</v>
      </c>
      <c r="R210" s="410">
        <f>Q210/P210*100</f>
        <v>99.82857142857144</v>
      </c>
    </row>
    <row r="211" spans="1:18" ht="24.75" customHeight="1" thickTop="1">
      <c r="A211" s="411" t="s">
        <v>264</v>
      </c>
      <c r="B211" s="412" t="s">
        <v>265</v>
      </c>
      <c r="C211" s="140">
        <f>C213</f>
        <v>5000</v>
      </c>
      <c r="D211" s="313">
        <f t="shared" si="36"/>
        <v>23783</v>
      </c>
      <c r="E211" s="313">
        <f t="shared" si="36"/>
        <v>10261</v>
      </c>
      <c r="F211" s="142">
        <f t="shared" si="35"/>
        <v>43.14426270865744</v>
      </c>
      <c r="G211" s="147"/>
      <c r="H211" s="141"/>
      <c r="I211" s="145"/>
      <c r="J211" s="147"/>
      <c r="K211" s="141"/>
      <c r="L211" s="296"/>
      <c r="M211" s="141">
        <f>SUM(M212:M214)</f>
        <v>23783</v>
      </c>
      <c r="N211" s="141">
        <f>SUM(N212:N214)</f>
        <v>10261</v>
      </c>
      <c r="O211" s="145">
        <f>N211/M211*100</f>
        <v>43.14426270865744</v>
      </c>
      <c r="P211" s="147"/>
      <c r="Q211" s="141"/>
      <c r="R211" s="255"/>
    </row>
    <row r="212" spans="1:18" s="137" customFormat="1" ht="15.75" customHeight="1">
      <c r="A212" s="413" t="s">
        <v>85</v>
      </c>
      <c r="B212" s="161" t="s">
        <v>127</v>
      </c>
      <c r="C212" s="152"/>
      <c r="D212" s="178"/>
      <c r="E212" s="178">
        <f t="shared" si="36"/>
        <v>26</v>
      </c>
      <c r="F212" s="186"/>
      <c r="G212" s="154"/>
      <c r="H212" s="155"/>
      <c r="I212" s="156"/>
      <c r="J212" s="154"/>
      <c r="K212" s="155"/>
      <c r="L212" s="157"/>
      <c r="M212" s="154"/>
      <c r="N212" s="155">
        <v>26</v>
      </c>
      <c r="O212" s="160"/>
      <c r="P212" s="154"/>
      <c r="Q212" s="155"/>
      <c r="R212" s="158"/>
    </row>
    <row r="213" spans="1:18" s="137" customFormat="1" ht="14.25" customHeight="1">
      <c r="A213" s="413" t="s">
        <v>34</v>
      </c>
      <c r="B213" s="151" t="s">
        <v>35</v>
      </c>
      <c r="C213" s="152">
        <v>5000</v>
      </c>
      <c r="D213" s="92">
        <f t="shared" si="36"/>
        <v>5000</v>
      </c>
      <c r="E213" s="92">
        <f t="shared" si="36"/>
        <v>236</v>
      </c>
      <c r="F213" s="186">
        <f t="shared" si="35"/>
        <v>4.72</v>
      </c>
      <c r="G213" s="301"/>
      <c r="H213" s="92"/>
      <c r="I213" s="156"/>
      <c r="J213" s="301"/>
      <c r="K213" s="92"/>
      <c r="L213" s="298"/>
      <c r="M213" s="301">
        <v>5000</v>
      </c>
      <c r="N213" s="92">
        <v>236</v>
      </c>
      <c r="O213" s="160">
        <f>N213/M213*100</f>
        <v>4.72</v>
      </c>
      <c r="P213" s="301"/>
      <c r="Q213" s="92"/>
      <c r="R213" s="257"/>
    </row>
    <row r="214" spans="1:18" s="137" customFormat="1" ht="45" customHeight="1">
      <c r="A214" s="413" t="s">
        <v>266</v>
      </c>
      <c r="B214" s="273" t="s">
        <v>267</v>
      </c>
      <c r="C214" s="152"/>
      <c r="D214" s="92">
        <f t="shared" si="36"/>
        <v>18783</v>
      </c>
      <c r="E214" s="92">
        <f t="shared" si="36"/>
        <v>9999</v>
      </c>
      <c r="F214" s="186">
        <f t="shared" si="35"/>
        <v>53.23430761859128</v>
      </c>
      <c r="G214" s="414"/>
      <c r="H214" s="92"/>
      <c r="I214" s="156"/>
      <c r="J214" s="301"/>
      <c r="K214" s="92"/>
      <c r="L214" s="298"/>
      <c r="M214" s="301">
        <v>18783</v>
      </c>
      <c r="N214" s="92">
        <v>9999</v>
      </c>
      <c r="O214" s="160">
        <f>N214/M214*100</f>
        <v>53.23430761859128</v>
      </c>
      <c r="P214" s="301"/>
      <c r="Q214" s="92"/>
      <c r="R214" s="257"/>
    </row>
    <row r="215" spans="1:18" ht="17.25" customHeight="1">
      <c r="A215" s="357" t="s">
        <v>268</v>
      </c>
      <c r="B215" s="415" t="s">
        <v>269</v>
      </c>
      <c r="C215" s="166"/>
      <c r="D215" s="210">
        <f>G215+J215+M215+P215</f>
        <v>5000</v>
      </c>
      <c r="E215" s="210">
        <f t="shared" si="36"/>
        <v>11271</v>
      </c>
      <c r="F215" s="303">
        <f>E215/D215*100</f>
        <v>225.42</v>
      </c>
      <c r="G215" s="167">
        <f>G218</f>
        <v>5000</v>
      </c>
      <c r="H215" s="167">
        <f>SUM(H216:H218)</f>
        <v>11271</v>
      </c>
      <c r="I215" s="261">
        <f>H215/G215*100</f>
        <v>225.42</v>
      </c>
      <c r="J215" s="276"/>
      <c r="K215" s="167"/>
      <c r="L215" s="416"/>
      <c r="M215" s="276"/>
      <c r="N215" s="167"/>
      <c r="O215" s="261"/>
      <c r="P215" s="276"/>
      <c r="Q215" s="167"/>
      <c r="R215" s="262"/>
    </row>
    <row r="216" spans="1:18" s="326" customFormat="1" ht="17.25" customHeight="1">
      <c r="A216" s="340" t="s">
        <v>85</v>
      </c>
      <c r="B216" s="277" t="s">
        <v>127</v>
      </c>
      <c r="C216" s="177"/>
      <c r="D216" s="178"/>
      <c r="E216" s="178">
        <f t="shared" si="36"/>
        <v>40</v>
      </c>
      <c r="F216" s="179"/>
      <c r="G216" s="417"/>
      <c r="H216" s="178">
        <v>40</v>
      </c>
      <c r="I216" s="182"/>
      <c r="J216" s="304"/>
      <c r="K216" s="178"/>
      <c r="L216" s="297"/>
      <c r="M216" s="304"/>
      <c r="N216" s="178"/>
      <c r="O216" s="182"/>
      <c r="P216" s="304"/>
      <c r="Q216" s="178"/>
      <c r="R216" s="256"/>
    </row>
    <row r="217" spans="1:18" s="326" customFormat="1" ht="30" customHeight="1">
      <c r="A217" s="413" t="s">
        <v>270</v>
      </c>
      <c r="B217" s="151" t="s">
        <v>271</v>
      </c>
      <c r="C217" s="152"/>
      <c r="D217" s="92"/>
      <c r="E217" s="92">
        <f>H217</f>
        <v>4491</v>
      </c>
      <c r="F217" s="186"/>
      <c r="G217" s="414"/>
      <c r="H217" s="92">
        <v>4491</v>
      </c>
      <c r="I217" s="156"/>
      <c r="J217" s="301"/>
      <c r="K217" s="92"/>
      <c r="L217" s="298"/>
      <c r="M217" s="301"/>
      <c r="N217" s="92"/>
      <c r="O217" s="156"/>
      <c r="P217" s="301"/>
      <c r="Q217" s="92"/>
      <c r="R217" s="257"/>
    </row>
    <row r="218" spans="1:18" s="326" customFormat="1" ht="14.25" customHeight="1">
      <c r="A218" s="418" t="s">
        <v>34</v>
      </c>
      <c r="B218" s="300" t="s">
        <v>35</v>
      </c>
      <c r="C218" s="220"/>
      <c r="D218" s="221">
        <f t="shared" si="36"/>
        <v>5000</v>
      </c>
      <c r="E218" s="221">
        <f t="shared" si="36"/>
        <v>6740</v>
      </c>
      <c r="F218" s="222">
        <f>E218/D218*100</f>
        <v>134.8</v>
      </c>
      <c r="G218" s="302">
        <v>5000</v>
      </c>
      <c r="H218" s="221">
        <v>6740</v>
      </c>
      <c r="I218" s="204">
        <f>H218/G218*100</f>
        <v>134.8</v>
      </c>
      <c r="J218" s="302"/>
      <c r="K218" s="221"/>
      <c r="L218" s="279"/>
      <c r="M218" s="302"/>
      <c r="N218" s="221"/>
      <c r="O218" s="367"/>
      <c r="P218" s="302"/>
      <c r="Q218" s="221"/>
      <c r="R218" s="274"/>
    </row>
    <row r="219" spans="1:18" ht="16.5" customHeight="1">
      <c r="A219" s="357" t="s">
        <v>272</v>
      </c>
      <c r="B219" s="415" t="s">
        <v>273</v>
      </c>
      <c r="C219" s="336">
        <f>SUM(C220:C223)</f>
        <v>692000</v>
      </c>
      <c r="D219" s="170">
        <f>SUM(D220:D224)</f>
        <v>796445</v>
      </c>
      <c r="E219" s="170">
        <f>SUM(E220:E224)</f>
        <v>787086</v>
      </c>
      <c r="F219" s="303">
        <f t="shared" si="35"/>
        <v>98.8249031634325</v>
      </c>
      <c r="G219" s="170">
        <f>SUM(G220:G224)</f>
        <v>68515</v>
      </c>
      <c r="H219" s="170">
        <f>SUM(H220:H224)</f>
        <v>64469</v>
      </c>
      <c r="I219" s="419">
        <f>H219/G219*100</f>
        <v>94.09472378311318</v>
      </c>
      <c r="J219" s="336">
        <f>SUM(J220:J224)</f>
        <v>727930</v>
      </c>
      <c r="K219" s="170">
        <f>SUM(K220:K224)</f>
        <v>722617</v>
      </c>
      <c r="L219" s="416">
        <f>K219/J219*100</f>
        <v>99.2701221271276</v>
      </c>
      <c r="M219" s="169"/>
      <c r="N219" s="170"/>
      <c r="O219" s="173"/>
      <c r="P219" s="169"/>
      <c r="Q219" s="170"/>
      <c r="R219" s="174"/>
    </row>
    <row r="220" spans="1:18" s="163" customFormat="1" ht="33">
      <c r="A220" s="420" t="s">
        <v>95</v>
      </c>
      <c r="B220" s="331" t="s">
        <v>274</v>
      </c>
      <c r="C220" s="332">
        <v>55000</v>
      </c>
      <c r="D220" s="128">
        <f aca="true" t="shared" si="37" ref="D220:E224">G220+J220+M220+P220</f>
        <v>55000</v>
      </c>
      <c r="E220" s="128">
        <f t="shared" si="37"/>
        <v>42104</v>
      </c>
      <c r="F220" s="333">
        <f t="shared" si="35"/>
        <v>76.55272727272727</v>
      </c>
      <c r="G220" s="133">
        <v>55000</v>
      </c>
      <c r="H220" s="131">
        <v>42104</v>
      </c>
      <c r="I220" s="132">
        <f>H220/G220*100</f>
        <v>76.55272727272727</v>
      </c>
      <c r="J220" s="289"/>
      <c r="K220" s="290"/>
      <c r="L220" s="134"/>
      <c r="M220" s="358"/>
      <c r="N220" s="359"/>
      <c r="O220" s="132"/>
      <c r="P220" s="358"/>
      <c r="Q220" s="359"/>
      <c r="R220" s="369"/>
    </row>
    <row r="221" spans="1:18" s="163" customFormat="1" ht="12.75">
      <c r="A221" s="413" t="s">
        <v>85</v>
      </c>
      <c r="B221" s="151" t="s">
        <v>127</v>
      </c>
      <c r="C221" s="152"/>
      <c r="D221" s="92"/>
      <c r="E221" s="92">
        <f t="shared" si="37"/>
        <v>38</v>
      </c>
      <c r="F221" s="186"/>
      <c r="G221" s="154"/>
      <c r="H221" s="155">
        <v>38</v>
      </c>
      <c r="I221" s="156"/>
      <c r="J221" s="421"/>
      <c r="K221" s="422"/>
      <c r="L221" s="157"/>
      <c r="M221" s="187"/>
      <c r="N221" s="188"/>
      <c r="O221" s="156"/>
      <c r="P221" s="187"/>
      <c r="Q221" s="188"/>
      <c r="R221" s="190"/>
    </row>
    <row r="222" spans="1:18" s="163" customFormat="1" ht="21" customHeight="1">
      <c r="A222" s="413" t="s">
        <v>34</v>
      </c>
      <c r="B222" s="151" t="s">
        <v>35</v>
      </c>
      <c r="C222" s="152"/>
      <c r="D222" s="92">
        <f t="shared" si="37"/>
        <v>13515</v>
      </c>
      <c r="E222" s="92">
        <f t="shared" si="37"/>
        <v>22036</v>
      </c>
      <c r="F222" s="186">
        <f>E222/D222*100</f>
        <v>163.04846466888642</v>
      </c>
      <c r="G222" s="154">
        <v>13515</v>
      </c>
      <c r="H222" s="155">
        <v>22036</v>
      </c>
      <c r="I222" s="156">
        <f>H222/G222*100</f>
        <v>163.04846466888642</v>
      </c>
      <c r="J222" s="421"/>
      <c r="K222" s="422"/>
      <c r="L222" s="157"/>
      <c r="M222" s="187"/>
      <c r="N222" s="188"/>
      <c r="O222" s="156"/>
      <c r="P222" s="187"/>
      <c r="Q222" s="188"/>
      <c r="R222" s="190"/>
    </row>
    <row r="223" spans="1:18" s="163" customFormat="1" ht="62.25" customHeight="1">
      <c r="A223" s="413" t="s">
        <v>20</v>
      </c>
      <c r="B223" s="90" t="s">
        <v>261</v>
      </c>
      <c r="C223" s="152">
        <v>637000</v>
      </c>
      <c r="D223" s="92">
        <f t="shared" si="37"/>
        <v>727930</v>
      </c>
      <c r="E223" s="92">
        <f t="shared" si="37"/>
        <v>722617</v>
      </c>
      <c r="F223" s="186">
        <f t="shared" si="35"/>
        <v>99.2701221271276</v>
      </c>
      <c r="G223" s="154"/>
      <c r="H223" s="155"/>
      <c r="I223" s="156"/>
      <c r="J223" s="154">
        <f>637000+18750+27180+22500+22500</f>
        <v>727930</v>
      </c>
      <c r="K223" s="155">
        <v>722617</v>
      </c>
      <c r="L223" s="298">
        <f>K223/J223*100</f>
        <v>99.2701221271276</v>
      </c>
      <c r="M223" s="187"/>
      <c r="N223" s="188"/>
      <c r="O223" s="156"/>
      <c r="P223" s="187"/>
      <c r="Q223" s="188"/>
      <c r="R223" s="190"/>
    </row>
    <row r="224" spans="1:18" s="163" customFormat="1" ht="52.5" customHeight="1">
      <c r="A224" s="413" t="s">
        <v>72</v>
      </c>
      <c r="B224" s="258" t="s">
        <v>128</v>
      </c>
      <c r="C224" s="152"/>
      <c r="D224" s="92"/>
      <c r="E224" s="92">
        <f t="shared" si="37"/>
        <v>291</v>
      </c>
      <c r="F224" s="186"/>
      <c r="G224" s="154"/>
      <c r="H224" s="155">
        <v>291</v>
      </c>
      <c r="I224" s="156"/>
      <c r="J224" s="154"/>
      <c r="K224" s="155"/>
      <c r="L224" s="298"/>
      <c r="M224" s="187"/>
      <c r="N224" s="188"/>
      <c r="O224" s="156"/>
      <c r="P224" s="187"/>
      <c r="Q224" s="188"/>
      <c r="R224" s="190"/>
    </row>
    <row r="225" spans="1:18" ht="18.75" customHeight="1">
      <c r="A225" s="357" t="s">
        <v>275</v>
      </c>
      <c r="B225" s="165" t="s">
        <v>276</v>
      </c>
      <c r="C225" s="166">
        <f>SUM(C227:C228)</f>
        <v>212000</v>
      </c>
      <c r="D225" s="167">
        <f>SUM(D226:D228)</f>
        <v>410217</v>
      </c>
      <c r="E225" s="167">
        <f>SUM(E226:E228)</f>
        <v>441829</v>
      </c>
      <c r="F225" s="303">
        <f t="shared" si="35"/>
        <v>107.70616527350158</v>
      </c>
      <c r="G225" s="169"/>
      <c r="H225" s="170"/>
      <c r="I225" s="132"/>
      <c r="J225" s="169"/>
      <c r="K225" s="170"/>
      <c r="L225" s="172"/>
      <c r="M225" s="169">
        <f>SUM(M226:M228)</f>
        <v>410217</v>
      </c>
      <c r="N225" s="170">
        <f>SUM(N226:N228)</f>
        <v>441829</v>
      </c>
      <c r="O225" s="173">
        <f>N225/M225*100</f>
        <v>107.70616527350158</v>
      </c>
      <c r="P225" s="170"/>
      <c r="Q225" s="170"/>
      <c r="R225" s="174"/>
    </row>
    <row r="226" spans="1:18" s="137" customFormat="1" ht="15.75" customHeight="1">
      <c r="A226" s="413" t="s">
        <v>85</v>
      </c>
      <c r="B226" s="161" t="s">
        <v>127</v>
      </c>
      <c r="C226" s="152"/>
      <c r="D226" s="92"/>
      <c r="E226" s="92">
        <f aca="true" t="shared" si="38" ref="D226:E228">H226+K226+N226+Q226</f>
        <v>590</v>
      </c>
      <c r="F226" s="186"/>
      <c r="G226" s="154"/>
      <c r="H226" s="155"/>
      <c r="I226" s="156"/>
      <c r="J226" s="154"/>
      <c r="K226" s="155"/>
      <c r="L226" s="157"/>
      <c r="M226" s="154"/>
      <c r="N226" s="155">
        <v>590</v>
      </c>
      <c r="O226" s="160"/>
      <c r="P226" s="154"/>
      <c r="Q226" s="155"/>
      <c r="R226" s="158"/>
    </row>
    <row r="227" spans="1:18" ht="17.25" customHeight="1">
      <c r="A227" s="413" t="s">
        <v>34</v>
      </c>
      <c r="B227" s="161" t="s">
        <v>35</v>
      </c>
      <c r="C227" s="152">
        <v>15000</v>
      </c>
      <c r="D227" s="92">
        <f>G227+J227+M227+P227</f>
        <v>15000</v>
      </c>
      <c r="E227" s="92">
        <f t="shared" si="38"/>
        <v>18857</v>
      </c>
      <c r="F227" s="186">
        <f t="shared" si="35"/>
        <v>125.71333333333334</v>
      </c>
      <c r="G227" s="154"/>
      <c r="H227" s="155"/>
      <c r="I227" s="156"/>
      <c r="J227" s="421"/>
      <c r="K227" s="422"/>
      <c r="L227" s="157"/>
      <c r="M227" s="187">
        <v>15000</v>
      </c>
      <c r="N227" s="188">
        <v>18857</v>
      </c>
      <c r="O227" s="160">
        <f>N227/M227*100</f>
        <v>125.71333333333334</v>
      </c>
      <c r="P227" s="187"/>
      <c r="Q227" s="188"/>
      <c r="R227" s="190"/>
    </row>
    <row r="228" spans="1:18" ht="45" customHeight="1">
      <c r="A228" s="418" t="s">
        <v>266</v>
      </c>
      <c r="B228" s="423" t="s">
        <v>267</v>
      </c>
      <c r="C228" s="220">
        <v>197000</v>
      </c>
      <c r="D228" s="221">
        <f t="shared" si="38"/>
        <v>395217</v>
      </c>
      <c r="E228" s="221">
        <f t="shared" si="38"/>
        <v>422382</v>
      </c>
      <c r="F228" s="222">
        <f t="shared" si="35"/>
        <v>106.87343914861962</v>
      </c>
      <c r="G228" s="223"/>
      <c r="H228" s="224"/>
      <c r="I228" s="204"/>
      <c r="J228" s="205"/>
      <c r="K228" s="206"/>
      <c r="L228" s="207"/>
      <c r="M228" s="205">
        <f>197000-18783+217000</f>
        <v>395217</v>
      </c>
      <c r="N228" s="206">
        <v>422382</v>
      </c>
      <c r="O228" s="367">
        <f>N228/M228*100</f>
        <v>106.87343914861962</v>
      </c>
      <c r="P228" s="205"/>
      <c r="Q228" s="206"/>
      <c r="R228" s="209"/>
    </row>
    <row r="229" spans="1:18" ht="62.25" customHeight="1">
      <c r="A229" s="357" t="s">
        <v>277</v>
      </c>
      <c r="B229" s="165" t="s">
        <v>278</v>
      </c>
      <c r="C229" s="424">
        <f>SUM(C230:C231)</f>
        <v>17391000</v>
      </c>
      <c r="D229" s="170">
        <f>SUM(D230:D232)</f>
        <v>19847000</v>
      </c>
      <c r="E229" s="170">
        <f>SUM(E230:E232)</f>
        <v>17266825</v>
      </c>
      <c r="F229" s="303">
        <f t="shared" si="35"/>
        <v>86.99967249458356</v>
      </c>
      <c r="G229" s="170">
        <f>SUM(G230:G231)</f>
        <v>70000</v>
      </c>
      <c r="H229" s="170">
        <f>SUM(H230:H231)</f>
        <v>116145</v>
      </c>
      <c r="I229" s="419">
        <f>H229/G229*100</f>
        <v>165.92142857142858</v>
      </c>
      <c r="J229" s="170">
        <f>SUM(J230:J232)</f>
        <v>19777000</v>
      </c>
      <c r="K229" s="170">
        <f>SUM(K230:K232)</f>
        <v>17150680</v>
      </c>
      <c r="L229" s="416">
        <f>K229/J229*100</f>
        <v>86.72033169843758</v>
      </c>
      <c r="M229" s="169"/>
      <c r="N229" s="170"/>
      <c r="O229" s="173"/>
      <c r="P229" s="169"/>
      <c r="Q229" s="170"/>
      <c r="R229" s="262"/>
    </row>
    <row r="230" spans="1:18" s="163" customFormat="1" ht="66" customHeight="1">
      <c r="A230" s="340" t="s">
        <v>20</v>
      </c>
      <c r="B230" s="425" t="s">
        <v>261</v>
      </c>
      <c r="C230" s="177">
        <v>17356000</v>
      </c>
      <c r="D230" s="178">
        <f aca="true" t="shared" si="39" ref="D230:E232">G230+J230+M230+P230</f>
        <v>19315000</v>
      </c>
      <c r="E230" s="178">
        <f t="shared" si="39"/>
        <v>16725506</v>
      </c>
      <c r="F230" s="179">
        <f>E230/D230*100</f>
        <v>86.59335231685219</v>
      </c>
      <c r="G230" s="180"/>
      <c r="H230" s="181"/>
      <c r="I230" s="182"/>
      <c r="J230" s="180">
        <f>17356000+338750+1591032+29218</f>
        <v>19315000</v>
      </c>
      <c r="K230" s="181">
        <v>16725506</v>
      </c>
      <c r="L230" s="297">
        <f>K230/J230*100</f>
        <v>86.59335231685219</v>
      </c>
      <c r="M230" s="180"/>
      <c r="N230" s="181"/>
      <c r="O230" s="184"/>
      <c r="P230" s="180"/>
      <c r="Q230" s="181"/>
      <c r="R230" s="185"/>
    </row>
    <row r="231" spans="1:18" s="163" customFormat="1" ht="51.75" customHeight="1">
      <c r="A231" s="418" t="s">
        <v>72</v>
      </c>
      <c r="B231" s="299" t="s">
        <v>128</v>
      </c>
      <c r="C231" s="220">
        <v>35000</v>
      </c>
      <c r="D231" s="221">
        <f t="shared" si="39"/>
        <v>70000</v>
      </c>
      <c r="E231" s="221">
        <f t="shared" si="39"/>
        <v>116145</v>
      </c>
      <c r="F231" s="222">
        <f t="shared" si="35"/>
        <v>165.92142857142858</v>
      </c>
      <c r="G231" s="223">
        <f>35000+35000</f>
        <v>70000</v>
      </c>
      <c r="H231" s="224">
        <v>116145</v>
      </c>
      <c r="I231" s="204">
        <f>H231/G231*100</f>
        <v>165.92142857142858</v>
      </c>
      <c r="J231" s="223"/>
      <c r="K231" s="224"/>
      <c r="L231" s="279"/>
      <c r="M231" s="223"/>
      <c r="N231" s="224"/>
      <c r="O231" s="367"/>
      <c r="P231" s="223"/>
      <c r="Q231" s="224"/>
      <c r="R231" s="368"/>
    </row>
    <row r="232" spans="1:18" s="163" customFormat="1" ht="59.25" customHeight="1">
      <c r="A232" s="418" t="s">
        <v>279</v>
      </c>
      <c r="B232" s="426" t="s">
        <v>280</v>
      </c>
      <c r="C232" s="220"/>
      <c r="D232" s="221">
        <f t="shared" si="39"/>
        <v>462000</v>
      </c>
      <c r="E232" s="221">
        <f t="shared" si="39"/>
        <v>425174</v>
      </c>
      <c r="F232" s="278">
        <f>E232/D232*100</f>
        <v>92.02900432900432</v>
      </c>
      <c r="G232" s="223"/>
      <c r="H232" s="224"/>
      <c r="I232" s="204"/>
      <c r="J232" s="223">
        <v>462000</v>
      </c>
      <c r="K232" s="224">
        <v>425174</v>
      </c>
      <c r="L232" s="279">
        <f>K232/J232*100</f>
        <v>92.02900432900432</v>
      </c>
      <c r="M232" s="223"/>
      <c r="N232" s="224"/>
      <c r="O232" s="367"/>
      <c r="P232" s="223"/>
      <c r="Q232" s="224"/>
      <c r="R232" s="368"/>
    </row>
    <row r="233" spans="1:18" ht="65.25" customHeight="1">
      <c r="A233" s="357" t="s">
        <v>281</v>
      </c>
      <c r="B233" s="427" t="s">
        <v>282</v>
      </c>
      <c r="C233" s="166">
        <f>C234</f>
        <v>186000</v>
      </c>
      <c r="D233" s="167">
        <f>D234</f>
        <v>177804</v>
      </c>
      <c r="E233" s="167">
        <f>E234</f>
        <v>172782</v>
      </c>
      <c r="F233" s="275">
        <f t="shared" si="35"/>
        <v>97.17554160761289</v>
      </c>
      <c r="G233" s="133"/>
      <c r="H233" s="170"/>
      <c r="I233" s="132"/>
      <c r="J233" s="169">
        <f>J234</f>
        <v>177804</v>
      </c>
      <c r="K233" s="170">
        <f>K234</f>
        <v>172782</v>
      </c>
      <c r="L233" s="416">
        <f>K233/J233*100</f>
        <v>97.17554160761289</v>
      </c>
      <c r="M233" s="289"/>
      <c r="N233" s="290"/>
      <c r="O233" s="132"/>
      <c r="P233" s="289"/>
      <c r="Q233" s="290"/>
      <c r="R233" s="369"/>
    </row>
    <row r="234" spans="1:18" ht="57.75" customHeight="1">
      <c r="A234" s="420" t="s">
        <v>20</v>
      </c>
      <c r="B234" s="428" t="s">
        <v>261</v>
      </c>
      <c r="C234" s="332">
        <v>186000</v>
      </c>
      <c r="D234" s="128">
        <f>G234+J234+M234+P234</f>
        <v>177804</v>
      </c>
      <c r="E234" s="128">
        <f>H234+K234+N234+Q234</f>
        <v>172782</v>
      </c>
      <c r="F234" s="129"/>
      <c r="G234" s="133"/>
      <c r="H234" s="131"/>
      <c r="I234" s="132"/>
      <c r="J234" s="133">
        <f>186000+5804-14000</f>
        <v>177804</v>
      </c>
      <c r="K234" s="131">
        <v>172782</v>
      </c>
      <c r="L234" s="429"/>
      <c r="M234" s="133"/>
      <c r="N234" s="131"/>
      <c r="O234" s="132"/>
      <c r="P234" s="133"/>
      <c r="Q234" s="131"/>
      <c r="R234" s="136"/>
    </row>
    <row r="235" spans="1:18" ht="42">
      <c r="A235" s="357" t="s">
        <v>283</v>
      </c>
      <c r="B235" s="427" t="s">
        <v>284</v>
      </c>
      <c r="C235" s="166">
        <f>SUM(C236:C238)</f>
        <v>4251000</v>
      </c>
      <c r="D235" s="167">
        <f>SUM(D236:D238)</f>
        <v>3921865</v>
      </c>
      <c r="E235" s="167">
        <f>SUM(E236:E238)</f>
        <v>3788811</v>
      </c>
      <c r="F235" s="275">
        <f t="shared" si="35"/>
        <v>96.60737939730205</v>
      </c>
      <c r="G235" s="169">
        <f>SUM(G236:G238)</f>
        <v>2260431</v>
      </c>
      <c r="H235" s="170">
        <f>SUM(H236:H238)</f>
        <v>2162105</v>
      </c>
      <c r="I235" s="261">
        <f>H235/G235*100</f>
        <v>95.65012159185571</v>
      </c>
      <c r="J235" s="169">
        <f>J237</f>
        <v>1661434</v>
      </c>
      <c r="K235" s="170">
        <f>K237</f>
        <v>1626706</v>
      </c>
      <c r="L235" s="416">
        <f>K235/J235*100</f>
        <v>97.90975747456714</v>
      </c>
      <c r="M235" s="169"/>
      <c r="N235" s="170"/>
      <c r="O235" s="135"/>
      <c r="P235" s="169"/>
      <c r="Q235" s="170"/>
      <c r="R235" s="136"/>
    </row>
    <row r="236" spans="1:18" s="163" customFormat="1" ht="35.25">
      <c r="A236" s="340" t="s">
        <v>34</v>
      </c>
      <c r="B236" s="430" t="s">
        <v>285</v>
      </c>
      <c r="C236" s="431">
        <v>22000</v>
      </c>
      <c r="D236" s="178">
        <f aca="true" t="shared" si="40" ref="D236:E238">G236+J236+M236+P236</f>
        <v>42000</v>
      </c>
      <c r="E236" s="178">
        <f t="shared" si="40"/>
        <v>51951</v>
      </c>
      <c r="F236" s="179">
        <f t="shared" si="35"/>
        <v>123.69285714285714</v>
      </c>
      <c r="G236" s="180">
        <f>22000+20000</f>
        <v>42000</v>
      </c>
      <c r="H236" s="181">
        <v>51951</v>
      </c>
      <c r="I236" s="182">
        <f>H236/G236*100</f>
        <v>123.69285714285714</v>
      </c>
      <c r="J236" s="180"/>
      <c r="K236" s="181"/>
      <c r="L236" s="297"/>
      <c r="M236" s="180"/>
      <c r="N236" s="181"/>
      <c r="O236" s="184"/>
      <c r="P236" s="180"/>
      <c r="Q236" s="181"/>
      <c r="R236" s="185"/>
    </row>
    <row r="237" spans="1:18" ht="62.25" customHeight="1">
      <c r="A237" s="413" t="s">
        <v>20</v>
      </c>
      <c r="B237" s="162" t="s">
        <v>261</v>
      </c>
      <c r="C237" s="152">
        <v>1669000</v>
      </c>
      <c r="D237" s="92">
        <f t="shared" si="40"/>
        <v>1661434</v>
      </c>
      <c r="E237" s="92">
        <f t="shared" si="40"/>
        <v>1626706</v>
      </c>
      <c r="F237" s="186">
        <f t="shared" si="35"/>
        <v>97.90975747456714</v>
      </c>
      <c r="G237" s="154"/>
      <c r="H237" s="155"/>
      <c r="I237" s="156"/>
      <c r="J237" s="154">
        <f>1669000+68198+6000-81764</f>
        <v>1661434</v>
      </c>
      <c r="K237" s="155">
        <v>1626706</v>
      </c>
      <c r="L237" s="298">
        <f>K237/J237*100</f>
        <v>97.90975747456714</v>
      </c>
      <c r="M237" s="154"/>
      <c r="N237" s="155"/>
      <c r="O237" s="160"/>
      <c r="P237" s="154"/>
      <c r="Q237" s="155"/>
      <c r="R237" s="158"/>
    </row>
    <row r="238" spans="1:18" ht="36" customHeight="1">
      <c r="A238" s="418" t="s">
        <v>219</v>
      </c>
      <c r="B238" s="273" t="s">
        <v>286</v>
      </c>
      <c r="C238" s="220">
        <v>2560000</v>
      </c>
      <c r="D238" s="221">
        <f t="shared" si="40"/>
        <v>2218431</v>
      </c>
      <c r="E238" s="221">
        <f t="shared" si="40"/>
        <v>2110154</v>
      </c>
      <c r="F238" s="222">
        <f t="shared" si="35"/>
        <v>95.11920812502169</v>
      </c>
      <c r="G238" s="223">
        <f>2560000-341569</f>
        <v>2218431</v>
      </c>
      <c r="H238" s="224">
        <v>2110154</v>
      </c>
      <c r="I238" s="204">
        <f aca="true" t="shared" si="41" ref="I238:I247">H238/G238*100</f>
        <v>95.11920812502169</v>
      </c>
      <c r="J238" s="223"/>
      <c r="K238" s="224"/>
      <c r="L238" s="279"/>
      <c r="M238" s="223"/>
      <c r="N238" s="224"/>
      <c r="O238" s="367"/>
      <c r="P238" s="223"/>
      <c r="Q238" s="224"/>
      <c r="R238" s="368"/>
    </row>
    <row r="239" spans="1:18" ht="15.75" customHeight="1">
      <c r="A239" s="357" t="s">
        <v>287</v>
      </c>
      <c r="B239" s="415" t="s">
        <v>288</v>
      </c>
      <c r="C239" s="276">
        <f>SUM(C241:C241)</f>
        <v>30000</v>
      </c>
      <c r="D239" s="167">
        <f>SUM(D240:D241)</f>
        <v>30000</v>
      </c>
      <c r="E239" s="167">
        <f>SUM(E240:E241)</f>
        <v>15265</v>
      </c>
      <c r="F239" s="303">
        <f t="shared" si="35"/>
        <v>50.88333333333333</v>
      </c>
      <c r="G239" s="276">
        <f>SUM(G240:G241)</f>
        <v>30000</v>
      </c>
      <c r="H239" s="432">
        <f>SUM(H240:H241)</f>
        <v>15265</v>
      </c>
      <c r="I239" s="419">
        <f t="shared" si="41"/>
        <v>50.88333333333333</v>
      </c>
      <c r="J239" s="358"/>
      <c r="K239" s="359"/>
      <c r="L239" s="134"/>
      <c r="M239" s="358"/>
      <c r="N239" s="359"/>
      <c r="O239" s="433"/>
      <c r="P239" s="358"/>
      <c r="Q239" s="359"/>
      <c r="R239" s="369"/>
    </row>
    <row r="240" spans="1:18" s="137" customFormat="1" ht="15.75" customHeight="1">
      <c r="A240" s="413" t="s">
        <v>85</v>
      </c>
      <c r="B240" s="161" t="s">
        <v>127</v>
      </c>
      <c r="C240" s="152"/>
      <c r="D240" s="92"/>
      <c r="E240" s="92">
        <f>H240+K240+N240+Q240</f>
        <v>64</v>
      </c>
      <c r="F240" s="186"/>
      <c r="G240" s="154"/>
      <c r="H240" s="155">
        <v>64</v>
      </c>
      <c r="I240" s="156"/>
      <c r="J240" s="154"/>
      <c r="K240" s="155"/>
      <c r="L240" s="157"/>
      <c r="M240" s="154"/>
      <c r="N240" s="155"/>
      <c r="O240" s="160"/>
      <c r="P240" s="154"/>
      <c r="Q240" s="155"/>
      <c r="R240" s="158"/>
    </row>
    <row r="241" spans="1:18" ht="28.5" customHeight="1">
      <c r="A241" s="418" t="s">
        <v>34</v>
      </c>
      <c r="B241" s="434" t="s">
        <v>289</v>
      </c>
      <c r="C241" s="220">
        <v>30000</v>
      </c>
      <c r="D241" s="221">
        <f>G241+J241+M241+P241</f>
        <v>30000</v>
      </c>
      <c r="E241" s="221">
        <f>H241+K241+N241+Q241</f>
        <v>15201</v>
      </c>
      <c r="F241" s="278">
        <f t="shared" si="35"/>
        <v>50.67</v>
      </c>
      <c r="G241" s="223">
        <v>30000</v>
      </c>
      <c r="H241" s="224">
        <v>15201</v>
      </c>
      <c r="I241" s="204">
        <f t="shared" si="41"/>
        <v>50.67</v>
      </c>
      <c r="J241" s="205"/>
      <c r="K241" s="206"/>
      <c r="L241" s="207"/>
      <c r="M241" s="205"/>
      <c r="N241" s="206"/>
      <c r="O241" s="204"/>
      <c r="P241" s="205"/>
      <c r="Q241" s="206"/>
      <c r="R241" s="209"/>
    </row>
    <row r="242" spans="1:18" s="338" customFormat="1" ht="28.5" customHeight="1">
      <c r="A242" s="411" t="s">
        <v>290</v>
      </c>
      <c r="B242" s="412" t="s">
        <v>291</v>
      </c>
      <c r="C242" s="140"/>
      <c r="D242" s="141">
        <f>D243</f>
        <v>23670</v>
      </c>
      <c r="E242" s="313">
        <f>H242+K242+N242+Q242</f>
        <v>20272</v>
      </c>
      <c r="F242" s="266">
        <f>E242/E242*100</f>
        <v>100</v>
      </c>
      <c r="G242" s="143"/>
      <c r="H242" s="144"/>
      <c r="I242" s="145"/>
      <c r="J242" s="213"/>
      <c r="K242" s="214"/>
      <c r="L242" s="146"/>
      <c r="M242" s="213">
        <f>M243</f>
        <v>23670</v>
      </c>
      <c r="N242" s="214">
        <f>N243</f>
        <v>20272</v>
      </c>
      <c r="O242" s="145">
        <f>N242/M242*100</f>
        <v>85.64427545416139</v>
      </c>
      <c r="P242" s="213"/>
      <c r="Q242" s="214"/>
      <c r="R242" s="435"/>
    </row>
    <row r="243" spans="1:18" ht="48" customHeight="1">
      <c r="A243" s="418" t="s">
        <v>242</v>
      </c>
      <c r="B243" s="151" t="s">
        <v>243</v>
      </c>
      <c r="C243" s="220"/>
      <c r="D243" s="221">
        <f>M243</f>
        <v>23670</v>
      </c>
      <c r="E243" s="221">
        <f>H243+K243+N243+Q243</f>
        <v>20272</v>
      </c>
      <c r="F243" s="278">
        <f>E243/D243*100</f>
        <v>85.64427545416139</v>
      </c>
      <c r="G243" s="223"/>
      <c r="H243" s="224"/>
      <c r="I243" s="204"/>
      <c r="J243" s="205"/>
      <c r="K243" s="206"/>
      <c r="L243" s="207"/>
      <c r="M243" s="205">
        <v>23670</v>
      </c>
      <c r="N243" s="206">
        <v>20272</v>
      </c>
      <c r="O243" s="204">
        <f>N243/M243*100</f>
        <v>85.64427545416139</v>
      </c>
      <c r="P243" s="205"/>
      <c r="Q243" s="206"/>
      <c r="R243" s="209"/>
    </row>
    <row r="244" spans="1:18" ht="12.75">
      <c r="A244" s="357" t="s">
        <v>292</v>
      </c>
      <c r="B244" s="415" t="s">
        <v>293</v>
      </c>
      <c r="C244" s="166">
        <f>SUM(C245:C247)</f>
        <v>1225000</v>
      </c>
      <c r="D244" s="167">
        <f>SUM(D245:D247)</f>
        <v>1381473</v>
      </c>
      <c r="E244" s="167">
        <f>SUM(E245:E247)</f>
        <v>1380524</v>
      </c>
      <c r="F244" s="275">
        <f t="shared" si="35"/>
        <v>99.9313052082813</v>
      </c>
      <c r="G244" s="169">
        <f>SUM(G245:G247)</f>
        <v>1381473</v>
      </c>
      <c r="H244" s="170">
        <f>SUM(H245:H247)</f>
        <v>1380524</v>
      </c>
      <c r="I244" s="419">
        <f t="shared" si="41"/>
        <v>99.9313052082813</v>
      </c>
      <c r="J244" s="169"/>
      <c r="K244" s="170"/>
      <c r="L244" s="416"/>
      <c r="M244" s="133"/>
      <c r="N244" s="131"/>
      <c r="O244" s="135"/>
      <c r="P244" s="133"/>
      <c r="Q244" s="131"/>
      <c r="R244" s="136"/>
    </row>
    <row r="245" spans="1:18" ht="15.75" customHeight="1">
      <c r="A245" s="340" t="s">
        <v>95</v>
      </c>
      <c r="B245" s="430" t="s">
        <v>96</v>
      </c>
      <c r="C245" s="177">
        <v>2000</v>
      </c>
      <c r="D245" s="178">
        <f aca="true" t="shared" si="42" ref="D245:E247">G245+J245+M245+P245</f>
        <v>2000</v>
      </c>
      <c r="E245" s="178">
        <f t="shared" si="42"/>
        <v>282</v>
      </c>
      <c r="F245" s="179">
        <f t="shared" si="35"/>
        <v>14.099999999999998</v>
      </c>
      <c r="G245" s="180">
        <v>2000</v>
      </c>
      <c r="H245" s="181">
        <v>282</v>
      </c>
      <c r="I245" s="182">
        <f t="shared" si="41"/>
        <v>14.099999999999998</v>
      </c>
      <c r="J245" s="180"/>
      <c r="K245" s="181"/>
      <c r="L245" s="297"/>
      <c r="M245" s="180"/>
      <c r="N245" s="181"/>
      <c r="O245" s="182"/>
      <c r="P245" s="180"/>
      <c r="Q245" s="181"/>
      <c r="R245" s="185"/>
    </row>
    <row r="246" spans="1:18" ht="17.25" customHeight="1">
      <c r="A246" s="413" t="s">
        <v>34</v>
      </c>
      <c r="B246" s="161" t="s">
        <v>35</v>
      </c>
      <c r="C246" s="152">
        <v>4000</v>
      </c>
      <c r="D246" s="92">
        <f t="shared" si="42"/>
        <v>9000</v>
      </c>
      <c r="E246" s="92">
        <f t="shared" si="42"/>
        <v>12824</v>
      </c>
      <c r="F246" s="298">
        <f t="shared" si="35"/>
        <v>142.48888888888888</v>
      </c>
      <c r="G246" s="154">
        <f>4000+5000</f>
        <v>9000</v>
      </c>
      <c r="H246" s="155">
        <v>12824</v>
      </c>
      <c r="I246" s="156">
        <f t="shared" si="41"/>
        <v>142.48888888888888</v>
      </c>
      <c r="J246" s="154"/>
      <c r="K246" s="155"/>
      <c r="L246" s="157"/>
      <c r="M246" s="154"/>
      <c r="N246" s="436"/>
      <c r="O246" s="156"/>
      <c r="P246" s="437"/>
      <c r="Q246" s="436"/>
      <c r="R246" s="257"/>
    </row>
    <row r="247" spans="1:18" ht="36.75" customHeight="1">
      <c r="A247" s="418" t="s">
        <v>219</v>
      </c>
      <c r="B247" s="273" t="s">
        <v>286</v>
      </c>
      <c r="C247" s="220">
        <v>1219000</v>
      </c>
      <c r="D247" s="221">
        <f t="shared" si="42"/>
        <v>1370473</v>
      </c>
      <c r="E247" s="221">
        <f t="shared" si="42"/>
        <v>1367418</v>
      </c>
      <c r="F247" s="222">
        <f t="shared" si="35"/>
        <v>99.7770842621489</v>
      </c>
      <c r="G247" s="223">
        <f>1219000+76000+6000+41000+1473+27000</f>
        <v>1370473</v>
      </c>
      <c r="H247" s="224">
        <v>1367418</v>
      </c>
      <c r="I247" s="204">
        <f t="shared" si="41"/>
        <v>99.7770842621489</v>
      </c>
      <c r="J247" s="223"/>
      <c r="K247" s="224"/>
      <c r="L247" s="279"/>
      <c r="M247" s="223"/>
      <c r="N247" s="224"/>
      <c r="O247" s="367"/>
      <c r="P247" s="223"/>
      <c r="Q247" s="224"/>
      <c r="R247" s="274"/>
    </row>
    <row r="248" spans="1:18" ht="59.25" customHeight="1">
      <c r="A248" s="357" t="s">
        <v>294</v>
      </c>
      <c r="B248" s="415" t="s">
        <v>295</v>
      </c>
      <c r="C248" s="276">
        <f>SUM(C249:C251)</f>
        <v>23000</v>
      </c>
      <c r="D248" s="167">
        <f>SUM(D249:D251)</f>
        <v>52500</v>
      </c>
      <c r="E248" s="167">
        <f>SUM(E249:E251)</f>
        <v>54495</v>
      </c>
      <c r="F248" s="275">
        <f t="shared" si="35"/>
        <v>103.8</v>
      </c>
      <c r="G248" s="276">
        <f>SUM(G249:G251)</f>
        <v>10000</v>
      </c>
      <c r="H248" s="167">
        <f>SUM(H249:H251)</f>
        <v>12025</v>
      </c>
      <c r="I248" s="261">
        <f>H248/G248*100</f>
        <v>120.24999999999999</v>
      </c>
      <c r="J248" s="169"/>
      <c r="K248" s="170"/>
      <c r="L248" s="416"/>
      <c r="M248" s="276">
        <f>SUM(M249:M251)</f>
        <v>25000</v>
      </c>
      <c r="N248" s="167">
        <f>SUM(N249:N251)</f>
        <v>25000</v>
      </c>
      <c r="O248" s="261">
        <f>N248/M248*100</f>
        <v>100</v>
      </c>
      <c r="P248" s="276">
        <f>SUM(P249:P251)</f>
        <v>17500</v>
      </c>
      <c r="Q248" s="167">
        <f>SUM(Q249:Q251)</f>
        <v>17470</v>
      </c>
      <c r="R248" s="262">
        <f>Q248/P248*100</f>
        <v>99.82857142857144</v>
      </c>
    </row>
    <row r="249" spans="1:18" s="163" customFormat="1" ht="34.5">
      <c r="A249" s="340" t="s">
        <v>95</v>
      </c>
      <c r="B249" s="277" t="s">
        <v>296</v>
      </c>
      <c r="C249" s="177">
        <v>10000</v>
      </c>
      <c r="D249" s="178">
        <f aca="true" t="shared" si="43" ref="D249:E251">G249+J249+M249+P249</f>
        <v>10000</v>
      </c>
      <c r="E249" s="178">
        <f t="shared" si="43"/>
        <v>12025</v>
      </c>
      <c r="F249" s="179">
        <f t="shared" si="35"/>
        <v>120.24999999999999</v>
      </c>
      <c r="G249" s="180">
        <v>10000</v>
      </c>
      <c r="H249" s="181">
        <v>12025</v>
      </c>
      <c r="I249" s="406">
        <f>H249/G249*100</f>
        <v>120.24999999999999</v>
      </c>
      <c r="J249" s="180"/>
      <c r="K249" s="181"/>
      <c r="L249" s="297"/>
      <c r="M249" s="180"/>
      <c r="N249" s="181"/>
      <c r="O249" s="184"/>
      <c r="P249" s="180"/>
      <c r="Q249" s="181"/>
      <c r="R249" s="256"/>
    </row>
    <row r="250" spans="1:18" s="163" customFormat="1" ht="64.5" customHeight="1">
      <c r="A250" s="413" t="s">
        <v>70</v>
      </c>
      <c r="B250" s="258" t="s">
        <v>71</v>
      </c>
      <c r="C250" s="152">
        <v>13000</v>
      </c>
      <c r="D250" s="92">
        <f t="shared" si="43"/>
        <v>17500</v>
      </c>
      <c r="E250" s="92">
        <f t="shared" si="43"/>
        <v>17470</v>
      </c>
      <c r="F250" s="298">
        <f t="shared" si="35"/>
        <v>99.82857142857144</v>
      </c>
      <c r="G250" s="154"/>
      <c r="H250" s="155"/>
      <c r="I250" s="156"/>
      <c r="J250" s="154"/>
      <c r="K250" s="155"/>
      <c r="L250" s="298"/>
      <c r="M250" s="154"/>
      <c r="N250" s="155"/>
      <c r="O250" s="160"/>
      <c r="P250" s="154">
        <f>13000+4500</f>
        <v>17500</v>
      </c>
      <c r="Q250" s="155">
        <v>17470</v>
      </c>
      <c r="R250" s="257">
        <f>Q250/P250*100</f>
        <v>99.82857142857144</v>
      </c>
    </row>
    <row r="251" spans="1:18" s="137" customFormat="1" ht="49.5" customHeight="1">
      <c r="A251" s="197" t="s">
        <v>242</v>
      </c>
      <c r="B251" s="434" t="s">
        <v>297</v>
      </c>
      <c r="C251" s="220"/>
      <c r="D251" s="221">
        <f t="shared" si="43"/>
        <v>25000</v>
      </c>
      <c r="E251" s="221">
        <f t="shared" si="43"/>
        <v>25000</v>
      </c>
      <c r="F251" s="438">
        <f>E251/D251*100</f>
        <v>100</v>
      </c>
      <c r="G251" s="223"/>
      <c r="H251" s="224"/>
      <c r="I251" s="204"/>
      <c r="J251" s="223"/>
      <c r="K251" s="224"/>
      <c r="L251" s="207"/>
      <c r="M251" s="223">
        <v>25000</v>
      </c>
      <c r="N251" s="224">
        <v>25000</v>
      </c>
      <c r="O251" s="204">
        <f>N251/M251*100</f>
        <v>100</v>
      </c>
      <c r="P251" s="223"/>
      <c r="Q251" s="224"/>
      <c r="R251" s="368"/>
    </row>
    <row r="252" spans="1:18" s="338" customFormat="1" ht="24.75" customHeight="1">
      <c r="A252" s="357" t="s">
        <v>298</v>
      </c>
      <c r="B252" s="439" t="s">
        <v>299</v>
      </c>
      <c r="C252" s="166"/>
      <c r="D252" s="210"/>
      <c r="E252" s="210">
        <f>H252+K252+N252+Q252</f>
        <v>306</v>
      </c>
      <c r="F252" s="416"/>
      <c r="G252" s="289"/>
      <c r="H252" s="290"/>
      <c r="I252" s="375"/>
      <c r="J252" s="289"/>
      <c r="K252" s="290"/>
      <c r="L252" s="328"/>
      <c r="M252" s="289"/>
      <c r="N252" s="290">
        <f>SUM(N253:N253)</f>
        <v>306</v>
      </c>
      <c r="O252" s="261"/>
      <c r="P252" s="169"/>
      <c r="Q252" s="170"/>
      <c r="R252" s="262"/>
    </row>
    <row r="253" spans="1:18" ht="21.75" customHeight="1">
      <c r="A253" s="420" t="s">
        <v>34</v>
      </c>
      <c r="B253" s="126" t="s">
        <v>35</v>
      </c>
      <c r="C253" s="332"/>
      <c r="D253" s="128"/>
      <c r="E253" s="128">
        <f>H253+K253+N253+Q253</f>
        <v>306</v>
      </c>
      <c r="F253" s="129"/>
      <c r="G253" s="133"/>
      <c r="H253" s="131"/>
      <c r="I253" s="132"/>
      <c r="J253" s="133"/>
      <c r="K253" s="131"/>
      <c r="L253" s="429"/>
      <c r="M253" s="133"/>
      <c r="N253" s="131">
        <v>306</v>
      </c>
      <c r="O253" s="132"/>
      <c r="P253" s="133"/>
      <c r="Q253" s="131"/>
      <c r="R253" s="270"/>
    </row>
    <row r="254" spans="1:18" ht="39.75" customHeight="1">
      <c r="A254" s="357" t="s">
        <v>300</v>
      </c>
      <c r="B254" s="415" t="s">
        <v>301</v>
      </c>
      <c r="C254" s="166">
        <f>SUM(C255:C256)</f>
        <v>223000</v>
      </c>
      <c r="D254" s="167">
        <f>SUM(D255:D257)</f>
        <v>223000</v>
      </c>
      <c r="E254" s="167">
        <f>SUM(E255:E257)</f>
        <v>228534</v>
      </c>
      <c r="F254" s="275">
        <f t="shared" si="35"/>
        <v>102.48161434977578</v>
      </c>
      <c r="G254" s="169">
        <f>SUM(G255:G257)</f>
        <v>78000</v>
      </c>
      <c r="H254" s="170">
        <f>SUM(H255:H257)</f>
        <v>97601</v>
      </c>
      <c r="I254" s="261">
        <f>H254/G254*100</f>
        <v>125.12948717948717</v>
      </c>
      <c r="J254" s="289">
        <f>J256</f>
        <v>145000</v>
      </c>
      <c r="K254" s="290">
        <f>SUM(K256)</f>
        <v>130933</v>
      </c>
      <c r="L254" s="416">
        <f>K254/J254*100</f>
        <v>90.29862068965517</v>
      </c>
      <c r="M254" s="440"/>
      <c r="N254" s="441"/>
      <c r="O254" s="442"/>
      <c r="P254" s="440"/>
      <c r="Q254" s="441"/>
      <c r="R254" s="443"/>
    </row>
    <row r="255" spans="1:18" s="163" customFormat="1" ht="22.5">
      <c r="A255" s="340" t="s">
        <v>95</v>
      </c>
      <c r="B255" s="430" t="s">
        <v>302</v>
      </c>
      <c r="C255" s="177">
        <v>78000</v>
      </c>
      <c r="D255" s="178">
        <f aca="true" t="shared" si="44" ref="D255:E257">G255+J255+M255+P255</f>
        <v>78000</v>
      </c>
      <c r="E255" s="178">
        <f t="shared" si="44"/>
        <v>96856</v>
      </c>
      <c r="F255" s="263">
        <f t="shared" si="35"/>
        <v>124.17435897435898</v>
      </c>
      <c r="G255" s="180">
        <v>78000</v>
      </c>
      <c r="H255" s="181">
        <v>96856</v>
      </c>
      <c r="I255" s="182">
        <f>H255/G255*100</f>
        <v>124.17435897435898</v>
      </c>
      <c r="J255" s="444"/>
      <c r="K255" s="445"/>
      <c r="L255" s="297"/>
      <c r="M255" s="446"/>
      <c r="N255" s="447"/>
      <c r="O255" s="448"/>
      <c r="P255" s="446"/>
      <c r="Q255" s="447"/>
      <c r="R255" s="449"/>
    </row>
    <row r="256" spans="1:18" s="163" customFormat="1" ht="74.25" customHeight="1">
      <c r="A256" s="413" t="s">
        <v>20</v>
      </c>
      <c r="B256" s="161" t="s">
        <v>261</v>
      </c>
      <c r="C256" s="152">
        <v>145000</v>
      </c>
      <c r="D256" s="92">
        <f t="shared" si="44"/>
        <v>145000</v>
      </c>
      <c r="E256" s="92">
        <f t="shared" si="44"/>
        <v>130933</v>
      </c>
      <c r="F256" s="159">
        <f t="shared" si="35"/>
        <v>90.29862068965517</v>
      </c>
      <c r="G256" s="154"/>
      <c r="H256" s="155"/>
      <c r="I256" s="156"/>
      <c r="J256" s="154">
        <v>145000</v>
      </c>
      <c r="K256" s="188">
        <v>130933</v>
      </c>
      <c r="L256" s="298">
        <f>K256/J256*100</f>
        <v>90.29862068965517</v>
      </c>
      <c r="M256" s="450"/>
      <c r="N256" s="451"/>
      <c r="O256" s="452"/>
      <c r="P256" s="450"/>
      <c r="Q256" s="451"/>
      <c r="R256" s="453"/>
    </row>
    <row r="257" spans="1:18" s="163" customFormat="1" ht="50.25" customHeight="1">
      <c r="A257" s="418" t="s">
        <v>72</v>
      </c>
      <c r="B257" s="454" t="s">
        <v>128</v>
      </c>
      <c r="C257" s="220"/>
      <c r="D257" s="221"/>
      <c r="E257" s="221">
        <f t="shared" si="44"/>
        <v>745</v>
      </c>
      <c r="F257" s="278"/>
      <c r="G257" s="223"/>
      <c r="H257" s="224">
        <v>745</v>
      </c>
      <c r="I257" s="204"/>
      <c r="J257" s="223"/>
      <c r="K257" s="206"/>
      <c r="L257" s="279"/>
      <c r="M257" s="455"/>
      <c r="N257" s="456"/>
      <c r="O257" s="457"/>
      <c r="P257" s="455"/>
      <c r="Q257" s="456"/>
      <c r="R257" s="458"/>
    </row>
    <row r="258" spans="1:18" ht="14.25" customHeight="1">
      <c r="A258" s="357" t="s">
        <v>303</v>
      </c>
      <c r="B258" s="459" t="s">
        <v>19</v>
      </c>
      <c r="C258" s="166">
        <f>SUM(C259:C264)</f>
        <v>751200</v>
      </c>
      <c r="D258" s="170">
        <f>G258+J258</f>
        <v>1149480</v>
      </c>
      <c r="E258" s="424">
        <f>H258+K258</f>
        <v>1066175</v>
      </c>
      <c r="F258" s="275">
        <f t="shared" si="35"/>
        <v>92.75280996624561</v>
      </c>
      <c r="G258" s="169">
        <f>G259+G260+G261+G264</f>
        <v>1126400</v>
      </c>
      <c r="H258" s="170">
        <f>H259+H260+H261+H264</f>
        <v>1043943</v>
      </c>
      <c r="I258" s="419">
        <f aca="true" t="shared" si="45" ref="I258:I266">H258/G258*100</f>
        <v>92.6795987215909</v>
      </c>
      <c r="J258" s="289">
        <f>J261</f>
        <v>23080</v>
      </c>
      <c r="K258" s="290">
        <f>K261</f>
        <v>22232</v>
      </c>
      <c r="L258" s="460">
        <f>K258/J258*100</f>
        <v>96.3258232235702</v>
      </c>
      <c r="M258" s="461"/>
      <c r="N258" s="462"/>
      <c r="O258" s="463"/>
      <c r="P258" s="440"/>
      <c r="Q258" s="441"/>
      <c r="R258" s="443"/>
    </row>
    <row r="259" spans="1:18" s="163" customFormat="1" ht="22.5">
      <c r="A259" s="340" t="s">
        <v>95</v>
      </c>
      <c r="B259" s="277" t="s">
        <v>304</v>
      </c>
      <c r="C259" s="177">
        <v>5000</v>
      </c>
      <c r="D259" s="178">
        <f aca="true" t="shared" si="46" ref="D259:E264">G259+J259+M259+P259</f>
        <v>5000</v>
      </c>
      <c r="E259" s="178">
        <f t="shared" si="46"/>
        <v>6274</v>
      </c>
      <c r="F259" s="179">
        <f t="shared" si="35"/>
        <v>125.47999999999999</v>
      </c>
      <c r="G259" s="180">
        <v>5000</v>
      </c>
      <c r="H259" s="181">
        <v>6274</v>
      </c>
      <c r="I259" s="182">
        <f t="shared" si="45"/>
        <v>125.47999999999999</v>
      </c>
      <c r="J259" s="244"/>
      <c r="K259" s="245"/>
      <c r="L259" s="183"/>
      <c r="M259" s="244"/>
      <c r="N259" s="245"/>
      <c r="O259" s="246"/>
      <c r="P259" s="244"/>
      <c r="Q259" s="245"/>
      <c r="R259" s="247"/>
    </row>
    <row r="260" spans="1:18" s="163" customFormat="1" ht="27" customHeight="1">
      <c r="A260" s="413" t="s">
        <v>34</v>
      </c>
      <c r="B260" s="151" t="s">
        <v>305</v>
      </c>
      <c r="C260" s="152">
        <v>151200</v>
      </c>
      <c r="D260" s="92">
        <f t="shared" si="46"/>
        <v>221400</v>
      </c>
      <c r="E260" s="92">
        <f t="shared" si="46"/>
        <v>137669</v>
      </c>
      <c r="F260" s="186">
        <f t="shared" si="35"/>
        <v>62.18112014453477</v>
      </c>
      <c r="G260" s="154">
        <v>221400</v>
      </c>
      <c r="H260" s="155">
        <v>137669</v>
      </c>
      <c r="I260" s="156">
        <f t="shared" si="45"/>
        <v>62.18112014453477</v>
      </c>
      <c r="J260" s="187"/>
      <c r="K260" s="188"/>
      <c r="L260" s="157"/>
      <c r="M260" s="187"/>
      <c r="N260" s="188"/>
      <c r="O260" s="189"/>
      <c r="P260" s="187"/>
      <c r="Q260" s="188"/>
      <c r="R260" s="190"/>
    </row>
    <row r="261" spans="1:18" s="163" customFormat="1" ht="64.5" customHeight="1">
      <c r="A261" s="150" t="s">
        <v>92</v>
      </c>
      <c r="B261" s="151" t="s">
        <v>306</v>
      </c>
      <c r="C261" s="152"/>
      <c r="D261" s="92">
        <f t="shared" si="46"/>
        <v>23080</v>
      </c>
      <c r="E261" s="92">
        <f t="shared" si="46"/>
        <v>22232</v>
      </c>
      <c r="F261" s="186">
        <f t="shared" si="35"/>
        <v>96.3258232235702</v>
      </c>
      <c r="G261" s="154"/>
      <c r="H261" s="155"/>
      <c r="I261" s="156"/>
      <c r="J261" s="154">
        <f>10250+12830</f>
        <v>23080</v>
      </c>
      <c r="K261" s="155">
        <v>22232</v>
      </c>
      <c r="L261" s="156">
        <f>K261/J261*100</f>
        <v>96.3258232235702</v>
      </c>
      <c r="M261" s="154"/>
      <c r="N261" s="155"/>
      <c r="O261" s="156"/>
      <c r="P261" s="154"/>
      <c r="Q261" s="155"/>
      <c r="R261" s="158"/>
    </row>
    <row r="262" spans="1:18" s="472" customFormat="1" ht="49.5" customHeight="1">
      <c r="A262" s="464"/>
      <c r="B262" s="465" t="s">
        <v>307</v>
      </c>
      <c r="C262" s="466"/>
      <c r="D262" s="467">
        <f>J262</f>
        <v>10250</v>
      </c>
      <c r="E262" s="467">
        <f t="shared" si="46"/>
        <v>10247</v>
      </c>
      <c r="F262" s="186">
        <f t="shared" si="35"/>
        <v>99.97073170731707</v>
      </c>
      <c r="G262" s="468"/>
      <c r="H262" s="469"/>
      <c r="I262" s="156"/>
      <c r="J262" s="468">
        <v>10250</v>
      </c>
      <c r="K262" s="469">
        <v>10247</v>
      </c>
      <c r="L262" s="156">
        <f>K262/J262*100</f>
        <v>99.97073170731707</v>
      </c>
      <c r="M262" s="468"/>
      <c r="N262" s="469"/>
      <c r="O262" s="470"/>
      <c r="P262" s="468"/>
      <c r="Q262" s="469"/>
      <c r="R262" s="471"/>
    </row>
    <row r="263" spans="1:18" s="472" customFormat="1" ht="56.25" customHeight="1">
      <c r="A263" s="473"/>
      <c r="B263" s="474" t="s">
        <v>308</v>
      </c>
      <c r="C263" s="475"/>
      <c r="D263" s="476">
        <f>J263</f>
        <v>12830</v>
      </c>
      <c r="E263" s="476">
        <f t="shared" si="46"/>
        <v>11985</v>
      </c>
      <c r="F263" s="222">
        <f t="shared" si="35"/>
        <v>93.41387373343726</v>
      </c>
      <c r="G263" s="477"/>
      <c r="H263" s="478"/>
      <c r="I263" s="479"/>
      <c r="J263" s="477">
        <v>12830</v>
      </c>
      <c r="K263" s="478">
        <v>11985</v>
      </c>
      <c r="L263" s="479">
        <f>K263/J263*100</f>
        <v>93.41387373343726</v>
      </c>
      <c r="M263" s="477"/>
      <c r="N263" s="478"/>
      <c r="O263" s="480"/>
      <c r="P263" s="477"/>
      <c r="Q263" s="478"/>
      <c r="R263" s="481"/>
    </row>
    <row r="264" spans="1:18" s="163" customFormat="1" ht="48.75" customHeight="1" thickBot="1">
      <c r="A264" s="413" t="s">
        <v>219</v>
      </c>
      <c r="B264" s="151" t="s">
        <v>286</v>
      </c>
      <c r="C264" s="152">
        <v>595000</v>
      </c>
      <c r="D264" s="92">
        <f t="shared" si="46"/>
        <v>900000</v>
      </c>
      <c r="E264" s="92">
        <f t="shared" si="46"/>
        <v>900000</v>
      </c>
      <c r="F264" s="186">
        <f t="shared" si="35"/>
        <v>100</v>
      </c>
      <c r="G264" s="154">
        <f>595000+42000+42000+221000</f>
        <v>900000</v>
      </c>
      <c r="H264" s="155">
        <v>900000</v>
      </c>
      <c r="I264" s="156">
        <f>H264/G264*100</f>
        <v>100</v>
      </c>
      <c r="J264" s="154"/>
      <c r="K264" s="155"/>
      <c r="L264" s="156"/>
      <c r="M264" s="187"/>
      <c r="N264" s="188"/>
      <c r="O264" s="189"/>
      <c r="P264" s="187"/>
      <c r="Q264" s="188"/>
      <c r="R264" s="190"/>
    </row>
    <row r="265" spans="1:18" ht="39" customHeight="1" thickBot="1" thickTop="1">
      <c r="A265" s="409" t="s">
        <v>309</v>
      </c>
      <c r="B265" s="104" t="s">
        <v>310</v>
      </c>
      <c r="C265" s="264">
        <f>C266+C270+C272</f>
        <v>178000</v>
      </c>
      <c r="D265" s="64">
        <f>D266+D268+D270+D272+D274</f>
        <v>1586112</v>
      </c>
      <c r="E265" s="64">
        <f>E266+E268+E270+E272+E274</f>
        <v>1166859</v>
      </c>
      <c r="F265" s="294">
        <f t="shared" si="35"/>
        <v>73.56725124076988</v>
      </c>
      <c r="G265" s="64">
        <f>G266+G268+G270+G272+G274</f>
        <v>1052818</v>
      </c>
      <c r="H265" s="64">
        <f>H266+H268+H270+H272+H274</f>
        <v>757884</v>
      </c>
      <c r="I265" s="252">
        <f t="shared" si="45"/>
        <v>71.98623123844767</v>
      </c>
      <c r="J265" s="109"/>
      <c r="K265" s="107"/>
      <c r="L265" s="482"/>
      <c r="M265" s="265">
        <f>M268+M266+M270+M272+M274</f>
        <v>362294</v>
      </c>
      <c r="N265" s="64">
        <f>N268+N266+N270+N272+N274</f>
        <v>238400</v>
      </c>
      <c r="O265" s="252">
        <f>N265/M265*100</f>
        <v>65.80291144760885</v>
      </c>
      <c r="P265" s="265">
        <f>P266+P270+P272</f>
        <v>171000</v>
      </c>
      <c r="Q265" s="64">
        <f>Q266+Q270+Q272</f>
        <v>170575</v>
      </c>
      <c r="R265" s="253">
        <f>Q265/P265*100</f>
        <v>99.75146198830409</v>
      </c>
    </row>
    <row r="266" spans="1:18" ht="18.75" customHeight="1" thickTop="1">
      <c r="A266" s="483" t="s">
        <v>311</v>
      </c>
      <c r="B266" s="114" t="s">
        <v>312</v>
      </c>
      <c r="C266" s="321">
        <f>C267</f>
        <v>2800</v>
      </c>
      <c r="D266" s="116">
        <f>D267</f>
        <v>1400</v>
      </c>
      <c r="E266" s="116">
        <f>E267</f>
        <v>2945</v>
      </c>
      <c r="F266" s="117">
        <f t="shared" si="35"/>
        <v>210.35714285714286</v>
      </c>
      <c r="G266" s="121">
        <f>G267</f>
        <v>1400</v>
      </c>
      <c r="H266" s="119">
        <f>H267</f>
        <v>2945</v>
      </c>
      <c r="I266" s="120">
        <f t="shared" si="45"/>
        <v>210.35714285714286</v>
      </c>
      <c r="J266" s="121"/>
      <c r="K266" s="119"/>
      <c r="L266" s="484"/>
      <c r="M266" s="121"/>
      <c r="N266" s="119"/>
      <c r="O266" s="120"/>
      <c r="P266" s="121"/>
      <c r="Q266" s="119"/>
      <c r="R266" s="325"/>
    </row>
    <row r="267" spans="1:18" ht="58.5" customHeight="1">
      <c r="A267" s="420" t="s">
        <v>63</v>
      </c>
      <c r="B267" s="219" t="s">
        <v>64</v>
      </c>
      <c r="C267" s="332">
        <v>2800</v>
      </c>
      <c r="D267" s="128">
        <f aca="true" t="shared" si="47" ref="D267:E269">G267+J267+M267+P267</f>
        <v>1400</v>
      </c>
      <c r="E267" s="128">
        <f t="shared" si="47"/>
        <v>2945</v>
      </c>
      <c r="F267" s="129"/>
      <c r="G267" s="133">
        <f>2800-1400</f>
        <v>1400</v>
      </c>
      <c r="H267" s="131">
        <v>2945</v>
      </c>
      <c r="I267" s="132"/>
      <c r="J267" s="133"/>
      <c r="K267" s="131"/>
      <c r="L267" s="134"/>
      <c r="M267" s="133"/>
      <c r="N267" s="131"/>
      <c r="O267" s="132"/>
      <c r="P267" s="133"/>
      <c r="Q267" s="131"/>
      <c r="R267" s="270"/>
    </row>
    <row r="268" spans="1:18" s="218" customFormat="1" ht="39.75" customHeight="1">
      <c r="A268" s="357" t="s">
        <v>313</v>
      </c>
      <c r="B268" s="415" t="s">
        <v>314</v>
      </c>
      <c r="C268" s="166"/>
      <c r="D268" s="210">
        <f t="shared" si="47"/>
        <v>46204</v>
      </c>
      <c r="E268" s="313">
        <f t="shared" si="47"/>
        <v>51172</v>
      </c>
      <c r="F268" s="260">
        <f aca="true" t="shared" si="48" ref="F268:F311">E268/D268*100</f>
        <v>110.7523158168124</v>
      </c>
      <c r="G268" s="169"/>
      <c r="H268" s="170"/>
      <c r="I268" s="132"/>
      <c r="J268" s="169"/>
      <c r="K268" s="170"/>
      <c r="L268" s="172"/>
      <c r="M268" s="169">
        <f>M269</f>
        <v>46204</v>
      </c>
      <c r="N268" s="170">
        <f>N269</f>
        <v>51172</v>
      </c>
      <c r="O268" s="261">
        <f>N268/M268*100</f>
        <v>110.7523158168124</v>
      </c>
      <c r="P268" s="169"/>
      <c r="Q268" s="170"/>
      <c r="R268" s="262"/>
    </row>
    <row r="269" spans="1:18" ht="47.25" customHeight="1">
      <c r="A269" s="418" t="s">
        <v>266</v>
      </c>
      <c r="B269" s="485" t="s">
        <v>267</v>
      </c>
      <c r="C269" s="220"/>
      <c r="D269" s="221">
        <f t="shared" si="47"/>
        <v>46204</v>
      </c>
      <c r="E269" s="339">
        <f t="shared" si="47"/>
        <v>51172</v>
      </c>
      <c r="F269" s="278"/>
      <c r="G269" s="223"/>
      <c r="H269" s="224"/>
      <c r="I269" s="204"/>
      <c r="J269" s="223"/>
      <c r="K269" s="224"/>
      <c r="L269" s="207"/>
      <c r="M269" s="223">
        <v>46204</v>
      </c>
      <c r="N269" s="224">
        <v>51172</v>
      </c>
      <c r="O269" s="204"/>
      <c r="P269" s="223"/>
      <c r="Q269" s="224"/>
      <c r="R269" s="274"/>
    </row>
    <row r="270" spans="1:18" ht="24" customHeight="1">
      <c r="A270" s="357" t="s">
        <v>315</v>
      </c>
      <c r="B270" s="415" t="s">
        <v>316</v>
      </c>
      <c r="C270" s="166">
        <f>C271</f>
        <v>108000</v>
      </c>
      <c r="D270" s="167">
        <f>D271</f>
        <v>171000</v>
      </c>
      <c r="E270" s="167">
        <f>E271</f>
        <v>170575</v>
      </c>
      <c r="F270" s="275">
        <f t="shared" si="48"/>
        <v>99.75146198830409</v>
      </c>
      <c r="G270" s="133"/>
      <c r="H270" s="131"/>
      <c r="I270" s="132"/>
      <c r="J270" s="133"/>
      <c r="K270" s="131"/>
      <c r="L270" s="134"/>
      <c r="M270" s="133"/>
      <c r="N270" s="131"/>
      <c r="O270" s="135"/>
      <c r="P270" s="169">
        <f>P271</f>
        <v>171000</v>
      </c>
      <c r="Q270" s="170">
        <f>Q271</f>
        <v>170575</v>
      </c>
      <c r="R270" s="262">
        <f>Q270/P270*100</f>
        <v>99.75146198830409</v>
      </c>
    </row>
    <row r="271" spans="1:18" ht="69.75" customHeight="1">
      <c r="A271" s="420" t="s">
        <v>70</v>
      </c>
      <c r="B271" s="428" t="s">
        <v>317</v>
      </c>
      <c r="C271" s="332">
        <v>108000</v>
      </c>
      <c r="D271" s="128">
        <f>G271+J271+M271+P271</f>
        <v>171000</v>
      </c>
      <c r="E271" s="128">
        <f>H271+K271+N271+Q271</f>
        <v>170575</v>
      </c>
      <c r="F271" s="129"/>
      <c r="G271" s="133"/>
      <c r="H271" s="131"/>
      <c r="I271" s="132"/>
      <c r="J271" s="133"/>
      <c r="K271" s="131"/>
      <c r="L271" s="134"/>
      <c r="M271" s="133"/>
      <c r="N271" s="131"/>
      <c r="O271" s="132"/>
      <c r="P271" s="133">
        <f>111000+5000+5000+50000</f>
        <v>171000</v>
      </c>
      <c r="Q271" s="131">
        <v>170575</v>
      </c>
      <c r="R271" s="270"/>
    </row>
    <row r="272" spans="1:18" ht="36">
      <c r="A272" s="357" t="s">
        <v>318</v>
      </c>
      <c r="B272" s="415" t="s">
        <v>319</v>
      </c>
      <c r="C272" s="166">
        <f>C273</f>
        <v>67200</v>
      </c>
      <c r="D272" s="167">
        <f>D273</f>
        <v>67200</v>
      </c>
      <c r="E272" s="167">
        <f>E273</f>
        <v>87228</v>
      </c>
      <c r="F272" s="275">
        <f aca="true" t="shared" si="49" ref="F272:F282">E272/D272*100</f>
        <v>129.80357142857142</v>
      </c>
      <c r="G272" s="169"/>
      <c r="H272" s="170"/>
      <c r="I272" s="132"/>
      <c r="J272" s="169"/>
      <c r="K272" s="170"/>
      <c r="L272" s="172"/>
      <c r="M272" s="169">
        <f>M273</f>
        <v>67200</v>
      </c>
      <c r="N272" s="170">
        <f>N273</f>
        <v>87228</v>
      </c>
      <c r="O272" s="261">
        <f aca="true" t="shared" si="50" ref="O272:O301">N272/M272*100</f>
        <v>129.80357142857142</v>
      </c>
      <c r="P272" s="169"/>
      <c r="Q272" s="170"/>
      <c r="R272" s="174"/>
    </row>
    <row r="273" spans="1:18" ht="26.25" customHeight="1">
      <c r="A273" s="340" t="s">
        <v>34</v>
      </c>
      <c r="B273" s="430" t="s">
        <v>320</v>
      </c>
      <c r="C273" s="177">
        <v>67200</v>
      </c>
      <c r="D273" s="178">
        <f>G273+J273+M273+P273</f>
        <v>67200</v>
      </c>
      <c r="E273" s="178">
        <f>H273+K273+N273+Q273</f>
        <v>87228</v>
      </c>
      <c r="F273" s="263"/>
      <c r="G273" s="180"/>
      <c r="H273" s="181"/>
      <c r="I273" s="182"/>
      <c r="J273" s="180"/>
      <c r="K273" s="181"/>
      <c r="L273" s="183"/>
      <c r="M273" s="180">
        <v>67200</v>
      </c>
      <c r="N273" s="181">
        <v>87228</v>
      </c>
      <c r="O273" s="182"/>
      <c r="P273" s="180"/>
      <c r="Q273" s="181"/>
      <c r="R273" s="185"/>
    </row>
    <row r="274" spans="1:18" ht="15.75" customHeight="1">
      <c r="A274" s="357" t="s">
        <v>321</v>
      </c>
      <c r="B274" s="459" t="s">
        <v>19</v>
      </c>
      <c r="C274" s="166"/>
      <c r="D274" s="170">
        <f>G274+M274</f>
        <v>1300308</v>
      </c>
      <c r="E274" s="424">
        <f>H274+N274</f>
        <v>854939</v>
      </c>
      <c r="F274" s="303">
        <f t="shared" si="49"/>
        <v>65.7489610153902</v>
      </c>
      <c r="G274" s="169">
        <f>G275+G279</f>
        <v>1051418</v>
      </c>
      <c r="H274" s="170">
        <f>H275+H279</f>
        <v>754939</v>
      </c>
      <c r="I274" s="261">
        <f>H274/G274*100</f>
        <v>71.80198550909344</v>
      </c>
      <c r="J274" s="358"/>
      <c r="K274" s="359"/>
      <c r="L274" s="134"/>
      <c r="M274" s="461">
        <f>M275+M279</f>
        <v>248890</v>
      </c>
      <c r="N274" s="462">
        <f>N275+N279</f>
        <v>100000</v>
      </c>
      <c r="O274" s="463">
        <f>N274/M274*100</f>
        <v>40.17839206074973</v>
      </c>
      <c r="P274" s="440"/>
      <c r="Q274" s="441"/>
      <c r="R274" s="443"/>
    </row>
    <row r="275" spans="1:18" ht="36.75" customHeight="1">
      <c r="A275" s="340" t="s">
        <v>322</v>
      </c>
      <c r="B275" s="430" t="s">
        <v>323</v>
      </c>
      <c r="C275" s="177"/>
      <c r="D275" s="178">
        <f>G275+M275</f>
        <v>1217194</v>
      </c>
      <c r="E275" s="178">
        <f>H275+N275</f>
        <v>794341</v>
      </c>
      <c r="F275" s="486">
        <f t="shared" si="49"/>
        <v>65.26001606974731</v>
      </c>
      <c r="G275" s="244">
        <f>G276+G277</f>
        <v>971598</v>
      </c>
      <c r="H275" s="245">
        <f>H276+H277</f>
        <v>695664</v>
      </c>
      <c r="I275" s="406">
        <f>H275/G275*100</f>
        <v>71.59998270889812</v>
      </c>
      <c r="J275" s="180"/>
      <c r="K275" s="181"/>
      <c r="L275" s="183"/>
      <c r="M275" s="180">
        <f>SUM(M276:M278)</f>
        <v>245596</v>
      </c>
      <c r="N275" s="181">
        <f>N278</f>
        <v>98677</v>
      </c>
      <c r="O275" s="182">
        <f>N275/M275*100</f>
        <v>40.17858597045554</v>
      </c>
      <c r="P275" s="180"/>
      <c r="Q275" s="181"/>
      <c r="R275" s="185"/>
    </row>
    <row r="276" spans="1:18" s="490" customFormat="1" ht="11.25" customHeight="1">
      <c r="A276" s="487"/>
      <c r="B276" s="488" t="s">
        <v>324</v>
      </c>
      <c r="C276" s="379"/>
      <c r="D276" s="380">
        <f aca="true" t="shared" si="51" ref="D276:E283">G276+J276+M276+P276</f>
        <v>778934</v>
      </c>
      <c r="E276" s="380">
        <f t="shared" si="51"/>
        <v>539885</v>
      </c>
      <c r="F276" s="194">
        <f t="shared" si="49"/>
        <v>69.31075033314761</v>
      </c>
      <c r="G276" s="195">
        <v>778934</v>
      </c>
      <c r="H276" s="196">
        <v>539885</v>
      </c>
      <c r="I276" s="489">
        <f>H276/G276*100</f>
        <v>69.31075033314761</v>
      </c>
      <c r="J276" s="385"/>
      <c r="K276" s="383"/>
      <c r="L276" s="386"/>
      <c r="M276" s="385"/>
      <c r="N276" s="383"/>
      <c r="O276" s="384"/>
      <c r="P276" s="385"/>
      <c r="Q276" s="383"/>
      <c r="R276" s="387"/>
    </row>
    <row r="277" spans="1:18" s="388" customFormat="1" ht="14.25" customHeight="1">
      <c r="A277" s="487"/>
      <c r="B277" s="488" t="s">
        <v>325</v>
      </c>
      <c r="C277" s="379"/>
      <c r="D277" s="380">
        <f t="shared" si="51"/>
        <v>192664</v>
      </c>
      <c r="E277" s="380">
        <f t="shared" si="51"/>
        <v>155779</v>
      </c>
      <c r="F277" s="194">
        <f t="shared" si="49"/>
        <v>80.85527135323673</v>
      </c>
      <c r="G277" s="195">
        <v>192664</v>
      </c>
      <c r="H277" s="196">
        <v>155779</v>
      </c>
      <c r="I277" s="489">
        <f>H277/G277*100</f>
        <v>80.85527135323673</v>
      </c>
      <c r="J277" s="385"/>
      <c r="K277" s="383"/>
      <c r="L277" s="386"/>
      <c r="M277" s="385"/>
      <c r="N277" s="383"/>
      <c r="O277" s="384"/>
      <c r="P277" s="385"/>
      <c r="Q277" s="383"/>
      <c r="R277" s="387"/>
    </row>
    <row r="278" spans="1:18" s="388" customFormat="1" ht="25.5" customHeight="1">
      <c r="A278" s="487"/>
      <c r="B278" s="488" t="s">
        <v>326</v>
      </c>
      <c r="C278" s="379"/>
      <c r="D278" s="380">
        <f t="shared" si="51"/>
        <v>245596</v>
      </c>
      <c r="E278" s="380">
        <f t="shared" si="51"/>
        <v>98677</v>
      </c>
      <c r="F278" s="194">
        <f t="shared" si="49"/>
        <v>40.17858597045554</v>
      </c>
      <c r="G278" s="195"/>
      <c r="H278" s="196"/>
      <c r="I278" s="489"/>
      <c r="J278" s="385"/>
      <c r="K278" s="383"/>
      <c r="L278" s="386"/>
      <c r="M278" s="385">
        <f>213887+31709</f>
        <v>245596</v>
      </c>
      <c r="N278" s="383">
        <v>98677</v>
      </c>
      <c r="O278" s="384">
        <f>N278/M278*100</f>
        <v>40.17858597045554</v>
      </c>
      <c r="P278" s="385"/>
      <c r="Q278" s="383"/>
      <c r="R278" s="387"/>
    </row>
    <row r="279" spans="1:18" s="163" customFormat="1" ht="39.75" customHeight="1">
      <c r="A279" s="413" t="s">
        <v>327</v>
      </c>
      <c r="B279" s="161" t="s">
        <v>323</v>
      </c>
      <c r="C279" s="152"/>
      <c r="D279" s="92">
        <f>G279+M279</f>
        <v>83114</v>
      </c>
      <c r="E279" s="92">
        <f>H279+N279</f>
        <v>60598</v>
      </c>
      <c r="F279" s="491">
        <f t="shared" si="49"/>
        <v>72.90949779820487</v>
      </c>
      <c r="G279" s="187">
        <f>G280+G281</f>
        <v>79820</v>
      </c>
      <c r="H279" s="188">
        <f>H280+H281</f>
        <v>59275</v>
      </c>
      <c r="I279" s="492">
        <f>H279/G279*100</f>
        <v>74.26083688298672</v>
      </c>
      <c r="J279" s="154"/>
      <c r="K279" s="155"/>
      <c r="L279" s="157"/>
      <c r="M279" s="154">
        <f>SUM(M280:M282)</f>
        <v>3294</v>
      </c>
      <c r="N279" s="155">
        <f>N282</f>
        <v>1323</v>
      </c>
      <c r="O279" s="492">
        <f>N279/M279*100</f>
        <v>40.16393442622951</v>
      </c>
      <c r="P279" s="154"/>
      <c r="Q279" s="155"/>
      <c r="R279" s="158"/>
    </row>
    <row r="280" spans="1:18" s="490" customFormat="1" ht="11.25" customHeight="1">
      <c r="A280" s="487"/>
      <c r="B280" s="488" t="s">
        <v>324</v>
      </c>
      <c r="C280" s="379"/>
      <c r="D280" s="380">
        <f t="shared" si="51"/>
        <v>45820</v>
      </c>
      <c r="E280" s="380">
        <f t="shared" si="51"/>
        <v>31785</v>
      </c>
      <c r="F280" s="194">
        <f t="shared" si="49"/>
        <v>69.3692710606722</v>
      </c>
      <c r="G280" s="195">
        <v>45820</v>
      </c>
      <c r="H280" s="196">
        <v>31785</v>
      </c>
      <c r="I280" s="489">
        <f>H280/G280*100</f>
        <v>69.3692710606722</v>
      </c>
      <c r="J280" s="385"/>
      <c r="K280" s="383"/>
      <c r="L280" s="386"/>
      <c r="M280" s="385"/>
      <c r="N280" s="383"/>
      <c r="O280" s="384"/>
      <c r="P280" s="385"/>
      <c r="Q280" s="383"/>
      <c r="R280" s="387"/>
    </row>
    <row r="281" spans="1:18" s="388" customFormat="1" ht="14.25" customHeight="1">
      <c r="A281" s="487"/>
      <c r="B281" s="488" t="s">
        <v>325</v>
      </c>
      <c r="C281" s="379"/>
      <c r="D281" s="380">
        <f t="shared" si="51"/>
        <v>34000</v>
      </c>
      <c r="E281" s="380">
        <f t="shared" si="51"/>
        <v>27490</v>
      </c>
      <c r="F281" s="194">
        <f t="shared" si="49"/>
        <v>80.85294117647058</v>
      </c>
      <c r="G281" s="195">
        <v>34000</v>
      </c>
      <c r="H281" s="196">
        <v>27490</v>
      </c>
      <c r="I281" s="489">
        <f>H281/G281*100</f>
        <v>80.85294117647058</v>
      </c>
      <c r="J281" s="385"/>
      <c r="K281" s="383"/>
      <c r="L281" s="386"/>
      <c r="M281" s="385"/>
      <c r="N281" s="383"/>
      <c r="O281" s="384"/>
      <c r="P281" s="385"/>
      <c r="Q281" s="383"/>
      <c r="R281" s="387"/>
    </row>
    <row r="282" spans="1:18" s="388" customFormat="1" ht="27" customHeight="1" thickBot="1">
      <c r="A282" s="487"/>
      <c r="B282" s="488" t="s">
        <v>326</v>
      </c>
      <c r="C282" s="379"/>
      <c r="D282" s="380">
        <f t="shared" si="51"/>
        <v>3294</v>
      </c>
      <c r="E282" s="380">
        <f t="shared" si="51"/>
        <v>1323</v>
      </c>
      <c r="F282" s="194">
        <f t="shared" si="49"/>
        <v>40.16393442622951</v>
      </c>
      <c r="G282" s="195"/>
      <c r="H282" s="196"/>
      <c r="I282" s="489"/>
      <c r="J282" s="385"/>
      <c r="K282" s="383"/>
      <c r="L282" s="386"/>
      <c r="M282" s="385">
        <f>35003-31709</f>
        <v>3294</v>
      </c>
      <c r="N282" s="383">
        <v>1323</v>
      </c>
      <c r="O282" s="384">
        <f>N282/M282*100</f>
        <v>40.16393442622951</v>
      </c>
      <c r="P282" s="385"/>
      <c r="Q282" s="383"/>
      <c r="R282" s="387"/>
    </row>
    <row r="283" spans="1:18" ht="25.5" thickBot="1" thickTop="1">
      <c r="A283" s="409" t="s">
        <v>328</v>
      </c>
      <c r="B283" s="104" t="s">
        <v>329</v>
      </c>
      <c r="C283" s="264">
        <f>C284+C290+C295+C298+C301+C306</f>
        <v>382300</v>
      </c>
      <c r="D283" s="64">
        <f t="shared" si="51"/>
        <v>1564309</v>
      </c>
      <c r="E283" s="64">
        <f t="shared" si="51"/>
        <v>1511714</v>
      </c>
      <c r="F283" s="294">
        <f t="shared" si="48"/>
        <v>96.63781260607719</v>
      </c>
      <c r="G283" s="109">
        <f>G284+G290+G295+G298+G301+G306</f>
        <v>1195018</v>
      </c>
      <c r="H283" s="107">
        <f>H284+H290+H295+H298+H301+H306</f>
        <v>1147344</v>
      </c>
      <c r="I283" s="252">
        <f>H283/G283*100</f>
        <v>96.01060402437453</v>
      </c>
      <c r="J283" s="109"/>
      <c r="K283" s="107"/>
      <c r="L283" s="110"/>
      <c r="M283" s="109">
        <f>M284+M290+M295+M298+M301+M309</f>
        <v>369291</v>
      </c>
      <c r="N283" s="107">
        <f>N284+N290+N295+N298+N301+N309</f>
        <v>364370</v>
      </c>
      <c r="O283" s="111">
        <f t="shared" si="50"/>
        <v>98.66744653944993</v>
      </c>
      <c r="P283" s="109"/>
      <c r="Q283" s="107"/>
      <c r="R283" s="112"/>
    </row>
    <row r="284" spans="1:18" ht="26.25" customHeight="1" thickTop="1">
      <c r="A284" s="411" t="s">
        <v>330</v>
      </c>
      <c r="B284" s="412" t="s">
        <v>331</v>
      </c>
      <c r="C284" s="147">
        <f>SUM(C285:C289)</f>
        <v>65300</v>
      </c>
      <c r="D284" s="141">
        <f>SUM(D285:D289)</f>
        <v>86400</v>
      </c>
      <c r="E284" s="141">
        <f>SUM(E285:E289)</f>
        <v>84327</v>
      </c>
      <c r="F284" s="142">
        <f t="shared" si="48"/>
        <v>97.60069444444444</v>
      </c>
      <c r="G284" s="143"/>
      <c r="H284" s="144"/>
      <c r="I284" s="204"/>
      <c r="J284" s="143"/>
      <c r="K284" s="144"/>
      <c r="L284" s="146"/>
      <c r="M284" s="147">
        <f>SUM(M285:M289)</f>
        <v>86400</v>
      </c>
      <c r="N284" s="141">
        <f>SUM(N285:N289)</f>
        <v>84327</v>
      </c>
      <c r="O284" s="148">
        <f t="shared" si="50"/>
        <v>97.60069444444444</v>
      </c>
      <c r="P284" s="143"/>
      <c r="Q284" s="144"/>
      <c r="R284" s="149"/>
    </row>
    <row r="285" spans="1:18" ht="17.25" customHeight="1">
      <c r="A285" s="340" t="s">
        <v>61</v>
      </c>
      <c r="B285" s="430" t="s">
        <v>223</v>
      </c>
      <c r="C285" s="177">
        <v>57000</v>
      </c>
      <c r="D285" s="178">
        <f aca="true" t="shared" si="52" ref="D285:E289">G285+J285+M285+P285</f>
        <v>57000</v>
      </c>
      <c r="E285" s="178">
        <f t="shared" si="52"/>
        <v>55444</v>
      </c>
      <c r="F285" s="179">
        <f t="shared" si="48"/>
        <v>97.2701754385965</v>
      </c>
      <c r="G285" s="180"/>
      <c r="H285" s="181"/>
      <c r="I285" s="182"/>
      <c r="J285" s="180"/>
      <c r="K285" s="181"/>
      <c r="L285" s="183"/>
      <c r="M285" s="180">
        <v>57000</v>
      </c>
      <c r="N285" s="181">
        <v>55444</v>
      </c>
      <c r="O285" s="182">
        <f t="shared" si="50"/>
        <v>97.2701754385965</v>
      </c>
      <c r="P285" s="180"/>
      <c r="Q285" s="181"/>
      <c r="R285" s="185"/>
    </row>
    <row r="286" spans="1:18" s="163" customFormat="1" ht="59.25" customHeight="1">
      <c r="A286" s="413" t="s">
        <v>63</v>
      </c>
      <c r="B286" s="151" t="s">
        <v>64</v>
      </c>
      <c r="C286" s="152">
        <v>2000</v>
      </c>
      <c r="D286" s="92">
        <f t="shared" si="52"/>
        <v>2000</v>
      </c>
      <c r="E286" s="92">
        <f t="shared" si="52"/>
        <v>2332</v>
      </c>
      <c r="F286" s="186">
        <f t="shared" si="48"/>
        <v>116.6</v>
      </c>
      <c r="G286" s="154"/>
      <c r="H286" s="155"/>
      <c r="I286" s="156"/>
      <c r="J286" s="154"/>
      <c r="K286" s="155"/>
      <c r="L286" s="157"/>
      <c r="M286" s="154">
        <v>2000</v>
      </c>
      <c r="N286" s="155">
        <v>2332</v>
      </c>
      <c r="O286" s="156">
        <f t="shared" si="50"/>
        <v>116.6</v>
      </c>
      <c r="P286" s="154"/>
      <c r="Q286" s="155"/>
      <c r="R286" s="158"/>
    </row>
    <row r="287" spans="1:18" ht="12.75" customHeight="1">
      <c r="A287" s="413" t="s">
        <v>95</v>
      </c>
      <c r="B287" s="161" t="s">
        <v>96</v>
      </c>
      <c r="C287" s="152">
        <v>6000</v>
      </c>
      <c r="D287" s="92">
        <f t="shared" si="52"/>
        <v>24500</v>
      </c>
      <c r="E287" s="92">
        <f t="shared" si="52"/>
        <v>23810</v>
      </c>
      <c r="F287" s="186">
        <f t="shared" si="48"/>
        <v>97.18367346938776</v>
      </c>
      <c r="G287" s="154"/>
      <c r="H287" s="155"/>
      <c r="I287" s="156"/>
      <c r="J287" s="187"/>
      <c r="K287" s="188"/>
      <c r="L287" s="157"/>
      <c r="M287" s="187">
        <f>6000+6000+10000+2500</f>
        <v>24500</v>
      </c>
      <c r="N287" s="188">
        <v>23810</v>
      </c>
      <c r="O287" s="156">
        <f t="shared" si="50"/>
        <v>97.18367346938776</v>
      </c>
      <c r="P287" s="187"/>
      <c r="Q287" s="188"/>
      <c r="R287" s="190"/>
    </row>
    <row r="288" spans="1:18" ht="14.25" customHeight="1">
      <c r="A288" s="413" t="s">
        <v>85</v>
      </c>
      <c r="B288" s="161" t="s">
        <v>127</v>
      </c>
      <c r="C288" s="152">
        <v>200</v>
      </c>
      <c r="D288" s="92">
        <f t="shared" si="52"/>
        <v>200</v>
      </c>
      <c r="E288" s="92">
        <f t="shared" si="52"/>
        <v>133</v>
      </c>
      <c r="F288" s="186">
        <f t="shared" si="48"/>
        <v>66.5</v>
      </c>
      <c r="G288" s="154"/>
      <c r="H288" s="155"/>
      <c r="I288" s="156"/>
      <c r="J288" s="187"/>
      <c r="K288" s="188"/>
      <c r="L288" s="157"/>
      <c r="M288" s="187">
        <v>200</v>
      </c>
      <c r="N288" s="188">
        <v>133</v>
      </c>
      <c r="O288" s="156">
        <f t="shared" si="50"/>
        <v>66.5</v>
      </c>
      <c r="P288" s="187"/>
      <c r="Q288" s="188"/>
      <c r="R288" s="190"/>
    </row>
    <row r="289" spans="1:18" ht="14.25" customHeight="1">
      <c r="A289" s="418" t="s">
        <v>34</v>
      </c>
      <c r="B289" s="300" t="s">
        <v>48</v>
      </c>
      <c r="C289" s="220">
        <v>100</v>
      </c>
      <c r="D289" s="221">
        <f t="shared" si="52"/>
        <v>2700</v>
      </c>
      <c r="E289" s="221">
        <f t="shared" si="52"/>
        <v>2608</v>
      </c>
      <c r="F289" s="278">
        <f t="shared" si="48"/>
        <v>96.5925925925926</v>
      </c>
      <c r="G289" s="223"/>
      <c r="H289" s="224"/>
      <c r="I289" s="204"/>
      <c r="J289" s="205"/>
      <c r="K289" s="206"/>
      <c r="L289" s="207"/>
      <c r="M289" s="205">
        <f>100+1300+1300</f>
        <v>2700</v>
      </c>
      <c r="N289" s="206">
        <v>2608</v>
      </c>
      <c r="O289" s="204">
        <f t="shared" si="50"/>
        <v>96.5925925925926</v>
      </c>
      <c r="P289" s="205"/>
      <c r="Q289" s="206"/>
      <c r="R289" s="209"/>
    </row>
    <row r="290" spans="1:18" ht="24">
      <c r="A290" s="357" t="s">
        <v>332</v>
      </c>
      <c r="B290" s="415" t="s">
        <v>333</v>
      </c>
      <c r="C290" s="166">
        <f>C291</f>
        <v>2500</v>
      </c>
      <c r="D290" s="167">
        <f>SUM(D291:D294)</f>
        <v>56291</v>
      </c>
      <c r="E290" s="167">
        <f>SUM(E291:E294)</f>
        <v>56126</v>
      </c>
      <c r="F290" s="275">
        <f t="shared" si="48"/>
        <v>99.70688031834574</v>
      </c>
      <c r="G290" s="169"/>
      <c r="H290" s="170"/>
      <c r="I290" s="132"/>
      <c r="J290" s="169"/>
      <c r="K290" s="170"/>
      <c r="L290" s="134"/>
      <c r="M290" s="169">
        <f>SUM(M291:M294)</f>
        <v>56291</v>
      </c>
      <c r="N290" s="170">
        <f>SUM(N291:N294)</f>
        <v>56126</v>
      </c>
      <c r="O290" s="261">
        <f t="shared" si="50"/>
        <v>99.70688031834574</v>
      </c>
      <c r="P290" s="169"/>
      <c r="Q290" s="170"/>
      <c r="R290" s="270"/>
    </row>
    <row r="291" spans="1:18" ht="53.25" customHeight="1">
      <c r="A291" s="420" t="s">
        <v>63</v>
      </c>
      <c r="B291" s="219" t="s">
        <v>64</v>
      </c>
      <c r="C291" s="332">
        <v>2500</v>
      </c>
      <c r="D291" s="128">
        <f aca="true" t="shared" si="53" ref="D291:E294">G291+J291+M291+P291</f>
        <v>3800</v>
      </c>
      <c r="E291" s="128">
        <f t="shared" si="53"/>
        <v>4135</v>
      </c>
      <c r="F291" s="333">
        <f t="shared" si="48"/>
        <v>108.81578947368422</v>
      </c>
      <c r="G291" s="133"/>
      <c r="H291" s="131"/>
      <c r="I291" s="132"/>
      <c r="J291" s="133"/>
      <c r="K291" s="131"/>
      <c r="L291" s="134"/>
      <c r="M291" s="133">
        <f>2500+500+800</f>
        <v>3800</v>
      </c>
      <c r="N291" s="131">
        <v>4135</v>
      </c>
      <c r="O291" s="132">
        <f t="shared" si="50"/>
        <v>108.81578947368422</v>
      </c>
      <c r="P291" s="133"/>
      <c r="Q291" s="131"/>
      <c r="R291" s="136"/>
    </row>
    <row r="292" spans="1:18" ht="12.75">
      <c r="A292" s="413" t="s">
        <v>85</v>
      </c>
      <c r="B292" s="161" t="s">
        <v>127</v>
      </c>
      <c r="C292" s="152"/>
      <c r="D292" s="92"/>
      <c r="E292" s="92">
        <f t="shared" si="53"/>
        <v>35</v>
      </c>
      <c r="F292" s="186"/>
      <c r="G292" s="154"/>
      <c r="H292" s="155"/>
      <c r="I292" s="156"/>
      <c r="J292" s="154"/>
      <c r="K292" s="155"/>
      <c r="L292" s="157"/>
      <c r="M292" s="154"/>
      <c r="N292" s="155">
        <v>35</v>
      </c>
      <c r="O292" s="156"/>
      <c r="P292" s="154"/>
      <c r="Q292" s="155"/>
      <c r="R292" s="158"/>
    </row>
    <row r="293" spans="1:18" s="163" customFormat="1" ht="18" customHeight="1">
      <c r="A293" s="413" t="s">
        <v>34</v>
      </c>
      <c r="B293" s="161" t="s">
        <v>48</v>
      </c>
      <c r="C293" s="152"/>
      <c r="D293" s="92">
        <f t="shared" si="53"/>
        <v>3648</v>
      </c>
      <c r="E293" s="92">
        <f t="shared" si="53"/>
        <v>3649</v>
      </c>
      <c r="F293" s="186">
        <f t="shared" si="48"/>
        <v>100.02741228070175</v>
      </c>
      <c r="G293" s="154"/>
      <c r="H293" s="155"/>
      <c r="I293" s="156"/>
      <c r="J293" s="154"/>
      <c r="K293" s="155"/>
      <c r="L293" s="157"/>
      <c r="M293" s="154">
        <v>3648</v>
      </c>
      <c r="N293" s="155">
        <v>3649</v>
      </c>
      <c r="O293" s="156">
        <f t="shared" si="50"/>
        <v>100.02741228070175</v>
      </c>
      <c r="P293" s="154"/>
      <c r="Q293" s="155"/>
      <c r="R293" s="158"/>
    </row>
    <row r="294" spans="1:18" s="137" customFormat="1" ht="48.75" customHeight="1">
      <c r="A294" s="197" t="s">
        <v>242</v>
      </c>
      <c r="B294" s="434" t="s">
        <v>243</v>
      </c>
      <c r="C294" s="220"/>
      <c r="D294" s="221">
        <f t="shared" si="53"/>
        <v>48843</v>
      </c>
      <c r="E294" s="221">
        <f t="shared" si="53"/>
        <v>48307</v>
      </c>
      <c r="F294" s="222">
        <f>E294/D294*100</f>
        <v>98.90260631001372</v>
      </c>
      <c r="G294" s="223"/>
      <c r="H294" s="224"/>
      <c r="I294" s="204"/>
      <c r="J294" s="223"/>
      <c r="K294" s="224"/>
      <c r="L294" s="207"/>
      <c r="M294" s="223">
        <f>5000+15287+28556</f>
        <v>48843</v>
      </c>
      <c r="N294" s="224">
        <v>48307</v>
      </c>
      <c r="O294" s="204">
        <f t="shared" si="50"/>
        <v>98.90260631001372</v>
      </c>
      <c r="P294" s="223"/>
      <c r="Q294" s="224"/>
      <c r="R294" s="368"/>
    </row>
    <row r="295" spans="1:18" ht="24.75" customHeight="1">
      <c r="A295" s="357" t="s">
        <v>334</v>
      </c>
      <c r="B295" s="165" t="s">
        <v>335</v>
      </c>
      <c r="C295" s="166">
        <f>SUM(C296:C297)</f>
        <v>14500</v>
      </c>
      <c r="D295" s="167">
        <f>SUM(D296:D297)</f>
        <v>27500</v>
      </c>
      <c r="E295" s="167">
        <f>SUM(E296:E297)</f>
        <v>27230</v>
      </c>
      <c r="F295" s="275">
        <f t="shared" si="48"/>
        <v>99.01818181818182</v>
      </c>
      <c r="G295" s="169"/>
      <c r="H295" s="170"/>
      <c r="I295" s="132"/>
      <c r="J295" s="169"/>
      <c r="K295" s="170"/>
      <c r="L295" s="429"/>
      <c r="M295" s="169">
        <f>M296+M297</f>
        <v>27500</v>
      </c>
      <c r="N295" s="170">
        <f>N296+N297</f>
        <v>27230</v>
      </c>
      <c r="O295" s="261">
        <f t="shared" si="50"/>
        <v>99.01818181818182</v>
      </c>
      <c r="P295" s="289"/>
      <c r="Q295" s="290"/>
      <c r="R295" s="136"/>
    </row>
    <row r="296" spans="1:18" s="163" customFormat="1" ht="63" customHeight="1">
      <c r="A296" s="340" t="s">
        <v>63</v>
      </c>
      <c r="B296" s="176" t="s">
        <v>336</v>
      </c>
      <c r="C296" s="177">
        <v>6000</v>
      </c>
      <c r="D296" s="178">
        <f>G296+J296+M296+P296</f>
        <v>14000</v>
      </c>
      <c r="E296" s="178">
        <f>H296+K296+N296+Q296</f>
        <v>13690</v>
      </c>
      <c r="F296" s="179">
        <f t="shared" si="48"/>
        <v>97.78571428571429</v>
      </c>
      <c r="G296" s="180"/>
      <c r="H296" s="181"/>
      <c r="I296" s="182"/>
      <c r="J296" s="180"/>
      <c r="K296" s="181"/>
      <c r="L296" s="183"/>
      <c r="M296" s="180">
        <f>6000+6000+2000</f>
        <v>14000</v>
      </c>
      <c r="N296" s="181">
        <v>13690</v>
      </c>
      <c r="O296" s="182">
        <f t="shared" si="50"/>
        <v>97.78571428571429</v>
      </c>
      <c r="P296" s="180"/>
      <c r="Q296" s="181"/>
      <c r="R296" s="185"/>
    </row>
    <row r="297" spans="1:18" ht="12.75" customHeight="1">
      <c r="A297" s="418" t="s">
        <v>95</v>
      </c>
      <c r="B297" s="434" t="s">
        <v>96</v>
      </c>
      <c r="C297" s="220">
        <v>8500</v>
      </c>
      <c r="D297" s="221">
        <f>G297+J297+M297+P297</f>
        <v>13500</v>
      </c>
      <c r="E297" s="221">
        <f>H297+K297+N297+Q297</f>
        <v>13540</v>
      </c>
      <c r="F297" s="278">
        <f t="shared" si="48"/>
        <v>100.2962962962963</v>
      </c>
      <c r="G297" s="223"/>
      <c r="H297" s="224"/>
      <c r="I297" s="204"/>
      <c r="J297" s="205"/>
      <c r="K297" s="206"/>
      <c r="L297" s="207"/>
      <c r="M297" s="205">
        <f>8500+3500+1500</f>
        <v>13500</v>
      </c>
      <c r="N297" s="206">
        <v>13540</v>
      </c>
      <c r="O297" s="204">
        <f t="shared" si="50"/>
        <v>100.2962962962963</v>
      </c>
      <c r="P297" s="205"/>
      <c r="Q297" s="206"/>
      <c r="R297" s="209"/>
    </row>
    <row r="298" spans="1:18" ht="15.75" customHeight="1">
      <c r="A298" s="357" t="s">
        <v>337</v>
      </c>
      <c r="B298" s="415" t="s">
        <v>338</v>
      </c>
      <c r="C298" s="166">
        <f>C299</f>
        <v>200000</v>
      </c>
      <c r="D298" s="167">
        <f>SUM(D299:D300)</f>
        <v>162500</v>
      </c>
      <c r="E298" s="167">
        <f>SUM(E299:E300)</f>
        <v>160541</v>
      </c>
      <c r="F298" s="275">
        <f t="shared" si="48"/>
        <v>98.79446153846155</v>
      </c>
      <c r="G298" s="169"/>
      <c r="H298" s="170"/>
      <c r="I298" s="132"/>
      <c r="J298" s="169"/>
      <c r="K298" s="170"/>
      <c r="L298" s="172"/>
      <c r="M298" s="169">
        <f>SUM(M299:M300)</f>
        <v>162500</v>
      </c>
      <c r="N298" s="170">
        <f>SUM(N299:N300)</f>
        <v>160541</v>
      </c>
      <c r="O298" s="261">
        <f t="shared" si="50"/>
        <v>98.79446153846155</v>
      </c>
      <c r="P298" s="169"/>
      <c r="Q298" s="170"/>
      <c r="R298" s="174"/>
    </row>
    <row r="299" spans="1:18" s="163" customFormat="1" ht="70.5" customHeight="1">
      <c r="A299" s="340" t="s">
        <v>63</v>
      </c>
      <c r="B299" s="176" t="s">
        <v>336</v>
      </c>
      <c r="C299" s="177">
        <v>200000</v>
      </c>
      <c r="D299" s="178">
        <f>G299+J299+M299+P299</f>
        <v>161000</v>
      </c>
      <c r="E299" s="178">
        <f>H299+K299+N299+Q299</f>
        <v>158724</v>
      </c>
      <c r="F299" s="179">
        <f t="shared" si="48"/>
        <v>98.58633540372671</v>
      </c>
      <c r="G299" s="180"/>
      <c r="H299" s="181"/>
      <c r="I299" s="182"/>
      <c r="J299" s="180"/>
      <c r="K299" s="181"/>
      <c r="L299" s="183"/>
      <c r="M299" s="180">
        <f>200000-39000</f>
        <v>161000</v>
      </c>
      <c r="N299" s="181">
        <v>158724</v>
      </c>
      <c r="O299" s="182">
        <f t="shared" si="50"/>
        <v>98.58633540372671</v>
      </c>
      <c r="P299" s="180"/>
      <c r="Q299" s="181"/>
      <c r="R299" s="185"/>
    </row>
    <row r="300" spans="1:18" ht="21" customHeight="1">
      <c r="A300" s="418" t="s">
        <v>32</v>
      </c>
      <c r="B300" s="434" t="s">
        <v>339</v>
      </c>
      <c r="C300" s="220"/>
      <c r="D300" s="221">
        <f>G300+J300+M300+P300</f>
        <v>1500</v>
      </c>
      <c r="E300" s="221">
        <f>H300+K300+N300+Q300</f>
        <v>1817</v>
      </c>
      <c r="F300" s="222">
        <f t="shared" si="48"/>
        <v>121.13333333333334</v>
      </c>
      <c r="G300" s="223"/>
      <c r="H300" s="224"/>
      <c r="I300" s="204"/>
      <c r="J300" s="223"/>
      <c r="K300" s="224"/>
      <c r="L300" s="207"/>
      <c r="M300" s="223">
        <v>1500</v>
      </c>
      <c r="N300" s="224">
        <v>1817</v>
      </c>
      <c r="O300" s="204">
        <f t="shared" si="50"/>
        <v>121.13333333333334</v>
      </c>
      <c r="P300" s="223"/>
      <c r="Q300" s="224"/>
      <c r="R300" s="368"/>
    </row>
    <row r="301" spans="1:18" ht="18" customHeight="1">
      <c r="A301" s="357" t="s">
        <v>340</v>
      </c>
      <c r="B301" s="415" t="s">
        <v>341</v>
      </c>
      <c r="C301" s="166"/>
      <c r="D301" s="167">
        <f>SUM(D302:D305)</f>
        <v>1121418</v>
      </c>
      <c r="E301" s="167">
        <f>SUM(E302:E305)</f>
        <v>1065118</v>
      </c>
      <c r="F301" s="275">
        <f t="shared" si="48"/>
        <v>94.9795705080532</v>
      </c>
      <c r="G301" s="169">
        <f>SUM(G302:G305)</f>
        <v>1091818</v>
      </c>
      <c r="H301" s="170">
        <f>SUM(H302:H305)</f>
        <v>1035757</v>
      </c>
      <c r="I301" s="261">
        <f>H301/G301*100</f>
        <v>94.86535301671157</v>
      </c>
      <c r="J301" s="169"/>
      <c r="K301" s="170"/>
      <c r="L301" s="172"/>
      <c r="M301" s="169">
        <f>SUM(M302:M305)</f>
        <v>29600</v>
      </c>
      <c r="N301" s="170">
        <f>SUM(N302:N305)</f>
        <v>29361</v>
      </c>
      <c r="O301" s="261">
        <f t="shared" si="50"/>
        <v>99.19256756756756</v>
      </c>
      <c r="P301" s="169"/>
      <c r="Q301" s="170"/>
      <c r="R301" s="174"/>
    </row>
    <row r="302" spans="1:18" s="326" customFormat="1" ht="41.25" customHeight="1">
      <c r="A302" s="175" t="s">
        <v>219</v>
      </c>
      <c r="B302" s="430" t="s">
        <v>286</v>
      </c>
      <c r="C302" s="177"/>
      <c r="D302" s="178">
        <f aca="true" t="shared" si="54" ref="D302:E305">G302+J302+M302+P302</f>
        <v>1091818</v>
      </c>
      <c r="E302" s="178">
        <f t="shared" si="54"/>
        <v>1035757</v>
      </c>
      <c r="F302" s="263">
        <f t="shared" si="48"/>
        <v>94.86535301671157</v>
      </c>
      <c r="G302" s="180">
        <f>576559+38776+468854-14536+22165</f>
        <v>1091818</v>
      </c>
      <c r="H302" s="181">
        <v>1035757</v>
      </c>
      <c r="I302" s="182">
        <f>H302/G302*100</f>
        <v>94.86535301671157</v>
      </c>
      <c r="J302" s="180"/>
      <c r="K302" s="181"/>
      <c r="L302" s="183"/>
      <c r="M302" s="180"/>
      <c r="N302" s="181"/>
      <c r="O302" s="182"/>
      <c r="P302" s="180"/>
      <c r="Q302" s="181"/>
      <c r="R302" s="185"/>
    </row>
    <row r="303" spans="1:18" s="326" customFormat="1" ht="47.25" customHeight="1">
      <c r="A303" s="197" t="s">
        <v>242</v>
      </c>
      <c r="B303" s="434" t="s">
        <v>297</v>
      </c>
      <c r="C303" s="220"/>
      <c r="D303" s="221">
        <f t="shared" si="54"/>
        <v>29600</v>
      </c>
      <c r="E303" s="221">
        <f t="shared" si="54"/>
        <v>29361</v>
      </c>
      <c r="F303" s="278">
        <f t="shared" si="48"/>
        <v>99.19256756756756</v>
      </c>
      <c r="G303" s="223"/>
      <c r="H303" s="224"/>
      <c r="I303" s="204"/>
      <c r="J303" s="223"/>
      <c r="K303" s="224"/>
      <c r="L303" s="207"/>
      <c r="M303" s="223">
        <v>29600</v>
      </c>
      <c r="N303" s="224">
        <v>29361</v>
      </c>
      <c r="O303" s="204">
        <f>N303/M303*100</f>
        <v>99.19256756756756</v>
      </c>
      <c r="P303" s="223"/>
      <c r="Q303" s="224"/>
      <c r="R303" s="368"/>
    </row>
    <row r="304" spans="1:18" ht="56.25" hidden="1">
      <c r="A304" s="150" t="s">
        <v>342</v>
      </c>
      <c r="B304" s="258" t="s">
        <v>343</v>
      </c>
      <c r="C304" s="152"/>
      <c r="D304" s="92">
        <f t="shared" si="54"/>
        <v>0</v>
      </c>
      <c r="E304" s="92">
        <f t="shared" si="54"/>
        <v>0</v>
      </c>
      <c r="F304" s="186" t="e">
        <f t="shared" si="48"/>
        <v>#DIV/0!</v>
      </c>
      <c r="G304" s="154"/>
      <c r="H304" s="155"/>
      <c r="I304" s="156"/>
      <c r="J304" s="154"/>
      <c r="K304" s="155"/>
      <c r="L304" s="157"/>
      <c r="M304" s="154"/>
      <c r="N304" s="155"/>
      <c r="O304" s="156"/>
      <c r="P304" s="154"/>
      <c r="Q304" s="155"/>
      <c r="R304" s="158"/>
    </row>
    <row r="305" spans="1:18" s="163" customFormat="1" ht="56.25" hidden="1">
      <c r="A305" s="197" t="s">
        <v>344</v>
      </c>
      <c r="B305" s="299" t="s">
        <v>343</v>
      </c>
      <c r="C305" s="220"/>
      <c r="D305" s="221">
        <f t="shared" si="54"/>
        <v>0</v>
      </c>
      <c r="E305" s="221">
        <f t="shared" si="54"/>
        <v>0</v>
      </c>
      <c r="F305" s="222" t="e">
        <f t="shared" si="48"/>
        <v>#DIV/0!</v>
      </c>
      <c r="G305" s="223"/>
      <c r="H305" s="224"/>
      <c r="I305" s="204"/>
      <c r="J305" s="223"/>
      <c r="K305" s="224"/>
      <c r="L305" s="207"/>
      <c r="M305" s="223"/>
      <c r="N305" s="224"/>
      <c r="O305" s="156"/>
      <c r="P305" s="223"/>
      <c r="Q305" s="224"/>
      <c r="R305" s="368"/>
    </row>
    <row r="306" spans="1:18" ht="24">
      <c r="A306" s="357" t="s">
        <v>345</v>
      </c>
      <c r="B306" s="415" t="s">
        <v>346</v>
      </c>
      <c r="C306" s="166">
        <f>SUM(C307:C308)</f>
        <v>100000</v>
      </c>
      <c r="D306" s="167">
        <f>SUM(D307:D308)</f>
        <v>103200</v>
      </c>
      <c r="E306" s="167">
        <f>SUM(E307:E308)</f>
        <v>111587</v>
      </c>
      <c r="F306" s="275">
        <f t="shared" si="48"/>
        <v>108.12693798449612</v>
      </c>
      <c r="G306" s="169">
        <f>SUM(G307:G308)</f>
        <v>103200</v>
      </c>
      <c r="H306" s="170">
        <f>SUM(H307:H308)</f>
        <v>111587</v>
      </c>
      <c r="I306" s="261">
        <f>H306/G306*100</f>
        <v>108.12693798449612</v>
      </c>
      <c r="J306" s="169"/>
      <c r="K306" s="170"/>
      <c r="L306" s="172"/>
      <c r="M306" s="169"/>
      <c r="N306" s="170"/>
      <c r="O306" s="261"/>
      <c r="P306" s="169"/>
      <c r="Q306" s="170"/>
      <c r="R306" s="262"/>
    </row>
    <row r="307" spans="1:18" ht="13.5" customHeight="1">
      <c r="A307" s="340" t="s">
        <v>95</v>
      </c>
      <c r="B307" s="430" t="s">
        <v>96</v>
      </c>
      <c r="C307" s="177">
        <v>97000</v>
      </c>
      <c r="D307" s="178">
        <f aca="true" t="shared" si="55" ref="D307:E310">G307+J307+M307+P307</f>
        <v>97000</v>
      </c>
      <c r="E307" s="178">
        <f t="shared" si="55"/>
        <v>105391</v>
      </c>
      <c r="F307" s="179">
        <f t="shared" si="48"/>
        <v>108.65051546391753</v>
      </c>
      <c r="G307" s="180">
        <v>97000</v>
      </c>
      <c r="H307" s="181">
        <v>105391</v>
      </c>
      <c r="I307" s="182">
        <f>H307/G307*100</f>
        <v>108.65051546391753</v>
      </c>
      <c r="J307" s="180"/>
      <c r="K307" s="181"/>
      <c r="L307" s="183"/>
      <c r="M307" s="180"/>
      <c r="N307" s="181"/>
      <c r="O307" s="184"/>
      <c r="P307" s="180"/>
      <c r="Q307" s="181"/>
      <c r="R307" s="185"/>
    </row>
    <row r="308" spans="1:18" ht="15" customHeight="1">
      <c r="A308" s="413" t="s">
        <v>34</v>
      </c>
      <c r="B308" s="151" t="s">
        <v>35</v>
      </c>
      <c r="C308" s="152">
        <v>3000</v>
      </c>
      <c r="D308" s="92">
        <f t="shared" si="55"/>
        <v>6200</v>
      </c>
      <c r="E308" s="92">
        <f t="shared" si="55"/>
        <v>6196</v>
      </c>
      <c r="F308" s="186">
        <f t="shared" si="48"/>
        <v>99.93548387096774</v>
      </c>
      <c r="G308" s="154">
        <f>3000+3200</f>
        <v>6200</v>
      </c>
      <c r="H308" s="155">
        <v>6196</v>
      </c>
      <c r="I308" s="156">
        <f>H308/G308*100</f>
        <v>99.93548387096774</v>
      </c>
      <c r="J308" s="154"/>
      <c r="K308" s="155"/>
      <c r="L308" s="157"/>
      <c r="M308" s="154"/>
      <c r="N308" s="155"/>
      <c r="O308" s="160"/>
      <c r="P308" s="154"/>
      <c r="Q308" s="155"/>
      <c r="R308" s="158"/>
    </row>
    <row r="309" spans="1:18" ht="13.5" customHeight="1">
      <c r="A309" s="493" t="s">
        <v>347</v>
      </c>
      <c r="B309" s="371" t="s">
        <v>19</v>
      </c>
      <c r="C309" s="494"/>
      <c r="D309" s="210">
        <f t="shared" si="55"/>
        <v>7000</v>
      </c>
      <c r="E309" s="210">
        <f t="shared" si="55"/>
        <v>6785</v>
      </c>
      <c r="F309" s="327">
        <f t="shared" si="48"/>
        <v>96.92857142857143</v>
      </c>
      <c r="G309" s="495"/>
      <c r="H309" s="290"/>
      <c r="I309" s="496"/>
      <c r="J309" s="289"/>
      <c r="K309" s="290"/>
      <c r="L309" s="374"/>
      <c r="M309" s="495">
        <f>M310</f>
        <v>7000</v>
      </c>
      <c r="N309" s="290">
        <f>N310</f>
        <v>6785</v>
      </c>
      <c r="O309" s="497">
        <f>N309/M309*100</f>
        <v>96.92857142857143</v>
      </c>
      <c r="P309" s="289"/>
      <c r="Q309" s="290"/>
      <c r="R309" s="376"/>
    </row>
    <row r="310" spans="1:18" ht="54.75" customHeight="1" thickBot="1">
      <c r="A310" s="340" t="s">
        <v>158</v>
      </c>
      <c r="B310" s="176" t="s">
        <v>348</v>
      </c>
      <c r="C310" s="355"/>
      <c r="D310" s="178">
        <f t="shared" si="55"/>
        <v>7000</v>
      </c>
      <c r="E310" s="92">
        <f t="shared" si="55"/>
        <v>6785</v>
      </c>
      <c r="F310" s="186"/>
      <c r="G310" s="498"/>
      <c r="H310" s="181"/>
      <c r="I310" s="499"/>
      <c r="J310" s="180"/>
      <c r="K310" s="181"/>
      <c r="L310" s="183"/>
      <c r="M310" s="498">
        <v>7000</v>
      </c>
      <c r="N310" s="181">
        <v>6785</v>
      </c>
      <c r="O310" s="184"/>
      <c r="P310" s="180"/>
      <c r="Q310" s="181"/>
      <c r="R310" s="185"/>
    </row>
    <row r="311" spans="1:18" ht="48.75" customHeight="1" thickBot="1" thickTop="1">
      <c r="A311" s="409" t="s">
        <v>349</v>
      </c>
      <c r="B311" s="251" t="s">
        <v>350</v>
      </c>
      <c r="C311" s="107">
        <f>C312+C315+C317</f>
        <v>10000</v>
      </c>
      <c r="D311" s="107">
        <f>D312+D315+D317</f>
        <v>335342</v>
      </c>
      <c r="E311" s="107">
        <f>E312+E315+E317</f>
        <v>366103</v>
      </c>
      <c r="F311" s="106">
        <f t="shared" si="48"/>
        <v>109.17302336122525</v>
      </c>
      <c r="G311" s="107">
        <f>G312+G315+G317</f>
        <v>333042</v>
      </c>
      <c r="H311" s="107">
        <f>H312+H315+H317</f>
        <v>360885</v>
      </c>
      <c r="I311" s="500">
        <f>H311/G311*100</f>
        <v>108.36020682076135</v>
      </c>
      <c r="J311" s="109"/>
      <c r="K311" s="107"/>
      <c r="L311" s="110"/>
      <c r="M311" s="330">
        <f>M312+M315+M317</f>
        <v>2300</v>
      </c>
      <c r="N311" s="107">
        <f>N312+N315+N317</f>
        <v>5218</v>
      </c>
      <c r="O311" s="233">
        <f>N311/M311*100</f>
        <v>226.8695652173913</v>
      </c>
      <c r="P311" s="109"/>
      <c r="Q311" s="107"/>
      <c r="R311" s="112"/>
    </row>
    <row r="312" spans="1:18" ht="17.25" customHeight="1" thickTop="1">
      <c r="A312" s="411" t="s">
        <v>351</v>
      </c>
      <c r="B312" s="139" t="s">
        <v>352</v>
      </c>
      <c r="C312" s="140"/>
      <c r="D312" s="141">
        <f>SUM(D313:D313)</f>
        <v>2300</v>
      </c>
      <c r="E312" s="141">
        <f>SUM(E313:E314)</f>
        <v>5218</v>
      </c>
      <c r="F312" s="266">
        <f>E312/D312*100</f>
        <v>226.8695652173913</v>
      </c>
      <c r="G312" s="143"/>
      <c r="H312" s="144"/>
      <c r="I312" s="132"/>
      <c r="J312" s="143"/>
      <c r="K312" s="144"/>
      <c r="L312" s="279"/>
      <c r="M312" s="144">
        <f>M313</f>
        <v>2300</v>
      </c>
      <c r="N312" s="144">
        <f>SUM(N313:N314)</f>
        <v>5218</v>
      </c>
      <c r="O312" s="497">
        <f>N312/M312*100</f>
        <v>226.8695652173913</v>
      </c>
      <c r="P312" s="143"/>
      <c r="Q312" s="144"/>
      <c r="R312" s="149"/>
    </row>
    <row r="313" spans="1:18" s="163" customFormat="1" ht="33" customHeight="1">
      <c r="A313" s="175" t="s">
        <v>30</v>
      </c>
      <c r="B313" s="176" t="s">
        <v>31</v>
      </c>
      <c r="C313" s="177"/>
      <c r="D313" s="178">
        <f>G313+J313+M313</f>
        <v>2300</v>
      </c>
      <c r="E313" s="178">
        <f>H313+K313+N313+Q313</f>
        <v>4692</v>
      </c>
      <c r="F313" s="263">
        <f>E313/D313*100</f>
        <v>204</v>
      </c>
      <c r="G313" s="180"/>
      <c r="H313" s="181"/>
      <c r="I313" s="182"/>
      <c r="J313" s="180"/>
      <c r="K313" s="181"/>
      <c r="L313" s="183"/>
      <c r="M313" s="180">
        <v>2300</v>
      </c>
      <c r="N313" s="181">
        <v>4692</v>
      </c>
      <c r="O313" s="246">
        <f>N313/M313*100</f>
        <v>204</v>
      </c>
      <c r="P313" s="180"/>
      <c r="Q313" s="181"/>
      <c r="R313" s="185"/>
    </row>
    <row r="314" spans="1:18" s="163" customFormat="1" ht="26.25" customHeight="1">
      <c r="A314" s="197" t="s">
        <v>34</v>
      </c>
      <c r="B314" s="151" t="s">
        <v>35</v>
      </c>
      <c r="C314" s="220"/>
      <c r="D314" s="221"/>
      <c r="E314" s="221">
        <f>H314+K314+N314+Q314</f>
        <v>526</v>
      </c>
      <c r="F314" s="278"/>
      <c r="G314" s="223"/>
      <c r="H314" s="224"/>
      <c r="I314" s="204"/>
      <c r="J314" s="223"/>
      <c r="K314" s="224"/>
      <c r="L314" s="207"/>
      <c r="M314" s="223"/>
      <c r="N314" s="224">
        <v>526</v>
      </c>
      <c r="O314" s="208"/>
      <c r="P314" s="223"/>
      <c r="Q314" s="224"/>
      <c r="R314" s="368"/>
    </row>
    <row r="315" spans="1:18" ht="18.75" customHeight="1">
      <c r="A315" s="357" t="s">
        <v>353</v>
      </c>
      <c r="B315" s="165" t="s">
        <v>354</v>
      </c>
      <c r="C315" s="166">
        <f>SUM(C316:C316)</f>
        <v>10000</v>
      </c>
      <c r="D315" s="167">
        <f>SUM(D316:D316)</f>
        <v>25000</v>
      </c>
      <c r="E315" s="167">
        <f>SUM(E316:E316)</f>
        <v>21934</v>
      </c>
      <c r="F315" s="275">
        <f>E315/D315*100</f>
        <v>87.736</v>
      </c>
      <c r="G315" s="169">
        <f>G316</f>
        <v>25000</v>
      </c>
      <c r="H315" s="170">
        <f>H316</f>
        <v>21934</v>
      </c>
      <c r="I315" s="261">
        <f>H315/G315*100</f>
        <v>87.736</v>
      </c>
      <c r="J315" s="169"/>
      <c r="K315" s="170"/>
      <c r="L315" s="429"/>
      <c r="M315" s="169"/>
      <c r="N315" s="170"/>
      <c r="O315" s="173"/>
      <c r="P315" s="169"/>
      <c r="Q315" s="170"/>
      <c r="R315" s="174"/>
    </row>
    <row r="316" spans="1:18" ht="15.75" customHeight="1">
      <c r="A316" s="420" t="s">
        <v>95</v>
      </c>
      <c r="B316" s="126" t="s">
        <v>355</v>
      </c>
      <c r="C316" s="332">
        <v>10000</v>
      </c>
      <c r="D316" s="221">
        <f>G316+J316+M316+P316</f>
        <v>25000</v>
      </c>
      <c r="E316" s="221">
        <f>H316+K316+N316+Q316</f>
        <v>21934</v>
      </c>
      <c r="F316" s="278"/>
      <c r="G316" s="133">
        <f>10000+15000</f>
        <v>25000</v>
      </c>
      <c r="H316" s="131">
        <v>21934</v>
      </c>
      <c r="I316" s="341"/>
      <c r="J316" s="133"/>
      <c r="K316" s="131"/>
      <c r="L316" s="134"/>
      <c r="M316" s="133"/>
      <c r="N316" s="131"/>
      <c r="O316" s="135"/>
      <c r="P316" s="133"/>
      <c r="Q316" s="131"/>
      <c r="R316" s="136"/>
    </row>
    <row r="317" spans="1:18" ht="16.5" customHeight="1">
      <c r="A317" s="411" t="s">
        <v>356</v>
      </c>
      <c r="B317" s="139" t="s">
        <v>19</v>
      </c>
      <c r="C317" s="140"/>
      <c r="D317" s="141">
        <f>SUM(D318:D320)</f>
        <v>308042</v>
      </c>
      <c r="E317" s="141">
        <f>SUM(E318:E320)</f>
        <v>338951</v>
      </c>
      <c r="F317" s="266">
        <f aca="true" t="shared" si="56" ref="F317:F323">E317/D317*100</f>
        <v>110.03402133475306</v>
      </c>
      <c r="G317" s="143">
        <f>SUM(G318:G320)</f>
        <v>308042</v>
      </c>
      <c r="H317" s="144">
        <f>SUM(H318:H320)</f>
        <v>338951</v>
      </c>
      <c r="I317" s="375">
        <f aca="true" t="shared" si="57" ref="I317:I323">H317/G317*100</f>
        <v>110.03402133475306</v>
      </c>
      <c r="J317" s="143"/>
      <c r="K317" s="144"/>
      <c r="L317" s="279"/>
      <c r="M317" s="143"/>
      <c r="N317" s="144"/>
      <c r="O317" s="148"/>
      <c r="P317" s="143"/>
      <c r="Q317" s="144"/>
      <c r="R317" s="149"/>
    </row>
    <row r="318" spans="1:18" s="137" customFormat="1" ht="37.5" customHeight="1">
      <c r="A318" s="340" t="s">
        <v>30</v>
      </c>
      <c r="B318" s="90" t="s">
        <v>31</v>
      </c>
      <c r="C318" s="177"/>
      <c r="D318" s="92">
        <f>G318+J318+M318+P318</f>
        <v>7271</v>
      </c>
      <c r="E318" s="178">
        <f>H318+K318+N318+Q318</f>
        <v>7270</v>
      </c>
      <c r="F318" s="263">
        <f t="shared" si="56"/>
        <v>99.98624673359923</v>
      </c>
      <c r="G318" s="180">
        <v>7271</v>
      </c>
      <c r="H318" s="181">
        <v>7270</v>
      </c>
      <c r="I318" s="182">
        <f t="shared" si="57"/>
        <v>99.98624673359923</v>
      </c>
      <c r="J318" s="180"/>
      <c r="K318" s="181"/>
      <c r="L318" s="297"/>
      <c r="M318" s="180"/>
      <c r="N318" s="181"/>
      <c r="O318" s="184"/>
      <c r="P318" s="180"/>
      <c r="Q318" s="181"/>
      <c r="R318" s="185"/>
    </row>
    <row r="319" spans="1:18" s="163" customFormat="1" ht="50.25" customHeight="1">
      <c r="A319" s="413" t="s">
        <v>52</v>
      </c>
      <c r="B319" s="162" t="s">
        <v>357</v>
      </c>
      <c r="C319" s="152"/>
      <c r="D319" s="92">
        <f>G319+J319+M319+P319</f>
        <v>26067</v>
      </c>
      <c r="E319" s="92">
        <f>H319+K319+N319+Q319</f>
        <v>101441</v>
      </c>
      <c r="F319" s="159">
        <f t="shared" si="56"/>
        <v>389.15487014232554</v>
      </c>
      <c r="G319" s="154">
        <v>26067</v>
      </c>
      <c r="H319" s="155">
        <v>101441</v>
      </c>
      <c r="I319" s="156">
        <f t="shared" si="57"/>
        <v>389.15487014232554</v>
      </c>
      <c r="J319" s="154"/>
      <c r="K319" s="155"/>
      <c r="L319" s="157"/>
      <c r="M319" s="154"/>
      <c r="N319" s="155"/>
      <c r="O319" s="160"/>
      <c r="P319" s="154"/>
      <c r="Q319" s="155"/>
      <c r="R319" s="158"/>
    </row>
    <row r="320" spans="1:18" s="163" customFormat="1" ht="57" customHeight="1">
      <c r="A320" s="197" t="s">
        <v>358</v>
      </c>
      <c r="B320" s="423" t="s">
        <v>359</v>
      </c>
      <c r="C320" s="220"/>
      <c r="D320" s="221">
        <f>G320+J320+M320+P320</f>
        <v>274704</v>
      </c>
      <c r="E320" s="221">
        <f>H320</f>
        <v>230240</v>
      </c>
      <c r="F320" s="278">
        <f t="shared" si="56"/>
        <v>83.81385054458617</v>
      </c>
      <c r="G320" s="501">
        <f>200996+73708</f>
        <v>274704</v>
      </c>
      <c r="H320" s="224">
        <v>230240</v>
      </c>
      <c r="I320" s="204">
        <f t="shared" si="57"/>
        <v>83.81385054458617</v>
      </c>
      <c r="J320" s="502"/>
      <c r="K320" s="224"/>
      <c r="L320" s="207"/>
      <c r="M320" s="502"/>
      <c r="N320" s="224"/>
      <c r="O320" s="367"/>
      <c r="P320" s="223"/>
      <c r="Q320" s="224"/>
      <c r="R320" s="368"/>
    </row>
    <row r="321" spans="1:18" ht="39.75" customHeight="1" thickBot="1">
      <c r="A321" s="503" t="s">
        <v>360</v>
      </c>
      <c r="B321" s="504" t="s">
        <v>361</v>
      </c>
      <c r="C321" s="505">
        <f>C322+C330+C332+C334</f>
        <v>4803048</v>
      </c>
      <c r="D321" s="506">
        <f>G321+J321+M321+P321</f>
        <v>5372859</v>
      </c>
      <c r="E321" s="507">
        <f>H321+K321+N321+Q321</f>
        <v>5621192</v>
      </c>
      <c r="F321" s="508">
        <f t="shared" si="56"/>
        <v>104.62198989402106</v>
      </c>
      <c r="G321" s="507">
        <f>G322+G330+G332+G334+G338</f>
        <v>464811</v>
      </c>
      <c r="H321" s="507">
        <f>H322+H330+H332+H334+H338</f>
        <v>464809</v>
      </c>
      <c r="I321" s="509">
        <f t="shared" si="57"/>
        <v>99.99956971758414</v>
      </c>
      <c r="J321" s="505">
        <f>J322+J330+J332+J334+J338</f>
        <v>5000</v>
      </c>
      <c r="K321" s="507">
        <f>K322+K330+K332+K334+K338</f>
        <v>5000</v>
      </c>
      <c r="L321" s="510">
        <f>K321/J321*100</f>
        <v>100</v>
      </c>
      <c r="M321" s="505">
        <f>M322+M330+M332+M334+M338+M336</f>
        <v>4833048</v>
      </c>
      <c r="N321" s="507">
        <f>N322+N330+N332+N334+N338+N336</f>
        <v>5081383</v>
      </c>
      <c r="O321" s="509">
        <f>N321/M321*100</f>
        <v>105.13826885228535</v>
      </c>
      <c r="P321" s="511">
        <f>P336</f>
        <v>70000</v>
      </c>
      <c r="Q321" s="512">
        <f>Q336</f>
        <v>70000</v>
      </c>
      <c r="R321" s="513">
        <f>Q321/P321*100</f>
        <v>100</v>
      </c>
    </row>
    <row r="322" spans="1:18" ht="26.25" customHeight="1" thickTop="1">
      <c r="A322" s="113" t="s">
        <v>362</v>
      </c>
      <c r="B322" s="114" t="s">
        <v>363</v>
      </c>
      <c r="C322" s="321"/>
      <c r="D322" s="116">
        <f>G322</f>
        <v>148098</v>
      </c>
      <c r="E322" s="116">
        <f>H322</f>
        <v>148097</v>
      </c>
      <c r="F322" s="322">
        <f t="shared" si="56"/>
        <v>99.99932477143513</v>
      </c>
      <c r="G322" s="121">
        <f>G323+G324+G327</f>
        <v>148098</v>
      </c>
      <c r="H322" s="119">
        <f>H323+H324+H327</f>
        <v>148097</v>
      </c>
      <c r="I322" s="120">
        <f t="shared" si="57"/>
        <v>99.99932477143513</v>
      </c>
      <c r="J322" s="121"/>
      <c r="K322" s="119"/>
      <c r="L322" s="122"/>
      <c r="M322" s="121"/>
      <c r="N322" s="119"/>
      <c r="O322" s="120"/>
      <c r="P322" s="121"/>
      <c r="Q322" s="119"/>
      <c r="R322" s="124"/>
    </row>
    <row r="323" spans="1:18" s="514" customFormat="1" ht="43.5" customHeight="1">
      <c r="A323" s="175" t="s">
        <v>364</v>
      </c>
      <c r="B323" s="425" t="s">
        <v>365</v>
      </c>
      <c r="C323" s="177"/>
      <c r="D323" s="178">
        <f aca="true" t="shared" si="58" ref="D323:E329">G323+J323+M323+P323</f>
        <v>8741</v>
      </c>
      <c r="E323" s="178">
        <f t="shared" si="58"/>
        <v>8741</v>
      </c>
      <c r="F323" s="179">
        <f t="shared" si="56"/>
        <v>100</v>
      </c>
      <c r="G323" s="180">
        <v>8741</v>
      </c>
      <c r="H323" s="181">
        <v>8741</v>
      </c>
      <c r="I323" s="182">
        <f t="shared" si="57"/>
        <v>100</v>
      </c>
      <c r="J323" s="180"/>
      <c r="K323" s="181"/>
      <c r="L323" s="183"/>
      <c r="M323" s="180"/>
      <c r="N323" s="181"/>
      <c r="O323" s="182"/>
      <c r="P323" s="180"/>
      <c r="Q323" s="181"/>
      <c r="R323" s="185"/>
    </row>
    <row r="324" spans="1:18" s="525" customFormat="1" ht="18.75" customHeight="1">
      <c r="A324" s="515"/>
      <c r="B324" s="516" t="s">
        <v>366</v>
      </c>
      <c r="C324" s="517"/>
      <c r="D324" s="518">
        <f>SUM(D325:D326)</f>
        <v>62406</v>
      </c>
      <c r="E324" s="518">
        <f>SUM(E325:E326)</f>
        <v>62406</v>
      </c>
      <c r="F324" s="519"/>
      <c r="G324" s="520">
        <f>SUM(G325:G326)</f>
        <v>62406</v>
      </c>
      <c r="H324" s="521">
        <f>SUM(H325:H326)</f>
        <v>62406</v>
      </c>
      <c r="I324" s="522"/>
      <c r="J324" s="520"/>
      <c r="K324" s="521"/>
      <c r="L324" s="523"/>
      <c r="M324" s="520"/>
      <c r="N324" s="521"/>
      <c r="O324" s="522"/>
      <c r="P324" s="520"/>
      <c r="Q324" s="521"/>
      <c r="R324" s="524"/>
    </row>
    <row r="325" spans="1:18" s="163" customFormat="1" ht="39.75" customHeight="1">
      <c r="A325" s="150" t="s">
        <v>52</v>
      </c>
      <c r="B325" s="162" t="s">
        <v>367</v>
      </c>
      <c r="C325" s="152"/>
      <c r="D325" s="92">
        <f t="shared" si="58"/>
        <v>55064</v>
      </c>
      <c r="E325" s="92">
        <f t="shared" si="58"/>
        <v>55064</v>
      </c>
      <c r="F325" s="186">
        <f aca="true" t="shared" si="59" ref="F325:F330">E325/D325*100</f>
        <v>100</v>
      </c>
      <c r="G325" s="154">
        <v>55064</v>
      </c>
      <c r="H325" s="155">
        <v>55064</v>
      </c>
      <c r="I325" s="156">
        <f>H325/G325*100</f>
        <v>100</v>
      </c>
      <c r="J325" s="154"/>
      <c r="K325" s="155"/>
      <c r="L325" s="157"/>
      <c r="M325" s="154"/>
      <c r="N325" s="155"/>
      <c r="O325" s="156"/>
      <c r="P325" s="154"/>
      <c r="Q325" s="155"/>
      <c r="R325" s="158"/>
    </row>
    <row r="326" spans="1:18" s="163" customFormat="1" ht="33.75">
      <c r="A326" s="150" t="s">
        <v>54</v>
      </c>
      <c r="B326" s="90" t="s">
        <v>367</v>
      </c>
      <c r="C326" s="152"/>
      <c r="D326" s="92">
        <f t="shared" si="58"/>
        <v>7342</v>
      </c>
      <c r="E326" s="92">
        <f t="shared" si="58"/>
        <v>7342</v>
      </c>
      <c r="F326" s="186">
        <f t="shared" si="59"/>
        <v>100</v>
      </c>
      <c r="G326" s="154">
        <v>7342</v>
      </c>
      <c r="H326" s="155">
        <v>7342</v>
      </c>
      <c r="I326" s="156">
        <f>H326/G326*100</f>
        <v>100</v>
      </c>
      <c r="J326" s="154"/>
      <c r="K326" s="155"/>
      <c r="L326" s="157"/>
      <c r="M326" s="154"/>
      <c r="N326" s="155"/>
      <c r="O326" s="156"/>
      <c r="P326" s="154"/>
      <c r="Q326" s="155"/>
      <c r="R326" s="158"/>
    </row>
    <row r="327" spans="1:18" s="525" customFormat="1" ht="16.5" customHeight="1">
      <c r="A327" s="515"/>
      <c r="B327" s="526" t="s">
        <v>368</v>
      </c>
      <c r="C327" s="517"/>
      <c r="D327" s="518">
        <f>SUM(D328:D329)</f>
        <v>76951</v>
      </c>
      <c r="E327" s="518">
        <f>SUM(E328:E329)</f>
        <v>76950</v>
      </c>
      <c r="F327" s="519">
        <f t="shared" si="59"/>
        <v>99.99870047172877</v>
      </c>
      <c r="G327" s="520">
        <f>SUM(G328:G329)</f>
        <v>76951</v>
      </c>
      <c r="H327" s="521">
        <f>SUM(H328:H329)</f>
        <v>76950</v>
      </c>
      <c r="I327" s="522">
        <f>H327/G327*100</f>
        <v>99.99870047172877</v>
      </c>
      <c r="J327" s="520"/>
      <c r="K327" s="521"/>
      <c r="L327" s="523"/>
      <c r="M327" s="520"/>
      <c r="N327" s="521"/>
      <c r="O327" s="522"/>
      <c r="P327" s="520"/>
      <c r="Q327" s="521"/>
      <c r="R327" s="524"/>
    </row>
    <row r="328" spans="1:18" s="163" customFormat="1" ht="33.75">
      <c r="A328" s="150" t="s">
        <v>52</v>
      </c>
      <c r="B328" s="90" t="s">
        <v>369</v>
      </c>
      <c r="C328" s="152"/>
      <c r="D328" s="92">
        <f t="shared" si="58"/>
        <v>67898</v>
      </c>
      <c r="E328" s="92">
        <f t="shared" si="58"/>
        <v>67897</v>
      </c>
      <c r="F328" s="186">
        <f t="shared" si="59"/>
        <v>99.99852720256855</v>
      </c>
      <c r="G328" s="154">
        <v>67898</v>
      </c>
      <c r="H328" s="155">
        <v>67897</v>
      </c>
      <c r="I328" s="156">
        <f>H328/G328*100</f>
        <v>99.99852720256855</v>
      </c>
      <c r="J328" s="154"/>
      <c r="K328" s="155"/>
      <c r="L328" s="157"/>
      <c r="M328" s="154"/>
      <c r="N328" s="155"/>
      <c r="O328" s="156"/>
      <c r="P328" s="154"/>
      <c r="Q328" s="155"/>
      <c r="R328" s="158"/>
    </row>
    <row r="329" spans="1:18" s="163" customFormat="1" ht="41.25" customHeight="1">
      <c r="A329" s="197" t="s">
        <v>54</v>
      </c>
      <c r="B329" s="273" t="s">
        <v>369</v>
      </c>
      <c r="C329" s="220"/>
      <c r="D329" s="92">
        <f t="shared" si="58"/>
        <v>9053</v>
      </c>
      <c r="E329" s="92">
        <f t="shared" si="58"/>
        <v>9053</v>
      </c>
      <c r="F329" s="186">
        <f t="shared" si="59"/>
        <v>100</v>
      </c>
      <c r="G329" s="154">
        <v>9053</v>
      </c>
      <c r="H329" s="224">
        <v>9053</v>
      </c>
      <c r="I329" s="204">
        <f>H329/G329*100</f>
        <v>100</v>
      </c>
      <c r="J329" s="223"/>
      <c r="K329" s="224"/>
      <c r="L329" s="207"/>
      <c r="M329" s="223"/>
      <c r="N329" s="224"/>
      <c r="O329" s="204"/>
      <c r="P329" s="223"/>
      <c r="Q329" s="224"/>
      <c r="R329" s="368"/>
    </row>
    <row r="330" spans="1:18" ht="24">
      <c r="A330" s="138" t="s">
        <v>370</v>
      </c>
      <c r="B330" s="412" t="s">
        <v>371</v>
      </c>
      <c r="C330" s="140">
        <f>C331</f>
        <v>4803048</v>
      </c>
      <c r="D330" s="167">
        <f>D331</f>
        <v>4803048</v>
      </c>
      <c r="E330" s="167">
        <f>E331</f>
        <v>5051383</v>
      </c>
      <c r="F330" s="303">
        <f t="shared" si="59"/>
        <v>105.17036265304864</v>
      </c>
      <c r="G330" s="169"/>
      <c r="H330" s="144"/>
      <c r="I330" s="261"/>
      <c r="J330" s="143"/>
      <c r="K330" s="144"/>
      <c r="L330" s="146"/>
      <c r="M330" s="143">
        <f>M331</f>
        <v>4803048</v>
      </c>
      <c r="N330" s="144">
        <f>N331</f>
        <v>5051383</v>
      </c>
      <c r="O330" s="316">
        <f>N330/M330*100</f>
        <v>105.17036265304864</v>
      </c>
      <c r="P330" s="143"/>
      <c r="Q330" s="144"/>
      <c r="R330" s="149"/>
    </row>
    <row r="331" spans="1:18" ht="48.75" customHeight="1">
      <c r="A331" s="150" t="s">
        <v>372</v>
      </c>
      <c r="B331" s="162" t="s">
        <v>373</v>
      </c>
      <c r="C331" s="152">
        <v>4803048</v>
      </c>
      <c r="D331" s="92">
        <f aca="true" t="shared" si="60" ref="D331:E333">G331+J331+M331+P331</f>
        <v>4803048</v>
      </c>
      <c r="E331" s="92">
        <f t="shared" si="60"/>
        <v>5051383</v>
      </c>
      <c r="F331" s="186"/>
      <c r="G331" s="154"/>
      <c r="H331" s="155"/>
      <c r="I331" s="353"/>
      <c r="J331" s="154"/>
      <c r="K331" s="155"/>
      <c r="L331" s="157"/>
      <c r="M331" s="154">
        <v>4803048</v>
      </c>
      <c r="N331" s="155">
        <v>5051383</v>
      </c>
      <c r="O331" s="204"/>
      <c r="P331" s="154"/>
      <c r="Q331" s="155"/>
      <c r="R331" s="158"/>
    </row>
    <row r="332" spans="1:18" s="338" customFormat="1" ht="23.25" customHeight="1">
      <c r="A332" s="164" t="s">
        <v>374</v>
      </c>
      <c r="B332" s="427" t="s">
        <v>375</v>
      </c>
      <c r="C332" s="166"/>
      <c r="D332" s="167">
        <f>D333</f>
        <v>5000</v>
      </c>
      <c r="E332" s="210">
        <f>E333</f>
        <v>5000</v>
      </c>
      <c r="F332" s="303">
        <f>E332/D332*100</f>
        <v>100</v>
      </c>
      <c r="G332" s="169"/>
      <c r="H332" s="170"/>
      <c r="I332" s="261"/>
      <c r="J332" s="169">
        <f>J333</f>
        <v>5000</v>
      </c>
      <c r="K332" s="170">
        <f>K333</f>
        <v>5000</v>
      </c>
      <c r="L332" s="172">
        <f>K332/J332*100</f>
        <v>100</v>
      </c>
      <c r="M332" s="169"/>
      <c r="N332" s="170"/>
      <c r="O332" s="261"/>
      <c r="P332" s="169"/>
      <c r="Q332" s="170"/>
      <c r="R332" s="174"/>
    </row>
    <row r="333" spans="1:18" ht="57.75" customHeight="1">
      <c r="A333" s="150" t="s">
        <v>92</v>
      </c>
      <c r="B333" s="90" t="s">
        <v>306</v>
      </c>
      <c r="C333" s="152"/>
      <c r="D333" s="92">
        <f t="shared" si="60"/>
        <v>5000</v>
      </c>
      <c r="E333" s="92">
        <f>K333</f>
        <v>5000</v>
      </c>
      <c r="F333" s="186"/>
      <c r="G333" s="223"/>
      <c r="H333" s="155"/>
      <c r="I333" s="492"/>
      <c r="J333" s="154">
        <v>5000</v>
      </c>
      <c r="K333" s="155">
        <v>5000</v>
      </c>
      <c r="L333" s="207"/>
      <c r="M333" s="154"/>
      <c r="N333" s="155"/>
      <c r="O333" s="156"/>
      <c r="P333" s="154"/>
      <c r="Q333" s="155"/>
      <c r="R333" s="158"/>
    </row>
    <row r="334" spans="1:18" ht="15.75" customHeight="1">
      <c r="A334" s="370" t="s">
        <v>376</v>
      </c>
      <c r="B334" s="415" t="s">
        <v>377</v>
      </c>
      <c r="C334" s="372"/>
      <c r="D334" s="210">
        <f>SUM(D335:D335)</f>
        <v>30000</v>
      </c>
      <c r="E334" s="210">
        <f>SUM(E335:E335)</f>
        <v>30000</v>
      </c>
      <c r="F334" s="327">
        <f>E334/D334*100</f>
        <v>100</v>
      </c>
      <c r="G334" s="289"/>
      <c r="H334" s="290"/>
      <c r="I334" s="375"/>
      <c r="J334" s="289"/>
      <c r="K334" s="290"/>
      <c r="L334" s="374"/>
      <c r="M334" s="289">
        <f>SUM(M335:M335)</f>
        <v>30000</v>
      </c>
      <c r="N334" s="290">
        <f>SUM(N335:N335)</f>
        <v>30000</v>
      </c>
      <c r="O334" s="375">
        <f>N334/M334*100</f>
        <v>100</v>
      </c>
      <c r="P334" s="289"/>
      <c r="Q334" s="290"/>
      <c r="R334" s="376"/>
    </row>
    <row r="335" spans="1:18" ht="47.25" customHeight="1">
      <c r="A335" s="197" t="s">
        <v>266</v>
      </c>
      <c r="B335" s="423" t="s">
        <v>267</v>
      </c>
      <c r="C335" s="220"/>
      <c r="D335" s="221">
        <f>G335+J335+M335+P335</f>
        <v>30000</v>
      </c>
      <c r="E335" s="221">
        <f>H335+K335+N335+Q335</f>
        <v>30000</v>
      </c>
      <c r="F335" s="527"/>
      <c r="G335" s="223"/>
      <c r="H335" s="224"/>
      <c r="I335" s="145"/>
      <c r="J335" s="223"/>
      <c r="K335" s="224"/>
      <c r="L335" s="207"/>
      <c r="M335" s="223">
        <v>30000</v>
      </c>
      <c r="N335" s="224">
        <v>30000</v>
      </c>
      <c r="O335" s="204"/>
      <c r="P335" s="223"/>
      <c r="Q335" s="224"/>
      <c r="R335" s="368"/>
    </row>
    <row r="336" spans="1:18" s="338" customFormat="1" ht="15.75" customHeight="1">
      <c r="A336" s="138" t="s">
        <v>378</v>
      </c>
      <c r="B336" s="528" t="s">
        <v>379</v>
      </c>
      <c r="C336" s="140"/>
      <c r="D336" s="141">
        <f>D337</f>
        <v>70000</v>
      </c>
      <c r="E336" s="141">
        <f>E337</f>
        <v>70000</v>
      </c>
      <c r="F336" s="337">
        <f>E336/D336*100</f>
        <v>100</v>
      </c>
      <c r="G336" s="143"/>
      <c r="H336" s="144"/>
      <c r="I336" s="145"/>
      <c r="J336" s="143"/>
      <c r="K336" s="144"/>
      <c r="L336" s="146"/>
      <c r="M336" s="143"/>
      <c r="N336" s="144"/>
      <c r="O336" s="145"/>
      <c r="P336" s="143">
        <f>P337</f>
        <v>70000</v>
      </c>
      <c r="Q336" s="144">
        <f>Q337</f>
        <v>70000</v>
      </c>
      <c r="R336" s="255">
        <f>Q336/P336*100</f>
        <v>100</v>
      </c>
    </row>
    <row r="337" spans="1:18" ht="60.75" customHeight="1">
      <c r="A337" s="197" t="s">
        <v>114</v>
      </c>
      <c r="B337" s="423" t="s">
        <v>115</v>
      </c>
      <c r="C337" s="220"/>
      <c r="D337" s="221">
        <f>G337+J337+M337+P337</f>
        <v>70000</v>
      </c>
      <c r="E337" s="221">
        <f>H337+K337+N337+Q337</f>
        <v>70000</v>
      </c>
      <c r="F337" s="527"/>
      <c r="G337" s="223"/>
      <c r="H337" s="224"/>
      <c r="I337" s="145"/>
      <c r="J337" s="223"/>
      <c r="K337" s="224"/>
      <c r="L337" s="207"/>
      <c r="M337" s="223"/>
      <c r="N337" s="224"/>
      <c r="O337" s="204"/>
      <c r="P337" s="223">
        <v>70000</v>
      </c>
      <c r="Q337" s="224">
        <v>70000</v>
      </c>
      <c r="R337" s="274"/>
    </row>
    <row r="338" spans="1:18" ht="16.5" customHeight="1">
      <c r="A338" s="357" t="s">
        <v>380</v>
      </c>
      <c r="B338" s="165" t="s">
        <v>19</v>
      </c>
      <c r="C338" s="166"/>
      <c r="D338" s="167">
        <f>SUM(D339:D339)</f>
        <v>316713</v>
      </c>
      <c r="E338" s="167">
        <f>E339</f>
        <v>316712</v>
      </c>
      <c r="F338" s="275">
        <f>E338/D338*100</f>
        <v>99.99968425672454</v>
      </c>
      <c r="G338" s="169">
        <f>G339</f>
        <v>316713</v>
      </c>
      <c r="H338" s="170">
        <f>H339</f>
        <v>316712</v>
      </c>
      <c r="I338" s="375">
        <f>H338/G338*100</f>
        <v>99.99968425672454</v>
      </c>
      <c r="J338" s="169"/>
      <c r="K338" s="170"/>
      <c r="L338" s="429"/>
      <c r="M338" s="169"/>
      <c r="N338" s="170"/>
      <c r="O338" s="173"/>
      <c r="P338" s="169"/>
      <c r="Q338" s="170"/>
      <c r="R338" s="174"/>
    </row>
    <row r="339" spans="1:18" ht="48.75" customHeight="1" thickBot="1">
      <c r="A339" s="175" t="s">
        <v>52</v>
      </c>
      <c r="B339" s="425" t="s">
        <v>381</v>
      </c>
      <c r="C339" s="177"/>
      <c r="D339" s="178">
        <f>G339+J339+M339+P339</f>
        <v>316713</v>
      </c>
      <c r="E339" s="178">
        <f>H339+K339+N339+Q339</f>
        <v>316712</v>
      </c>
      <c r="F339" s="179"/>
      <c r="G339" s="180">
        <v>316713</v>
      </c>
      <c r="H339" s="181">
        <v>316712</v>
      </c>
      <c r="I339" s="406"/>
      <c r="J339" s="180"/>
      <c r="K339" s="181"/>
      <c r="L339" s="183"/>
      <c r="M339" s="180"/>
      <c r="N339" s="181"/>
      <c r="O339" s="182"/>
      <c r="P339" s="180"/>
      <c r="Q339" s="181"/>
      <c r="R339" s="185"/>
    </row>
    <row r="340" spans="1:18" ht="28.5" customHeight="1" thickBot="1" thickTop="1">
      <c r="A340" s="409" t="s">
        <v>382</v>
      </c>
      <c r="B340" s="251" t="s">
        <v>383</v>
      </c>
      <c r="C340" s="109"/>
      <c r="D340" s="64">
        <f>D341+D349</f>
        <v>1852163</v>
      </c>
      <c r="E340" s="64">
        <f>E341+E349</f>
        <v>4126365</v>
      </c>
      <c r="F340" s="294">
        <f aca="true" t="shared" si="61" ref="F340:F349">E340/D340*100</f>
        <v>222.78627744966292</v>
      </c>
      <c r="G340" s="64">
        <f>G341+G349</f>
        <v>1852163</v>
      </c>
      <c r="H340" s="64">
        <f>H341+H349</f>
        <v>4126365</v>
      </c>
      <c r="I340" s="252">
        <f aca="true" t="shared" si="62" ref="I340:I349">H340/G340*100</f>
        <v>222.78627744966292</v>
      </c>
      <c r="J340" s="109"/>
      <c r="K340" s="107"/>
      <c r="L340" s="110"/>
      <c r="M340" s="109"/>
      <c r="N340" s="107"/>
      <c r="O340" s="252"/>
      <c r="P340" s="109"/>
      <c r="Q340" s="107"/>
      <c r="R340" s="112"/>
    </row>
    <row r="341" spans="1:18" ht="19.5" customHeight="1" thickTop="1">
      <c r="A341" s="411" t="s">
        <v>384</v>
      </c>
      <c r="B341" s="139" t="s">
        <v>385</v>
      </c>
      <c r="C341" s="147"/>
      <c r="D341" s="144">
        <f>G341</f>
        <v>1588377</v>
      </c>
      <c r="E341" s="144">
        <f>H341</f>
        <v>3862545</v>
      </c>
      <c r="F341" s="142">
        <f t="shared" si="61"/>
        <v>243.17558111204076</v>
      </c>
      <c r="G341" s="144">
        <f>G342+G346</f>
        <v>1588377</v>
      </c>
      <c r="H341" s="144">
        <f>H342+H343+H346</f>
        <v>3862545</v>
      </c>
      <c r="I341" s="145">
        <f t="shared" si="62"/>
        <v>243.17558111204076</v>
      </c>
      <c r="J341" s="143"/>
      <c r="K341" s="144"/>
      <c r="L341" s="146"/>
      <c r="M341" s="143"/>
      <c r="N341" s="144"/>
      <c r="O341" s="148"/>
      <c r="P341" s="143"/>
      <c r="Q341" s="144"/>
      <c r="R341" s="149"/>
    </row>
    <row r="342" spans="1:18" s="326" customFormat="1" ht="48" customHeight="1">
      <c r="A342" s="340" t="s">
        <v>372</v>
      </c>
      <c r="B342" s="176" t="s">
        <v>386</v>
      </c>
      <c r="C342" s="304"/>
      <c r="D342" s="178">
        <f>G342+J342+M342+P342</f>
        <v>256377</v>
      </c>
      <c r="E342" s="178">
        <f>H342+K342+N342+Q342</f>
        <v>256377</v>
      </c>
      <c r="F342" s="179">
        <f t="shared" si="61"/>
        <v>100</v>
      </c>
      <c r="G342" s="180">
        <v>256377</v>
      </c>
      <c r="H342" s="181">
        <v>256377</v>
      </c>
      <c r="I342" s="182">
        <f t="shared" si="62"/>
        <v>100</v>
      </c>
      <c r="J342" s="180"/>
      <c r="K342" s="181"/>
      <c r="L342" s="183"/>
      <c r="M342" s="180"/>
      <c r="N342" s="181"/>
      <c r="O342" s="184"/>
      <c r="P342" s="180"/>
      <c r="Q342" s="181"/>
      <c r="R342" s="185"/>
    </row>
    <row r="343" spans="1:18" s="525" customFormat="1" ht="14.25" customHeight="1">
      <c r="A343" s="529"/>
      <c r="B343" s="530" t="s">
        <v>387</v>
      </c>
      <c r="C343" s="531"/>
      <c r="D343" s="518"/>
      <c r="E343" s="518">
        <f>H343</f>
        <v>2274168</v>
      </c>
      <c r="F343" s="519"/>
      <c r="G343" s="532"/>
      <c r="H343" s="521">
        <f>SUM(H344:H345)</f>
        <v>2274168</v>
      </c>
      <c r="I343" s="522"/>
      <c r="J343" s="520"/>
      <c r="K343" s="521"/>
      <c r="L343" s="523"/>
      <c r="M343" s="520"/>
      <c r="N343" s="521"/>
      <c r="O343" s="533"/>
      <c r="P343" s="520"/>
      <c r="Q343" s="521"/>
      <c r="R343" s="524"/>
    </row>
    <row r="344" spans="1:18" s="326" customFormat="1" ht="45.75" customHeight="1">
      <c r="A344" s="418" t="s">
        <v>372</v>
      </c>
      <c r="B344" s="273" t="s">
        <v>388</v>
      </c>
      <c r="C344" s="302"/>
      <c r="D344" s="221"/>
      <c r="E344" s="221">
        <f>H344</f>
        <v>2063076</v>
      </c>
      <c r="F344" s="222"/>
      <c r="G344" s="501"/>
      <c r="H344" s="224">
        <v>2063076</v>
      </c>
      <c r="I344" s="204"/>
      <c r="J344" s="223"/>
      <c r="K344" s="224"/>
      <c r="L344" s="207"/>
      <c r="M344" s="223"/>
      <c r="N344" s="224"/>
      <c r="O344" s="367"/>
      <c r="P344" s="223"/>
      <c r="Q344" s="224"/>
      <c r="R344" s="368"/>
    </row>
    <row r="345" spans="1:18" s="137" customFormat="1" ht="46.5" customHeight="1">
      <c r="A345" s="413" t="s">
        <v>389</v>
      </c>
      <c r="B345" s="90" t="s">
        <v>388</v>
      </c>
      <c r="C345" s="301"/>
      <c r="D345" s="92"/>
      <c r="E345" s="92">
        <f>H345</f>
        <v>211092</v>
      </c>
      <c r="F345" s="186"/>
      <c r="G345" s="389"/>
      <c r="H345" s="155">
        <v>211092</v>
      </c>
      <c r="I345" s="156"/>
      <c r="J345" s="154"/>
      <c r="K345" s="155"/>
      <c r="L345" s="157"/>
      <c r="M345" s="154"/>
      <c r="N345" s="155"/>
      <c r="O345" s="160"/>
      <c r="P345" s="154"/>
      <c r="Q345" s="155"/>
      <c r="R345" s="158"/>
    </row>
    <row r="346" spans="1:18" s="534" customFormat="1" ht="18" customHeight="1">
      <c r="A346" s="529"/>
      <c r="B346" s="530" t="s">
        <v>390</v>
      </c>
      <c r="C346" s="531"/>
      <c r="D346" s="518">
        <f>G346</f>
        <v>1332000</v>
      </c>
      <c r="E346" s="518">
        <f>H346</f>
        <v>1332000</v>
      </c>
      <c r="F346" s="519">
        <f>E346/D346*100</f>
        <v>100</v>
      </c>
      <c r="G346" s="532">
        <f>G347+G348</f>
        <v>1332000</v>
      </c>
      <c r="H346" s="521">
        <f>H347+H348</f>
        <v>1332000</v>
      </c>
      <c r="I346" s="522">
        <f>H346/G346*100</f>
        <v>100</v>
      </c>
      <c r="J346" s="520"/>
      <c r="K346" s="521"/>
      <c r="L346" s="523"/>
      <c r="M346" s="520"/>
      <c r="N346" s="521"/>
      <c r="O346" s="533"/>
      <c r="P346" s="520"/>
      <c r="Q346" s="521"/>
      <c r="R346" s="524"/>
    </row>
    <row r="347" spans="1:18" s="137" customFormat="1" ht="57" customHeight="1">
      <c r="A347" s="413" t="s">
        <v>391</v>
      </c>
      <c r="B347" s="90" t="s">
        <v>392</v>
      </c>
      <c r="C347" s="301"/>
      <c r="D347" s="92">
        <f>G347+J347+M347+P347</f>
        <v>666000</v>
      </c>
      <c r="E347" s="92">
        <f>H347+K347+N347+Q347</f>
        <v>666000</v>
      </c>
      <c r="F347" s="186">
        <f t="shared" si="61"/>
        <v>100</v>
      </c>
      <c r="G347" s="389">
        <v>666000</v>
      </c>
      <c r="H347" s="155">
        <v>666000</v>
      </c>
      <c r="I347" s="156">
        <f t="shared" si="62"/>
        <v>100</v>
      </c>
      <c r="J347" s="154"/>
      <c r="K347" s="155"/>
      <c r="L347" s="157"/>
      <c r="M347" s="154"/>
      <c r="N347" s="155"/>
      <c r="O347" s="160"/>
      <c r="P347" s="154"/>
      <c r="Q347" s="155"/>
      <c r="R347" s="158"/>
    </row>
    <row r="348" spans="1:18" s="137" customFormat="1" ht="51" customHeight="1">
      <c r="A348" s="413" t="s">
        <v>393</v>
      </c>
      <c r="B348" s="90" t="s">
        <v>394</v>
      </c>
      <c r="C348" s="301"/>
      <c r="D348" s="92">
        <f>G348+J348+M348+P348</f>
        <v>666000</v>
      </c>
      <c r="E348" s="92">
        <f>H348+K348+N348+Q348</f>
        <v>666000</v>
      </c>
      <c r="F348" s="186">
        <f t="shared" si="61"/>
        <v>100</v>
      </c>
      <c r="G348" s="389">
        <v>666000</v>
      </c>
      <c r="H348" s="155">
        <v>666000</v>
      </c>
      <c r="I348" s="156">
        <f t="shared" si="62"/>
        <v>100</v>
      </c>
      <c r="J348" s="154"/>
      <c r="K348" s="155"/>
      <c r="L348" s="157"/>
      <c r="M348" s="154"/>
      <c r="N348" s="155"/>
      <c r="O348" s="160"/>
      <c r="P348" s="154"/>
      <c r="Q348" s="155"/>
      <c r="R348" s="158"/>
    </row>
    <row r="349" spans="1:18" ht="17.25" customHeight="1">
      <c r="A349" s="357" t="s">
        <v>395</v>
      </c>
      <c r="B349" s="165" t="s">
        <v>19</v>
      </c>
      <c r="C349" s="276"/>
      <c r="D349" s="167">
        <f>SUM(D351:D354)</f>
        <v>263786</v>
      </c>
      <c r="E349" s="167">
        <f>SUM(E350:E354)</f>
        <v>263820</v>
      </c>
      <c r="F349" s="303">
        <f t="shared" si="61"/>
        <v>100.01288923597158</v>
      </c>
      <c r="G349" s="167">
        <f>SUM(G351:G354)</f>
        <v>263786</v>
      </c>
      <c r="H349" s="167">
        <f>SUM(H350:H354)</f>
        <v>263820</v>
      </c>
      <c r="I349" s="261">
        <f t="shared" si="62"/>
        <v>100.01288923597158</v>
      </c>
      <c r="J349" s="169"/>
      <c r="K349" s="170"/>
      <c r="L349" s="172"/>
      <c r="M349" s="169"/>
      <c r="N349" s="170"/>
      <c r="O349" s="173"/>
      <c r="P349" s="169"/>
      <c r="Q349" s="170"/>
      <c r="R349" s="174"/>
    </row>
    <row r="350" spans="1:18" s="137" customFormat="1" ht="33.75" customHeight="1">
      <c r="A350" s="340" t="s">
        <v>270</v>
      </c>
      <c r="B350" s="277" t="s">
        <v>271</v>
      </c>
      <c r="C350" s="304"/>
      <c r="D350" s="178"/>
      <c r="E350" s="178">
        <f>H350</f>
        <v>32</v>
      </c>
      <c r="F350" s="179"/>
      <c r="G350" s="417"/>
      <c r="H350" s="178">
        <v>32</v>
      </c>
      <c r="I350" s="182"/>
      <c r="J350" s="180"/>
      <c r="K350" s="181"/>
      <c r="L350" s="183"/>
      <c r="M350" s="180"/>
      <c r="N350" s="181"/>
      <c r="O350" s="184"/>
      <c r="P350" s="180"/>
      <c r="Q350" s="181"/>
      <c r="R350" s="185"/>
    </row>
    <row r="351" spans="1:18" s="326" customFormat="1" ht="15" customHeight="1">
      <c r="A351" s="413" t="s">
        <v>34</v>
      </c>
      <c r="B351" s="151" t="s">
        <v>48</v>
      </c>
      <c r="C351" s="301"/>
      <c r="D351" s="92"/>
      <c r="E351" s="535">
        <f aca="true" t="shared" si="63" ref="D351:E354">H351+K351+N351+Q351</f>
        <v>2</v>
      </c>
      <c r="F351" s="186"/>
      <c r="G351" s="414"/>
      <c r="H351" s="92">
        <v>2</v>
      </c>
      <c r="I351" s="156"/>
      <c r="J351" s="154"/>
      <c r="K351" s="155"/>
      <c r="L351" s="157"/>
      <c r="M351" s="154"/>
      <c r="N351" s="155"/>
      <c r="O351" s="160"/>
      <c r="P351" s="154"/>
      <c r="Q351" s="155"/>
      <c r="R351" s="158"/>
    </row>
    <row r="352" spans="1:18" s="326" customFormat="1" ht="59.25" customHeight="1">
      <c r="A352" s="413" t="s">
        <v>52</v>
      </c>
      <c r="B352" s="90" t="s">
        <v>396</v>
      </c>
      <c r="C352" s="301"/>
      <c r="D352" s="92">
        <f t="shared" si="63"/>
        <v>12164</v>
      </c>
      <c r="E352" s="535">
        <f t="shared" si="63"/>
        <v>12164</v>
      </c>
      <c r="F352" s="186">
        <f>E352/D352*100</f>
        <v>100</v>
      </c>
      <c r="G352" s="154">
        <v>12164</v>
      </c>
      <c r="H352" s="155">
        <v>12164</v>
      </c>
      <c r="I352" s="156">
        <f>H352/G352*100</f>
        <v>100</v>
      </c>
      <c r="J352" s="154"/>
      <c r="K352" s="155"/>
      <c r="L352" s="157"/>
      <c r="M352" s="154"/>
      <c r="N352" s="155"/>
      <c r="O352" s="160"/>
      <c r="P352" s="154"/>
      <c r="Q352" s="155"/>
      <c r="R352" s="158"/>
    </row>
    <row r="353" spans="1:18" s="326" customFormat="1" ht="59.25" customHeight="1">
      <c r="A353" s="413" t="s">
        <v>54</v>
      </c>
      <c r="B353" s="90" t="s">
        <v>396</v>
      </c>
      <c r="C353" s="301"/>
      <c r="D353" s="92">
        <f t="shared" si="63"/>
        <v>1622</v>
      </c>
      <c r="E353" s="535">
        <f t="shared" si="63"/>
        <v>1622</v>
      </c>
      <c r="F353" s="186">
        <f>E353/D353*100</f>
        <v>100</v>
      </c>
      <c r="G353" s="154">
        <v>1622</v>
      </c>
      <c r="H353" s="155">
        <v>1622</v>
      </c>
      <c r="I353" s="156">
        <f>H353/G353*100</f>
        <v>100</v>
      </c>
      <c r="J353" s="154"/>
      <c r="K353" s="155"/>
      <c r="L353" s="157"/>
      <c r="M353" s="154"/>
      <c r="N353" s="155"/>
      <c r="O353" s="160"/>
      <c r="P353" s="154"/>
      <c r="Q353" s="155"/>
      <c r="R353" s="158"/>
    </row>
    <row r="354" spans="1:18" s="326" customFormat="1" ht="72" customHeight="1">
      <c r="A354" s="418" t="s">
        <v>397</v>
      </c>
      <c r="B354" s="273" t="s">
        <v>398</v>
      </c>
      <c r="C354" s="302"/>
      <c r="D354" s="221">
        <f t="shared" si="63"/>
        <v>250000</v>
      </c>
      <c r="E354" s="536">
        <f t="shared" si="63"/>
        <v>250000</v>
      </c>
      <c r="F354" s="222">
        <f>E354/D354*100</f>
        <v>100</v>
      </c>
      <c r="G354" s="501">
        <v>250000</v>
      </c>
      <c r="H354" s="501">
        <v>250000</v>
      </c>
      <c r="I354" s="204">
        <f>H354/G354*100</f>
        <v>100</v>
      </c>
      <c r="J354" s="223"/>
      <c r="K354" s="224"/>
      <c r="L354" s="207"/>
      <c r="M354" s="501"/>
      <c r="N354" s="501"/>
      <c r="O354" s="367"/>
      <c r="P354" s="223"/>
      <c r="Q354" s="224"/>
      <c r="R354" s="368"/>
    </row>
    <row r="355" spans="1:18" ht="23.25" customHeight="1" thickBot="1">
      <c r="A355" s="537" t="s">
        <v>399</v>
      </c>
      <c r="B355" s="538"/>
      <c r="C355" s="539">
        <f>C340+C321+C311+C283+C265+C204+C210+C148+C134+C95+C87+C84+C65+C46+C33+C29+C11+C8</f>
        <v>291951255</v>
      </c>
      <c r="D355" s="540">
        <f>D340+D321+D311+D283+D265+D204+D210+D148+D134+D95+D87+D84+D65+D46+D33+D29+D11+D8</f>
        <v>318557805</v>
      </c>
      <c r="E355" s="541">
        <f>H355+K355+N355+Q355</f>
        <v>334047458</v>
      </c>
      <c r="F355" s="542">
        <f aca="true" t="shared" si="64" ref="F355:F360">E355/D355*100</f>
        <v>104.86243085458227</v>
      </c>
      <c r="G355" s="541">
        <f>G11+G29+G33+G46+G65+G87+G95+G134+G148+G204+G210+G265+G283+G311+G321+G340</f>
        <v>201191741</v>
      </c>
      <c r="H355" s="541">
        <f>H11+H29+H33+H46+H65+H87+H95+H134+H148+H204+H210+H265+H283+H311+H321+H340</f>
        <v>216761805</v>
      </c>
      <c r="I355" s="509">
        <f>H355/G355*100</f>
        <v>107.73891807020051</v>
      </c>
      <c r="J355" s="539">
        <f>J8+J11+J33+J46+J65+J87+J95+J134+J148+J204+J210+J265+J283+J311+J321+J340+J84</f>
        <v>23350977</v>
      </c>
      <c r="K355" s="540">
        <f>K8+K11+K33+K46+K65+K87+K95+K134+K148+K204+K210+K265+K283+K311+K321+K340+K84</f>
        <v>20664424</v>
      </c>
      <c r="L355" s="510">
        <f>K355/J355*100</f>
        <v>88.49490109129053</v>
      </c>
      <c r="M355" s="541">
        <f>M8+M11+M29+M33+M46+M65+M87+M95+M134+M148+M204+M210+M265+M283+M311+M321+M340+M84</f>
        <v>83184448</v>
      </c>
      <c r="N355" s="541">
        <f>N8+N11+N29+N33+N46+N65+N87+N95+N134+N148+N204+N210+N265+N283+N311+N321+N340+N84</f>
        <v>85790314</v>
      </c>
      <c r="O355" s="509">
        <f>N355/M355*100</f>
        <v>103.13263604273722</v>
      </c>
      <c r="P355" s="539">
        <f>P11+P33+P46+P65+P87+P95+P134+P148+P204+P210+P265+P283+P311+P321+P340</f>
        <v>10830639</v>
      </c>
      <c r="Q355" s="540">
        <f>Q11+Q33+Q46+Q65+Q87+Q95+Q134+Q148+Q204+Q210+Q265+Q283+Q311+Q321+Q340</f>
        <v>10830915</v>
      </c>
      <c r="R355" s="543">
        <f>Q355/P355*100</f>
        <v>100.00254832609599</v>
      </c>
    </row>
    <row r="356" spans="1:18" s="338" customFormat="1" ht="18" customHeight="1" thickTop="1">
      <c r="A356" s="544" t="s">
        <v>400</v>
      </c>
      <c r="B356" s="545"/>
      <c r="C356" s="546">
        <f>C355-C359-C360</f>
        <v>263389145</v>
      </c>
      <c r="D356" s="547">
        <f>G356+M356</f>
        <v>284376189</v>
      </c>
      <c r="E356" s="547">
        <f aca="true" t="shared" si="65" ref="D356:E360">H356+K356+N356+Q356</f>
        <v>302552119</v>
      </c>
      <c r="F356" s="548">
        <f t="shared" si="64"/>
        <v>106.39150910064414</v>
      </c>
      <c r="G356" s="546">
        <f>G355</f>
        <v>201191741</v>
      </c>
      <c r="H356" s="549">
        <f>H355</f>
        <v>216761805</v>
      </c>
      <c r="I356" s="550">
        <f>H356/G356*100</f>
        <v>107.73891807020051</v>
      </c>
      <c r="J356" s="551"/>
      <c r="K356" s="552"/>
      <c r="L356" s="553"/>
      <c r="M356" s="554">
        <f>M355-M360</f>
        <v>83184448</v>
      </c>
      <c r="N356" s="555">
        <f>N355-N360</f>
        <v>85790314</v>
      </c>
      <c r="O356" s="550">
        <f>N356/M356*100</f>
        <v>103.13263604273722</v>
      </c>
      <c r="P356" s="546"/>
      <c r="Q356" s="549"/>
      <c r="R356" s="556"/>
    </row>
    <row r="357" spans="1:18" s="338" customFormat="1" ht="9.75" customHeight="1">
      <c r="A357" s="557" t="s">
        <v>401</v>
      </c>
      <c r="B357" s="558"/>
      <c r="C357" s="546"/>
      <c r="D357" s="547"/>
      <c r="E357" s="547"/>
      <c r="F357" s="548"/>
      <c r="G357" s="546"/>
      <c r="H357" s="549"/>
      <c r="I357" s="550"/>
      <c r="J357" s="551"/>
      <c r="K357" s="552"/>
      <c r="L357" s="553"/>
      <c r="M357" s="546"/>
      <c r="N357" s="549"/>
      <c r="O357" s="550"/>
      <c r="P357" s="546"/>
      <c r="Q357" s="549"/>
      <c r="R357" s="556"/>
    </row>
    <row r="358" spans="1:18" ht="21" customHeight="1">
      <c r="A358" s="559" t="s">
        <v>402</v>
      </c>
      <c r="B358" s="560"/>
      <c r="C358" s="561">
        <f>C228+C304+C305</f>
        <v>197000</v>
      </c>
      <c r="D358" s="467">
        <f t="shared" si="65"/>
        <v>1410220</v>
      </c>
      <c r="E358" s="467">
        <f t="shared" si="65"/>
        <v>1429553</v>
      </c>
      <c r="F358" s="562">
        <f t="shared" si="64"/>
        <v>101.37092084922921</v>
      </c>
      <c r="G358" s="563">
        <f>G13+G354+G347</f>
        <v>920016</v>
      </c>
      <c r="H358" s="563">
        <f>H354+H347+H13</f>
        <v>916000</v>
      </c>
      <c r="I358" s="564">
        <f>H358/G358*100</f>
        <v>99.56348585241996</v>
      </c>
      <c r="J358" s="565"/>
      <c r="K358" s="566"/>
      <c r="L358" s="567"/>
      <c r="M358" s="561">
        <f>M214+M228+M304+M305+M269+M335</f>
        <v>490204</v>
      </c>
      <c r="N358" s="563">
        <f>N214+N228+N304+N305+N269+N335</f>
        <v>513553</v>
      </c>
      <c r="O358" s="564">
        <f>N358/M358*100</f>
        <v>104.76311902799651</v>
      </c>
      <c r="P358" s="561"/>
      <c r="Q358" s="563"/>
      <c r="R358" s="387"/>
    </row>
    <row r="359" spans="1:18" s="338" customFormat="1" ht="15.75" customHeight="1">
      <c r="A359" s="568" t="s">
        <v>403</v>
      </c>
      <c r="B359" s="569"/>
      <c r="C359" s="570">
        <v>28537510</v>
      </c>
      <c r="D359" s="547">
        <f>J359+P359</f>
        <v>32540371</v>
      </c>
      <c r="E359" s="547">
        <f>K359+Q359</f>
        <v>29853955</v>
      </c>
      <c r="F359" s="548">
        <f>E359/D359*100</f>
        <v>91.74435964482396</v>
      </c>
      <c r="G359" s="546"/>
      <c r="H359" s="571"/>
      <c r="I359" s="550"/>
      <c r="J359" s="546">
        <f>J355-J360</f>
        <v>23299197</v>
      </c>
      <c r="K359" s="549">
        <f>K355-K360</f>
        <v>20613493</v>
      </c>
      <c r="L359" s="553">
        <f>K359/J359*100</f>
        <v>88.47297612874813</v>
      </c>
      <c r="M359" s="546"/>
      <c r="N359" s="549"/>
      <c r="O359" s="550"/>
      <c r="P359" s="546">
        <f>P355-P360</f>
        <v>9241174</v>
      </c>
      <c r="Q359" s="549">
        <f>Q355-Q360</f>
        <v>9240462</v>
      </c>
      <c r="R359" s="556">
        <f>Q359/P359*100</f>
        <v>99.99229535121836</v>
      </c>
    </row>
    <row r="360" spans="1:18" ht="27" customHeight="1" thickBot="1">
      <c r="A360" s="572" t="s">
        <v>404</v>
      </c>
      <c r="B360" s="573"/>
      <c r="C360" s="574">
        <f>C62+C81</f>
        <v>24600</v>
      </c>
      <c r="D360" s="575">
        <f t="shared" si="65"/>
        <v>1641245</v>
      </c>
      <c r="E360" s="575">
        <f t="shared" si="65"/>
        <v>1641384</v>
      </c>
      <c r="F360" s="576">
        <f t="shared" si="64"/>
        <v>100.00846918040878</v>
      </c>
      <c r="G360" s="577"/>
      <c r="H360" s="577"/>
      <c r="I360" s="578"/>
      <c r="J360" s="577">
        <f>J62+J261+J192+J333</f>
        <v>51780</v>
      </c>
      <c r="K360" s="577">
        <f>K62+K261+K192+K333</f>
        <v>50931</v>
      </c>
      <c r="L360" s="578">
        <f>K360/J360*100</f>
        <v>98.3603707995365</v>
      </c>
      <c r="M360" s="579"/>
      <c r="N360" s="577"/>
      <c r="O360" s="578"/>
      <c r="P360" s="579">
        <f>P81+P18+P337</f>
        <v>1589465</v>
      </c>
      <c r="Q360" s="577">
        <f>Q81+Q18+Q337</f>
        <v>1590453</v>
      </c>
      <c r="R360" s="580">
        <f>Q360/P360*100</f>
        <v>100.06215928000933</v>
      </c>
    </row>
    <row r="361" spans="1:18" s="534" customFormat="1" ht="17.25" customHeight="1" thickBot="1" thickTop="1">
      <c r="A361" s="581" t="s">
        <v>405</v>
      </c>
      <c r="B361" s="582"/>
      <c r="C361" s="583">
        <v>208636408</v>
      </c>
      <c r="D361" s="584">
        <f>G355+J355</f>
        <v>224542718</v>
      </c>
      <c r="E361" s="584">
        <f>H355+K355</f>
        <v>237426229</v>
      </c>
      <c r="F361" s="585">
        <f>E361/D361*100</f>
        <v>105.73766591709288</v>
      </c>
      <c r="G361" s="586"/>
      <c r="H361" s="587"/>
      <c r="I361" s="588"/>
      <c r="J361" s="589"/>
      <c r="K361" s="590"/>
      <c r="L361" s="591"/>
      <c r="M361" s="586"/>
      <c r="N361" s="587"/>
      <c r="O361" s="588"/>
      <c r="P361" s="586"/>
      <c r="Q361" s="587"/>
      <c r="R361" s="524"/>
    </row>
    <row r="362" spans="1:18" s="534" customFormat="1" ht="16.5" customHeight="1" thickBot="1" thickTop="1">
      <c r="A362" s="592" t="s">
        <v>406</v>
      </c>
      <c r="B362" s="593"/>
      <c r="C362" s="594">
        <v>83314847</v>
      </c>
      <c r="D362" s="595">
        <f>M355+P355</f>
        <v>94015087</v>
      </c>
      <c r="E362" s="595">
        <f>N355+Q355</f>
        <v>96621229</v>
      </c>
      <c r="F362" s="596">
        <f>E362/D362*100</f>
        <v>102.77204657588628</v>
      </c>
      <c r="G362" s="597"/>
      <c r="H362" s="597"/>
      <c r="I362" s="598"/>
      <c r="J362" s="599"/>
      <c r="K362" s="600"/>
      <c r="L362" s="601"/>
      <c r="M362" s="602"/>
      <c r="N362" s="597"/>
      <c r="O362" s="598"/>
      <c r="P362" s="602"/>
      <c r="Q362" s="597"/>
      <c r="R362" s="603"/>
    </row>
    <row r="363" ht="15.75">
      <c r="A363" s="608" t="s">
        <v>407</v>
      </c>
    </row>
    <row r="364" spans="1:18" s="604" customFormat="1" ht="15.75">
      <c r="A364" s="608" t="s">
        <v>408</v>
      </c>
      <c r="F364" s="1"/>
      <c r="I364" s="2"/>
      <c r="L364" s="3"/>
      <c r="O364" s="2"/>
      <c r="R364" s="2"/>
    </row>
    <row r="365" spans="1:18" s="604" customFormat="1" ht="15.75">
      <c r="A365" s="608" t="s">
        <v>409</v>
      </c>
      <c r="F365" s="1"/>
      <c r="I365" s="2"/>
      <c r="L365" s="3"/>
      <c r="O365" s="2"/>
      <c r="R365" s="2"/>
    </row>
    <row r="366" spans="1:12" s="137" customFormat="1" ht="16.5" customHeight="1">
      <c r="A366" s="605"/>
      <c r="F366" s="606"/>
      <c r="L366" s="606"/>
    </row>
    <row r="367" spans="1:12" s="137" customFormat="1" ht="12.75">
      <c r="A367" s="607"/>
      <c r="F367" s="606"/>
      <c r="L367" s="606"/>
    </row>
  </sheetData>
  <mergeCells count="17">
    <mergeCell ref="A360:B360"/>
    <mergeCell ref="A361:B361"/>
    <mergeCell ref="A362:B362"/>
    <mergeCell ref="A355:B355"/>
    <mergeCell ref="A356:B356"/>
    <mergeCell ref="A358:B358"/>
    <mergeCell ref="A359:B359"/>
    <mergeCell ref="Q3:R3"/>
    <mergeCell ref="A4:A6"/>
    <mergeCell ref="B4:B6"/>
    <mergeCell ref="C4:F5"/>
    <mergeCell ref="G4:L4"/>
    <mergeCell ref="M4:R4"/>
    <mergeCell ref="G5:I5"/>
    <mergeCell ref="J5:L5"/>
    <mergeCell ref="M5:O5"/>
    <mergeCell ref="P5:R5"/>
  </mergeCells>
  <printOptions horizontalCentered="1"/>
  <pageMargins left="0.2" right="0.2" top="0.56" bottom="0.33" header="0.28" footer="0.3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2009-04-21T09:56:43Z</cp:lastPrinted>
  <dcterms:created xsi:type="dcterms:W3CDTF">2009-04-21T09:55:24Z</dcterms:created>
  <dcterms:modified xsi:type="dcterms:W3CDTF">2009-04-21T13:23:15Z</dcterms:modified>
  <cp:category/>
  <cp:version/>
  <cp:contentType/>
  <cp:contentStatus/>
</cp:coreProperties>
</file>