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2265" windowWidth="12540" windowHeight="6690" activeTab="0"/>
  </bookViews>
  <sheets>
    <sheet name="Arkusz1" sheetId="1" r:id="rId1"/>
  </sheets>
  <definedNames>
    <definedName name="_xlnm.Print_Titles" localSheetId="0">'Arkusz1'!$7:$9</definedName>
  </definedNames>
  <calcPr fullCalcOnLoad="1"/>
</workbook>
</file>

<file path=xl/comments1.xml><?xml version="1.0" encoding="utf-8"?>
<comments xmlns="http://schemas.openxmlformats.org/spreadsheetml/2006/main">
  <authors>
    <author>Mioduszewska</author>
    <author>Sulewska</author>
  </authors>
  <commentList>
    <comment ref="F49" authorId="0">
      <text>
        <r>
          <rPr>
            <b/>
            <sz val="8"/>
            <rFont val="Tahoma"/>
            <family val="0"/>
          </rPr>
          <t>Mioduszewska:</t>
        </r>
        <r>
          <rPr>
            <sz val="8"/>
            <rFont val="Tahoma"/>
            <family val="0"/>
          </rPr>
          <t xml:space="preserve">
1 385,6 z inf. o spłatach kredytów i pożyczek  +          5 002,2
</t>
        </r>
      </text>
    </comment>
    <comment ref="M79" authorId="1">
      <text>
        <r>
          <rPr>
            <b/>
            <sz val="8"/>
            <rFont val="Tahoma"/>
            <family val="0"/>
          </rPr>
          <t>Sulewska:</t>
        </r>
        <r>
          <rPr>
            <sz val="8"/>
            <rFont val="Tahoma"/>
            <family val="0"/>
          </rPr>
          <t xml:space="preserve">
2145+146 odsetek - 50 kapitał
</t>
        </r>
      </text>
    </comment>
    <comment ref="N79" authorId="1">
      <text>
        <r>
          <rPr>
            <b/>
            <sz val="8"/>
            <rFont val="Tahoma"/>
            <family val="0"/>
          </rPr>
          <t>Sulewska:</t>
        </r>
        <r>
          <rPr>
            <sz val="8"/>
            <rFont val="Tahoma"/>
            <family val="0"/>
          </rPr>
          <t xml:space="preserve">
2145,6+68 odsetki-60-28 spłata kapitału
</t>
        </r>
      </text>
    </comment>
  </commentList>
</comments>
</file>

<file path=xl/sharedStrings.xml><?xml version="1.0" encoding="utf-8"?>
<sst xmlns="http://schemas.openxmlformats.org/spreadsheetml/2006/main" count="103" uniqueCount="100">
  <si>
    <t xml:space="preserve">                                                                                       PROGNOZA ŁĄCZNEJ KWOTY DŁUGU PUBLICZNEGO  MIASTA KOSZALINA NA LATA  2009 - 2017</t>
  </si>
  <si>
    <t>w tys. zł.</t>
  </si>
  <si>
    <t xml:space="preserve">  Wykonanie</t>
  </si>
  <si>
    <t>Wykonanie</t>
  </si>
  <si>
    <t>Plan na                 2009 r.</t>
  </si>
  <si>
    <t>Przewidywane wykonanie</t>
  </si>
  <si>
    <t>Lp.</t>
  </si>
  <si>
    <t>Wyszczególnienie</t>
  </si>
  <si>
    <t>2004 r</t>
  </si>
  <si>
    <t>2005 r.</t>
  </si>
  <si>
    <t>2006 r.</t>
  </si>
  <si>
    <t>2007r.</t>
  </si>
  <si>
    <t>2008r.</t>
  </si>
  <si>
    <t>2010 r.</t>
  </si>
  <si>
    <t>2011 r.</t>
  </si>
  <si>
    <t>2012 r.</t>
  </si>
  <si>
    <t>2013 r.</t>
  </si>
  <si>
    <t>2014 r.</t>
  </si>
  <si>
    <t>2015 r.</t>
  </si>
  <si>
    <t>2016 r.</t>
  </si>
  <si>
    <t>2017 r.</t>
  </si>
  <si>
    <t xml:space="preserve">A. DOCHODY </t>
  </si>
  <si>
    <t xml:space="preserve">Dochody własne </t>
  </si>
  <si>
    <t>podatki i opłaty lokalne</t>
  </si>
  <si>
    <t>dochody z mienia</t>
  </si>
  <si>
    <t>udziały w dochodach budżetu państwa</t>
  </si>
  <si>
    <t xml:space="preserve">inne wpływy </t>
  </si>
  <si>
    <t>Subwencje</t>
  </si>
  <si>
    <t>Dotacje z budżetu państwa i wojewody</t>
  </si>
  <si>
    <t>Dotacje z funduszy celowych</t>
  </si>
  <si>
    <t>Pozostałe</t>
  </si>
  <si>
    <t xml:space="preserve">Dochody bieżące    </t>
  </si>
  <si>
    <t>Dochody majątkowe</t>
  </si>
  <si>
    <t xml:space="preserve">B. WYDATKI: </t>
  </si>
  <si>
    <t xml:space="preserve">Wydatki bieżące    </t>
  </si>
  <si>
    <t>w tym: remonty</t>
  </si>
  <si>
    <t>Wydatki majątkowe</t>
  </si>
  <si>
    <t>C. NADWYŻKA/DEFICYT (A-B)</t>
  </si>
  <si>
    <t>D. FINANSOWANIE (D1_D2)</t>
  </si>
  <si>
    <t>D1  Przychody ogółem:</t>
  </si>
  <si>
    <t xml:space="preserve">D11. Kredyty, w tym: </t>
  </si>
  <si>
    <t>D111. Zaciągnięte w związku z umową zawartą z podmiotem dysponującym środkami, o których mowa w art. 5 ust.3 ufp</t>
  </si>
  <si>
    <t xml:space="preserve">D12. Pożyczki, w tym: </t>
  </si>
  <si>
    <t>D121. zaciągnięte w związku z umową zawartą z podmiotem dysponującym środkami, o których mowa w art. 5 ust.3 ufp</t>
  </si>
  <si>
    <t>D1211. pożyczki na prefinansowanie programów i projektów zaciągnięte w związku z umową zawartą z podmiotem dysponującym środkami, o których mowa w art. 5 ust.3 ufp</t>
  </si>
  <si>
    <t>D13. spłaty pożyczek udzielonych</t>
  </si>
  <si>
    <t>D14. nadwyżka z lat ubiegłych, w tym:</t>
  </si>
  <si>
    <t>D141. środki na pokrycie deficytu</t>
  </si>
  <si>
    <t>D15. Obligacje jednostek samorządowych oraz związków komunalnych, w tym:</t>
  </si>
  <si>
    <t>D151. wyemitowane w związku z umową zawartą z podmiotem 
dysponującym środkami, o których mowa w art. 5 ust. 3 ufp</t>
  </si>
  <si>
    <t>D16. prywatyzacja majątku j.s.t</t>
  </si>
  <si>
    <t>D17. inne źródła, w tym:</t>
  </si>
  <si>
    <t>D171. środki na pokrycie deficytu</t>
  </si>
  <si>
    <t>D2   Rozchody ogółem:</t>
  </si>
  <si>
    <t>D21. spłaty kredytów,w tym:</t>
  </si>
  <si>
    <t>D211. zaciągniętych w związku z umową zawartą z podmiotem dysponującym środkami, o których mowa w art. 5 ust.3 ufp</t>
  </si>
  <si>
    <t>D22. spłaty pożyczek, w tym:</t>
  </si>
  <si>
    <t>D221. zaciągniętych w związku z umową zawartą z podmiotem dysponującym środkami, o których mowa w art. 5 ust.3 ufp</t>
  </si>
  <si>
    <t>D2211. zaciągniętych na prefinansowanie programów i projektów w związku z umową zawartą z podmiotem dysponującym środkami, o których mowa w art. 5 ust.3 ufp</t>
  </si>
  <si>
    <t>D23. pożyczki udzielone</t>
  </si>
  <si>
    <t>D24. lokaty w bankach</t>
  </si>
  <si>
    <t>D25. wykup obligacji samorządowych, tym:</t>
  </si>
  <si>
    <t>D251. wyemitowanych w związku z umową zawartą z podmiotem dysponującym środkami, o których mowa w art. 5 ust.3 ufp</t>
  </si>
  <si>
    <t xml:space="preserve">D26. inne cele </t>
  </si>
  <si>
    <t>E. Umorzenie pożyczki</t>
  </si>
  <si>
    <t xml:space="preserve">7. przewalutowania </t>
  </si>
  <si>
    <t>F.  DŁUG NA KONIEC ROKU</t>
  </si>
  <si>
    <t>1. wyemitowane papiery wartościowe</t>
  </si>
  <si>
    <t>2. zaciągnięte kredyty</t>
  </si>
  <si>
    <t>3. zaciągnięte pożyczki</t>
  </si>
  <si>
    <t>4. przejęte depozyty</t>
  </si>
  <si>
    <t>5. wymagalne zobowiązania, w tym:</t>
  </si>
  <si>
    <t>a/ wynikające z ustaw i orzeczeń sądów lub ostatecznych decyzji administracyjnych</t>
  </si>
  <si>
    <t xml:space="preserve"> b/ uznane za bezsporne przez właściwą jednostkę sektora finansów publicznych, będącą dłużnikiem</t>
  </si>
  <si>
    <t>6.  zobowiązania związane z umową zawartą z podmiotem dysponującym środkami, o których mowa w art. 5 ust.3 ufp</t>
  </si>
  <si>
    <t>a/ kredyty</t>
  </si>
  <si>
    <t>b/ pożyczki</t>
  </si>
  <si>
    <t xml:space="preserve">   c/ emitowane papiery wartościowe</t>
  </si>
  <si>
    <t>c/ emitowane papiery wartościowe</t>
  </si>
  <si>
    <t>G. Wskaźnik łącznego długu do dochodu    (poz.24 /poz.1) %</t>
  </si>
  <si>
    <t>G1. Wskaźnik długu do dochodu  (poz.36 (-) poz.44 ) / poz.1)%</t>
  </si>
  <si>
    <t>G1. Wskaźnik długu do dochodu  (poz.36 (-) poz.44 (-)poz.41) / poz.1)%</t>
  </si>
  <si>
    <t>H. OBCIĄŻENIE ROCZNE BUDŻETU</t>
  </si>
  <si>
    <t>z tytułu spłaty zadłużenia -z tego:</t>
  </si>
  <si>
    <t>1. spłaty rat kredytów z odsetkami</t>
  </si>
  <si>
    <t>2.spłaty rat pożyczek z odsetkami</t>
  </si>
  <si>
    <t>3. potencjalne spłaty udzielonych poręczeń z należnymi odsetkami</t>
  </si>
  <si>
    <t>4. wykup  papierów wartościowych wyemitownych przez j.s.t.</t>
  </si>
  <si>
    <t>5. odsetki od kredytów i pożyczek oraz odsetki i dyskonto od papierów wart. wyemitowanych przez jst</t>
  </si>
  <si>
    <t xml:space="preserve">6. spłaty zobowiązań związanych z umową zawartą z podmiotem dysponującym środkami, o których mowa w art. 5 ust.3 ufp </t>
  </si>
  <si>
    <t>a/ spłaty rat kredytów z odsetkami</t>
  </si>
  <si>
    <t>b/ spłaty rat pożyczek z odsetkami</t>
  </si>
  <si>
    <t>c/ wykup papierów wartościowych z odsetkami i dyskontem</t>
  </si>
  <si>
    <t>d/ potencjalne spłaty poręczeń i gwarancji udzielonych samorządowym osobom prawnym realizującym zadania jst</t>
  </si>
  <si>
    <t>I. Wskaźnik rocznej spłaty łącznego zadłużenia do dochodu                                                                (poz.36 /poz1)%</t>
  </si>
  <si>
    <t>I. Wskaźnik rocznej spłaty zadłużenia do dochodu                                                                                   ( poz.47 (-) poz.53) / poz1)%</t>
  </si>
  <si>
    <t>I. Wskaźnik rocznej spłaty zadłużenia do dochodu bez poręczeń                                                                                  [( poz.47 (-) poz.50)]-poz.53 / poz1)%</t>
  </si>
  <si>
    <t>Autor dokumentu: Agnieszka Sulewska</t>
  </si>
  <si>
    <t>Wprowadził do BIP: Agnieszka Sulewska</t>
  </si>
  <si>
    <t>Data wprowadzenia do BIP: 24.04.2009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</si>
</sst>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</numFmts>
  <fonts count="24">
    <font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8"/>
      <name val="Times New Roman CE"/>
      <family val="1"/>
    </font>
    <font>
      <b/>
      <sz val="12"/>
      <name val="Arial CE"/>
      <family val="0"/>
    </font>
    <font>
      <sz val="9"/>
      <name val="Times New Roman CE"/>
      <family val="1"/>
    </font>
    <font>
      <sz val="7"/>
      <name val="Times New Roman CE"/>
      <family val="1"/>
    </font>
    <font>
      <sz val="7"/>
      <name val="Arial CE"/>
      <family val="0"/>
    </font>
    <font>
      <b/>
      <sz val="9"/>
      <name val="Times New Roman CE"/>
      <family val="1"/>
    </font>
    <font>
      <sz val="9"/>
      <name val="Arial CE"/>
      <family val="0"/>
    </font>
    <font>
      <sz val="9"/>
      <color indexed="8"/>
      <name val="Times New Roman CE"/>
      <family val="1"/>
    </font>
    <font>
      <b/>
      <sz val="9"/>
      <color indexed="8"/>
      <name val="Times New Roman CE"/>
      <family val="1"/>
    </font>
    <font>
      <b/>
      <sz val="9"/>
      <color indexed="53"/>
      <name val="Times New Roman CE"/>
      <family val="1"/>
    </font>
    <font>
      <i/>
      <sz val="9"/>
      <name val="Times New Roman CE"/>
      <family val="1"/>
    </font>
    <font>
      <b/>
      <i/>
      <sz val="9"/>
      <color indexed="53"/>
      <name val="Times New Roman CE"/>
      <family val="1"/>
    </font>
    <font>
      <i/>
      <sz val="9"/>
      <name val="Arial CE"/>
      <family val="0"/>
    </font>
    <font>
      <i/>
      <sz val="9"/>
      <color indexed="8"/>
      <name val="Times New Roman CE"/>
      <family val="1"/>
    </font>
    <font>
      <sz val="9"/>
      <color indexed="53"/>
      <name val="Times New Roman CE"/>
      <family val="1"/>
    </font>
    <font>
      <b/>
      <i/>
      <sz val="9"/>
      <name val="Times New Roman CE"/>
      <family val="1"/>
    </font>
    <font>
      <b/>
      <sz val="8"/>
      <name val="Tahoma"/>
      <family val="0"/>
    </font>
    <font>
      <sz val="8"/>
      <name val="Tahoma"/>
      <family val="0"/>
    </font>
    <font>
      <sz val="8"/>
      <name val="Times New Roman"/>
      <family val="1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hair"/>
      <bottom style="hair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1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5" fontId="1" fillId="0" borderId="0" xfId="0" applyNumberFormat="1" applyFont="1" applyAlignment="1">
      <alignment horizontal="left" vertical="center"/>
    </xf>
    <xf numFmtId="164" fontId="1" fillId="0" borderId="0" xfId="0" applyNumberFormat="1" applyFont="1" applyAlignment="1">
      <alignment vertical="center"/>
    </xf>
    <xf numFmtId="164" fontId="3" fillId="0" borderId="0" xfId="0" applyNumberFormat="1" applyFont="1" applyAlignment="1">
      <alignment horizontal="centerContinuous"/>
    </xf>
    <xf numFmtId="164" fontId="1" fillId="0" borderId="0" xfId="0" applyNumberFormat="1" applyFont="1" applyAlignment="1">
      <alignment horizontal="centerContinuous"/>
    </xf>
    <xf numFmtId="1" fontId="4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1" fontId="4" fillId="2" borderId="2" xfId="0" applyNumberFormat="1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>
      <alignment vertical="center"/>
    </xf>
    <xf numFmtId="0" fontId="4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164" fontId="6" fillId="0" borderId="5" xfId="0" applyNumberFormat="1" applyFont="1" applyBorder="1" applyAlignment="1">
      <alignment horizontal="centerContinuous" vertical="center"/>
    </xf>
    <xf numFmtId="164" fontId="4" fillId="2" borderId="3" xfId="0" applyNumberFormat="1" applyFont="1" applyFill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Alignment="1">
      <alignment vertical="center"/>
    </xf>
    <xf numFmtId="1" fontId="2" fillId="2" borderId="9" xfId="0" applyNumberFormat="1" applyFont="1" applyFill="1" applyBorder="1" applyAlignment="1">
      <alignment horizontal="center" vertical="center" wrapText="1"/>
    </xf>
    <xf numFmtId="164" fontId="2" fillId="2" borderId="10" xfId="0" applyNumberFormat="1" applyFont="1" applyFill="1" applyBorder="1" applyAlignment="1">
      <alignment horizontal="center" vertical="center" wrapText="1"/>
    </xf>
    <xf numFmtId="164" fontId="6" fillId="2" borderId="11" xfId="0" applyNumberFormat="1" applyFont="1" applyFill="1" applyBorder="1" applyAlignment="1">
      <alignment horizontal="center" vertical="center" wrapText="1"/>
    </xf>
    <xf numFmtId="0" fontId="6" fillId="2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3" fontId="6" fillId="2" borderId="11" xfId="0" applyNumberFormat="1" applyFont="1" applyFill="1" applyBorder="1" applyAlignment="1">
      <alignment horizontal="center" vertical="center"/>
    </xf>
    <xf numFmtId="3" fontId="6" fillId="2" borderId="12" xfId="0" applyNumberFormat="1" applyFont="1" applyFill="1" applyBorder="1" applyAlignment="1">
      <alignment horizontal="center" vertical="center"/>
    </xf>
    <xf numFmtId="3" fontId="6" fillId="2" borderId="13" xfId="0" applyNumberFormat="1" applyFont="1" applyFill="1" applyBorder="1" applyAlignment="1">
      <alignment horizontal="center" vertical="center"/>
    </xf>
    <xf numFmtId="1" fontId="7" fillId="0" borderId="14" xfId="0" applyNumberFormat="1" applyFont="1" applyBorder="1" applyAlignment="1">
      <alignment horizontal="center"/>
    </xf>
    <xf numFmtId="0" fontId="7" fillId="0" borderId="15" xfId="0" applyNumberFormat="1" applyFont="1" applyBorder="1" applyAlignment="1">
      <alignment horizontal="center"/>
    </xf>
    <xf numFmtId="0" fontId="7" fillId="0" borderId="16" xfId="0" applyNumberFormat="1" applyFont="1" applyBorder="1" applyAlignment="1">
      <alignment horizontal="center"/>
    </xf>
    <xf numFmtId="0" fontId="7" fillId="0" borderId="17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center"/>
    </xf>
    <xf numFmtId="0" fontId="8" fillId="0" borderId="0" xfId="0" applyFont="1" applyAlignment="1">
      <alignment/>
    </xf>
    <xf numFmtId="1" fontId="9" fillId="0" borderId="2" xfId="0" applyNumberFormat="1" applyFont="1" applyBorder="1" applyAlignment="1">
      <alignment horizontal="center" vertical="center" wrapText="1"/>
    </xf>
    <xf numFmtId="164" fontId="9" fillId="0" borderId="3" xfId="0" applyNumberFormat="1" applyFont="1" applyBorder="1" applyAlignment="1">
      <alignment vertical="center" wrapText="1"/>
    </xf>
    <xf numFmtId="164" fontId="9" fillId="0" borderId="19" xfId="0" applyNumberFormat="1" applyFont="1" applyBorder="1" applyAlignment="1">
      <alignment vertical="center" wrapText="1"/>
    </xf>
    <xf numFmtId="0" fontId="10" fillId="0" borderId="0" xfId="0" applyFont="1" applyAlignment="1">
      <alignment/>
    </xf>
    <xf numFmtId="1" fontId="9" fillId="0" borderId="20" xfId="0" applyNumberFormat="1" applyFont="1" applyBorder="1" applyAlignment="1">
      <alignment horizontal="center" vertical="center" wrapText="1"/>
    </xf>
    <xf numFmtId="164" fontId="9" fillId="0" borderId="21" xfId="0" applyNumberFormat="1" applyFont="1" applyBorder="1" applyAlignment="1">
      <alignment vertical="center" wrapText="1"/>
    </xf>
    <xf numFmtId="164" fontId="11" fillId="0" borderId="21" xfId="0" applyNumberFormat="1" applyFont="1" applyBorder="1" applyAlignment="1">
      <alignment vertical="center"/>
    </xf>
    <xf numFmtId="164" fontId="11" fillId="0" borderId="22" xfId="0" applyNumberFormat="1" applyFont="1" applyBorder="1" applyAlignment="1">
      <alignment vertical="center"/>
    </xf>
    <xf numFmtId="164" fontId="11" fillId="0" borderId="23" xfId="0" applyNumberFormat="1" applyFont="1" applyBorder="1" applyAlignment="1">
      <alignment vertical="center"/>
    </xf>
    <xf numFmtId="1" fontId="6" fillId="0" borderId="24" xfId="0" applyNumberFormat="1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vertical="center" wrapText="1"/>
    </xf>
    <xf numFmtId="164" fontId="11" fillId="0" borderId="25" xfId="0" applyNumberFormat="1" applyFont="1" applyBorder="1" applyAlignment="1">
      <alignment vertical="center"/>
    </xf>
    <xf numFmtId="164" fontId="11" fillId="0" borderId="26" xfId="0" applyNumberFormat="1" applyFont="1" applyBorder="1" applyAlignment="1">
      <alignment vertical="center"/>
    </xf>
    <xf numFmtId="164" fontId="11" fillId="0" borderId="27" xfId="0" applyNumberFormat="1" applyFont="1" applyBorder="1" applyAlignment="1">
      <alignment vertical="center"/>
    </xf>
    <xf numFmtId="1" fontId="6" fillId="0" borderId="28" xfId="0" applyNumberFormat="1" applyFont="1" applyBorder="1" applyAlignment="1">
      <alignment horizontal="center" vertical="center" wrapText="1"/>
    </xf>
    <xf numFmtId="164" fontId="6" fillId="0" borderId="11" xfId="0" applyNumberFormat="1" applyFont="1" applyBorder="1" applyAlignment="1">
      <alignment vertical="center" wrapText="1"/>
    </xf>
    <xf numFmtId="164" fontId="6" fillId="0" borderId="11" xfId="0" applyNumberFormat="1" applyFont="1" applyBorder="1" applyAlignment="1">
      <alignment vertical="center"/>
    </xf>
    <xf numFmtId="1" fontId="6" fillId="0" borderId="29" xfId="0" applyNumberFormat="1" applyFont="1" applyBorder="1" applyAlignment="1">
      <alignment horizontal="center" vertical="center" wrapText="1"/>
    </xf>
    <xf numFmtId="1" fontId="6" fillId="0" borderId="30" xfId="0" applyNumberFormat="1" applyFont="1" applyBorder="1" applyAlignment="1">
      <alignment horizontal="center" vertical="center" wrapText="1"/>
    </xf>
    <xf numFmtId="164" fontId="11" fillId="0" borderId="11" xfId="0" applyNumberFormat="1" applyFont="1" applyBorder="1" applyAlignment="1">
      <alignment vertical="center"/>
    </xf>
    <xf numFmtId="164" fontId="11" fillId="0" borderId="12" xfId="0" applyNumberFormat="1" applyFont="1" applyBorder="1" applyAlignment="1">
      <alignment vertical="center"/>
    </xf>
    <xf numFmtId="164" fontId="11" fillId="0" borderId="13" xfId="0" applyNumberFormat="1" applyFont="1" applyBorder="1" applyAlignment="1">
      <alignment vertical="center"/>
    </xf>
    <xf numFmtId="1" fontId="6" fillId="0" borderId="14" xfId="0" applyNumberFormat="1" applyFont="1" applyBorder="1" applyAlignment="1">
      <alignment horizontal="center" vertical="center" wrapText="1"/>
    </xf>
    <xf numFmtId="164" fontId="6" fillId="0" borderId="15" xfId="0" applyNumberFormat="1" applyFont="1" applyBorder="1" applyAlignment="1">
      <alignment vertical="center" wrapText="1"/>
    </xf>
    <xf numFmtId="164" fontId="6" fillId="0" borderId="25" xfId="0" applyNumberFormat="1" applyFont="1" applyBorder="1" applyAlignment="1">
      <alignment vertical="center" wrapText="1"/>
    </xf>
    <xf numFmtId="164" fontId="6" fillId="0" borderId="15" xfId="0" applyNumberFormat="1" applyFont="1" applyBorder="1" applyAlignment="1">
      <alignment vertical="center"/>
    </xf>
    <xf numFmtId="164" fontId="6" fillId="0" borderId="18" xfId="0" applyNumberFormat="1" applyFont="1" applyBorder="1" applyAlignment="1">
      <alignment vertical="center"/>
    </xf>
    <xf numFmtId="1" fontId="9" fillId="0" borderId="31" xfId="0" applyNumberFormat="1" applyFont="1" applyBorder="1" applyAlignment="1">
      <alignment horizontal="center" vertical="center" wrapText="1"/>
    </xf>
    <xf numFmtId="164" fontId="9" fillId="0" borderId="32" xfId="0" applyNumberFormat="1" applyFont="1" applyBorder="1" applyAlignment="1">
      <alignment vertical="center" wrapText="1"/>
    </xf>
    <xf numFmtId="164" fontId="9" fillId="0" borderId="33" xfId="0" applyNumberFormat="1" applyFont="1" applyBorder="1" applyAlignment="1">
      <alignment vertical="center" wrapText="1"/>
    </xf>
    <xf numFmtId="164" fontId="9" fillId="0" borderId="34" xfId="0" applyNumberFormat="1" applyFont="1" applyBorder="1" applyAlignment="1">
      <alignment vertical="center" wrapText="1"/>
    </xf>
    <xf numFmtId="1" fontId="6" fillId="0" borderId="9" xfId="0" applyNumberFormat="1" applyFont="1" applyBorder="1" applyAlignment="1">
      <alignment horizontal="center" vertical="center" wrapText="1"/>
    </xf>
    <xf numFmtId="164" fontId="11" fillId="0" borderId="35" xfId="0" applyNumberFormat="1" applyFont="1" applyBorder="1" applyAlignment="1">
      <alignment vertical="center"/>
    </xf>
    <xf numFmtId="164" fontId="11" fillId="0" borderId="6" xfId="0" applyNumberFormat="1" applyFont="1" applyBorder="1" applyAlignment="1">
      <alignment vertical="center"/>
    </xf>
    <xf numFmtId="164" fontId="11" fillId="0" borderId="36" xfId="0" applyNumberFormat="1" applyFont="1" applyBorder="1" applyAlignment="1">
      <alignment vertical="center"/>
    </xf>
    <xf numFmtId="164" fontId="12" fillId="0" borderId="32" xfId="0" applyNumberFormat="1" applyFont="1" applyBorder="1" applyAlignment="1">
      <alignment vertical="center" wrapText="1"/>
    </xf>
    <xf numFmtId="164" fontId="12" fillId="0" borderId="33" xfId="0" applyNumberFormat="1" applyFont="1" applyBorder="1" applyAlignment="1">
      <alignment vertical="center" wrapText="1"/>
    </xf>
    <xf numFmtId="164" fontId="12" fillId="0" borderId="34" xfId="0" applyNumberFormat="1" applyFont="1" applyBorder="1" applyAlignment="1">
      <alignment vertical="center" wrapText="1"/>
    </xf>
    <xf numFmtId="164" fontId="9" fillId="0" borderId="37" xfId="0" applyNumberFormat="1" applyFont="1" applyBorder="1" applyAlignment="1">
      <alignment vertical="center" wrapText="1"/>
    </xf>
    <xf numFmtId="164" fontId="12" fillId="0" borderId="21" xfId="0" applyNumberFormat="1" applyFont="1" applyBorder="1" applyAlignment="1">
      <alignment vertical="center"/>
    </xf>
    <xf numFmtId="164" fontId="12" fillId="0" borderId="22" xfId="0" applyNumberFormat="1" applyFont="1" applyBorder="1" applyAlignment="1">
      <alignment vertical="center"/>
    </xf>
    <xf numFmtId="164" fontId="6" fillId="0" borderId="25" xfId="0" applyNumberFormat="1" applyFont="1" applyBorder="1" applyAlignment="1">
      <alignment vertical="center"/>
    </xf>
    <xf numFmtId="164" fontId="6" fillId="0" borderId="27" xfId="0" applyNumberFormat="1" applyFont="1" applyBorder="1" applyAlignment="1">
      <alignment vertical="center"/>
    </xf>
    <xf numFmtId="1" fontId="6" fillId="0" borderId="38" xfId="0" applyNumberFormat="1" applyFont="1" applyBorder="1" applyAlignment="1">
      <alignment horizontal="center" vertical="center" wrapText="1"/>
    </xf>
    <xf numFmtId="164" fontId="6" fillId="0" borderId="35" xfId="0" applyNumberFormat="1" applyFont="1" applyBorder="1" applyAlignment="1">
      <alignment vertical="center" wrapText="1"/>
    </xf>
    <xf numFmtId="164" fontId="6" fillId="0" borderId="35" xfId="0" applyNumberFormat="1" applyFont="1" applyBorder="1" applyAlignment="1">
      <alignment vertical="center"/>
    </xf>
    <xf numFmtId="164" fontId="6" fillId="0" borderId="6" xfId="0" applyNumberFormat="1" applyFont="1" applyBorder="1" applyAlignment="1">
      <alignment vertical="center"/>
    </xf>
    <xf numFmtId="164" fontId="13" fillId="0" borderId="6" xfId="0" applyNumberFormat="1" applyFont="1" applyBorder="1" applyAlignment="1">
      <alignment vertical="center"/>
    </xf>
    <xf numFmtId="164" fontId="6" fillId="0" borderId="10" xfId="0" applyNumberFormat="1" applyFont="1" applyBorder="1" applyAlignment="1">
      <alignment vertical="center"/>
    </xf>
    <xf numFmtId="164" fontId="6" fillId="0" borderId="39" xfId="0" applyNumberFormat="1" applyFont="1" applyBorder="1" applyAlignment="1">
      <alignment vertical="center"/>
    </xf>
    <xf numFmtId="164" fontId="14" fillId="0" borderId="11" xfId="0" applyNumberFormat="1" applyFont="1" applyBorder="1" applyAlignment="1">
      <alignment vertical="center" wrapText="1"/>
    </xf>
    <xf numFmtId="164" fontId="14" fillId="0" borderId="11" xfId="0" applyNumberFormat="1" applyFont="1" applyBorder="1" applyAlignment="1">
      <alignment vertical="center"/>
    </xf>
    <xf numFmtId="164" fontId="15" fillId="0" borderId="11" xfId="0" applyNumberFormat="1" applyFont="1" applyBorder="1" applyAlignment="1">
      <alignment vertical="center"/>
    </xf>
    <xf numFmtId="164" fontId="15" fillId="0" borderId="12" xfId="0" applyNumberFormat="1" applyFont="1" applyBorder="1" applyAlignment="1">
      <alignment vertical="center"/>
    </xf>
    <xf numFmtId="164" fontId="14" fillId="0" borderId="13" xfId="0" applyNumberFormat="1" applyFont="1" applyBorder="1" applyAlignment="1">
      <alignment vertical="center"/>
    </xf>
    <xf numFmtId="0" fontId="16" fillId="0" borderId="0" xfId="0" applyFont="1" applyAlignment="1">
      <alignment/>
    </xf>
    <xf numFmtId="164" fontId="13" fillId="0" borderId="11" xfId="0" applyNumberFormat="1" applyFont="1" applyBorder="1" applyAlignment="1">
      <alignment vertical="center"/>
    </xf>
    <xf numFmtId="164" fontId="13" fillId="0" borderId="12" xfId="0" applyNumberFormat="1" applyFont="1" applyBorder="1" applyAlignment="1">
      <alignment vertical="center"/>
    </xf>
    <xf numFmtId="164" fontId="6" fillId="0" borderId="13" xfId="0" applyNumberFormat="1" applyFont="1" applyBorder="1" applyAlignment="1">
      <alignment vertical="center"/>
    </xf>
    <xf numFmtId="164" fontId="14" fillId="0" borderId="25" xfId="0" applyNumberFormat="1" applyFont="1" applyBorder="1" applyAlignment="1">
      <alignment vertical="center"/>
    </xf>
    <xf numFmtId="164" fontId="14" fillId="0" borderId="27" xfId="0" applyNumberFormat="1" applyFont="1" applyBorder="1" applyAlignment="1">
      <alignment vertical="center"/>
    </xf>
    <xf numFmtId="0" fontId="14" fillId="0" borderId="17" xfId="17" applyFont="1" applyBorder="1" applyAlignment="1">
      <alignment horizontal="left" vertical="center" wrapText="1"/>
      <protection/>
    </xf>
    <xf numFmtId="164" fontId="14" fillId="0" borderId="15" xfId="0" applyNumberFormat="1" applyFont="1" applyBorder="1" applyAlignment="1">
      <alignment vertical="center" wrapText="1"/>
    </xf>
    <xf numFmtId="164" fontId="11" fillId="0" borderId="11" xfId="0" applyNumberFormat="1" applyFont="1" applyBorder="1" applyAlignment="1">
      <alignment vertical="center" wrapText="1"/>
    </xf>
    <xf numFmtId="164" fontId="14" fillId="0" borderId="25" xfId="0" applyNumberFormat="1" applyFont="1" applyBorder="1" applyAlignment="1">
      <alignment vertical="center" wrapText="1"/>
    </xf>
    <xf numFmtId="164" fontId="17" fillId="0" borderId="25" xfId="0" applyNumberFormat="1" applyFont="1" applyBorder="1" applyAlignment="1">
      <alignment vertical="center" wrapText="1"/>
    </xf>
    <xf numFmtId="164" fontId="17" fillId="0" borderId="25" xfId="0" applyNumberFormat="1" applyFont="1" applyBorder="1" applyAlignment="1">
      <alignment vertical="center"/>
    </xf>
    <xf numFmtId="164" fontId="17" fillId="0" borderId="26" xfId="0" applyNumberFormat="1" applyFont="1" applyBorder="1" applyAlignment="1">
      <alignment vertical="center"/>
    </xf>
    <xf numFmtId="1" fontId="9" fillId="0" borderId="38" xfId="0" applyNumberFormat="1" applyFont="1" applyBorder="1" applyAlignment="1">
      <alignment horizontal="center" vertical="center" wrapText="1"/>
    </xf>
    <xf numFmtId="164" fontId="9" fillId="0" borderId="35" xfId="0" applyNumberFormat="1" applyFont="1" applyBorder="1" applyAlignment="1">
      <alignment vertical="center" wrapText="1"/>
    </xf>
    <xf numFmtId="164" fontId="12" fillId="0" borderId="35" xfId="0" applyNumberFormat="1" applyFont="1" applyBorder="1" applyAlignment="1">
      <alignment vertical="center" wrapText="1"/>
    </xf>
    <xf numFmtId="164" fontId="9" fillId="0" borderId="6" xfId="0" applyNumberFormat="1" applyFont="1" applyBorder="1" applyAlignment="1">
      <alignment vertical="center" wrapText="1"/>
    </xf>
    <xf numFmtId="164" fontId="9" fillId="0" borderId="36" xfId="0" applyNumberFormat="1" applyFont="1" applyBorder="1" applyAlignment="1">
      <alignment vertical="center" wrapText="1"/>
    </xf>
    <xf numFmtId="1" fontId="6" fillId="0" borderId="20" xfId="0" applyNumberFormat="1" applyFont="1" applyBorder="1" applyAlignment="1">
      <alignment horizontal="center" vertical="center" wrapText="1"/>
    </xf>
    <xf numFmtId="164" fontId="13" fillId="0" borderId="21" xfId="0" applyNumberFormat="1" applyFont="1" applyBorder="1" applyAlignment="1">
      <alignment vertical="center" wrapText="1"/>
    </xf>
    <xf numFmtId="164" fontId="13" fillId="0" borderId="21" xfId="0" applyNumberFormat="1" applyFont="1" applyBorder="1" applyAlignment="1">
      <alignment vertical="center"/>
    </xf>
    <xf numFmtId="164" fontId="13" fillId="0" borderId="22" xfId="0" applyNumberFormat="1" applyFont="1" applyBorder="1" applyAlignment="1">
      <alignment vertical="center"/>
    </xf>
    <xf numFmtId="164" fontId="11" fillId="0" borderId="35" xfId="0" applyNumberFormat="1" applyFont="1" applyBorder="1" applyAlignment="1">
      <alignment vertical="center" wrapText="1"/>
    </xf>
    <xf numFmtId="164" fontId="6" fillId="0" borderId="36" xfId="0" applyNumberFormat="1" applyFont="1" applyBorder="1" applyAlignment="1">
      <alignment vertical="center"/>
    </xf>
    <xf numFmtId="1" fontId="14" fillId="0" borderId="9" xfId="0" applyNumberFormat="1" applyFont="1" applyBorder="1" applyAlignment="1">
      <alignment horizontal="center" vertical="center" wrapText="1"/>
    </xf>
    <xf numFmtId="164" fontId="17" fillId="0" borderId="10" xfId="0" applyNumberFormat="1" applyFont="1" applyBorder="1" applyAlignment="1">
      <alignment vertical="center" wrapText="1"/>
    </xf>
    <xf numFmtId="164" fontId="17" fillId="0" borderId="10" xfId="0" applyNumberFormat="1" applyFont="1" applyBorder="1" applyAlignment="1">
      <alignment vertical="center"/>
    </xf>
    <xf numFmtId="164" fontId="17" fillId="0" borderId="12" xfId="0" applyNumberFormat="1" applyFont="1" applyBorder="1" applyAlignment="1">
      <alignment vertical="center"/>
    </xf>
    <xf numFmtId="164" fontId="11" fillId="0" borderId="15" xfId="0" applyNumberFormat="1" applyFont="1" applyBorder="1" applyAlignment="1">
      <alignment vertical="center" wrapText="1"/>
    </xf>
    <xf numFmtId="164" fontId="17" fillId="0" borderId="11" xfId="0" applyNumberFormat="1" applyFont="1" applyBorder="1" applyAlignment="1">
      <alignment vertical="center" wrapText="1"/>
    </xf>
    <xf numFmtId="164" fontId="17" fillId="0" borderId="11" xfId="0" applyNumberFormat="1" applyFont="1" applyBorder="1" applyAlignment="1">
      <alignment vertical="center"/>
    </xf>
    <xf numFmtId="164" fontId="12" fillId="0" borderId="11" xfId="0" applyNumberFormat="1" applyFont="1" applyBorder="1" applyAlignment="1">
      <alignment vertical="center" wrapText="1"/>
    </xf>
    <xf numFmtId="164" fontId="12" fillId="0" borderId="11" xfId="0" applyNumberFormat="1" applyFont="1" applyBorder="1" applyAlignment="1">
      <alignment vertical="center"/>
    </xf>
    <xf numFmtId="164" fontId="12" fillId="0" borderId="12" xfId="0" applyNumberFormat="1" applyFont="1" applyBorder="1" applyAlignment="1">
      <alignment vertical="center"/>
    </xf>
    <xf numFmtId="164" fontId="18" fillId="0" borderId="11" xfId="0" applyNumberFormat="1" applyFont="1" applyBorder="1" applyAlignment="1">
      <alignment vertical="center"/>
    </xf>
    <xf numFmtId="164" fontId="6" fillId="0" borderId="12" xfId="0" applyNumberFormat="1" applyFont="1" applyBorder="1" applyAlignment="1">
      <alignment vertical="center"/>
    </xf>
    <xf numFmtId="164" fontId="18" fillId="0" borderId="12" xfId="0" applyNumberFormat="1" applyFont="1" applyBorder="1" applyAlignment="1">
      <alignment vertical="center"/>
    </xf>
    <xf numFmtId="164" fontId="9" fillId="0" borderId="11" xfId="0" applyNumberFormat="1" applyFont="1" applyBorder="1" applyAlignment="1">
      <alignment vertical="center" wrapText="1"/>
    </xf>
    <xf numFmtId="164" fontId="19" fillId="0" borderId="11" xfId="0" applyNumberFormat="1" applyFont="1" applyBorder="1" applyAlignment="1">
      <alignment vertical="center" wrapText="1"/>
    </xf>
    <xf numFmtId="164" fontId="9" fillId="0" borderId="15" xfId="0" applyNumberFormat="1" applyFont="1" applyBorder="1" applyAlignment="1">
      <alignment vertical="center" wrapText="1"/>
    </xf>
    <xf numFmtId="164" fontId="13" fillId="0" borderId="15" xfId="0" applyNumberFormat="1" applyFont="1" applyBorder="1" applyAlignment="1">
      <alignment vertical="center"/>
    </xf>
    <xf numFmtId="164" fontId="13" fillId="0" borderId="17" xfId="0" applyNumberFormat="1" applyFont="1" applyBorder="1" applyAlignment="1">
      <alignment vertical="center"/>
    </xf>
    <xf numFmtId="1" fontId="9" fillId="0" borderId="30" xfId="0" applyNumberFormat="1" applyFont="1" applyBorder="1" applyAlignment="1">
      <alignment horizontal="center" vertical="center" wrapText="1"/>
    </xf>
    <xf numFmtId="164" fontId="9" fillId="0" borderId="11" xfId="0" applyNumberFormat="1" applyFont="1" applyBorder="1" applyAlignment="1">
      <alignment vertical="center"/>
    </xf>
    <xf numFmtId="164" fontId="9" fillId="0" borderId="13" xfId="0" applyNumberFormat="1" applyFont="1" applyBorder="1" applyAlignment="1">
      <alignment vertical="center" wrapText="1"/>
    </xf>
    <xf numFmtId="164" fontId="13" fillId="0" borderId="10" xfId="0" applyNumberFormat="1" applyFont="1" applyBorder="1" applyAlignment="1">
      <alignment vertical="center"/>
    </xf>
    <xf numFmtId="164" fontId="13" fillId="0" borderId="40" xfId="0" applyNumberFormat="1" applyFont="1" applyBorder="1" applyAlignment="1">
      <alignment vertical="center"/>
    </xf>
    <xf numFmtId="164" fontId="6" fillId="0" borderId="18" xfId="0" applyNumberFormat="1" applyFont="1" applyBorder="1" applyAlignment="1">
      <alignment vertical="center" wrapText="1"/>
    </xf>
    <xf numFmtId="164" fontId="6" fillId="0" borderId="13" xfId="0" applyNumberFormat="1" applyFont="1" applyBorder="1" applyAlignment="1">
      <alignment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left" vertical="center" wrapText="1"/>
    </xf>
    <xf numFmtId="0" fontId="0" fillId="0" borderId="9" xfId="0" applyBorder="1" applyAlignment="1">
      <alignment horizontal="center" vertical="center" wrapText="1"/>
    </xf>
    <xf numFmtId="164" fontId="9" fillId="0" borderId="12" xfId="0" applyNumberFormat="1" applyFont="1" applyBorder="1" applyAlignment="1">
      <alignment vertical="center" wrapText="1"/>
    </xf>
    <xf numFmtId="1" fontId="9" fillId="0" borderId="14" xfId="0" applyNumberFormat="1" applyFont="1" applyBorder="1" applyAlignment="1">
      <alignment horizontal="center" vertical="center" wrapText="1"/>
    </xf>
    <xf numFmtId="164" fontId="9" fillId="0" borderId="17" xfId="0" applyNumberFormat="1" applyFont="1" applyBorder="1" applyAlignment="1">
      <alignment vertical="center" wrapText="1"/>
    </xf>
    <xf numFmtId="164" fontId="9" fillId="0" borderId="18" xfId="0" applyNumberFormat="1" applyFont="1" applyBorder="1" applyAlignment="1">
      <alignment vertical="center" wrapText="1"/>
    </xf>
    <xf numFmtId="164" fontId="9" fillId="0" borderId="41" xfId="0" applyNumberFormat="1" applyFont="1" applyBorder="1" applyAlignment="1">
      <alignment vertical="center" wrapText="1"/>
    </xf>
    <xf numFmtId="164" fontId="9" fillId="0" borderId="42" xfId="0" applyNumberFormat="1" applyFont="1" applyBorder="1" applyAlignment="1">
      <alignment vertical="center" wrapText="1"/>
    </xf>
    <xf numFmtId="164" fontId="6" fillId="0" borderId="21" xfId="0" applyNumberFormat="1" applyFont="1" applyBorder="1" applyAlignment="1">
      <alignment vertical="center"/>
    </xf>
    <xf numFmtId="164" fontId="6" fillId="0" borderId="23" xfId="0" applyNumberFormat="1" applyFont="1" applyBorder="1" applyAlignment="1">
      <alignment vertical="center"/>
    </xf>
    <xf numFmtId="164" fontId="11" fillId="0" borderId="10" xfId="0" applyNumberFormat="1" applyFont="1" applyBorder="1" applyAlignment="1">
      <alignment vertical="center"/>
    </xf>
    <xf numFmtId="164" fontId="11" fillId="0" borderId="40" xfId="0" applyNumberFormat="1" applyFont="1" applyBorder="1" applyAlignment="1">
      <alignment vertical="center"/>
    </xf>
    <xf numFmtId="164" fontId="6" fillId="0" borderId="12" xfId="0" applyNumberFormat="1" applyFont="1" applyBorder="1" applyAlignment="1">
      <alignment vertical="center" wrapText="1"/>
    </xf>
    <xf numFmtId="1" fontId="6" fillId="0" borderId="29" xfId="0" applyNumberFormat="1" applyFont="1" applyBorder="1" applyAlignment="1">
      <alignment horizontal="center" vertical="center" wrapText="1"/>
    </xf>
    <xf numFmtId="1" fontId="9" fillId="0" borderId="43" xfId="0" applyNumberFormat="1" applyFont="1" applyBorder="1" applyAlignment="1">
      <alignment horizontal="center" vertical="center" wrapText="1"/>
    </xf>
    <xf numFmtId="164" fontId="9" fillId="0" borderId="44" xfId="0" applyNumberFormat="1" applyFont="1" applyBorder="1" applyAlignment="1">
      <alignment vertical="center" wrapText="1"/>
    </xf>
    <xf numFmtId="164" fontId="0" fillId="0" borderId="0" xfId="0" applyNumberFormat="1" applyAlignment="1">
      <alignment vertical="center"/>
    </xf>
    <xf numFmtId="0" fontId="22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Normalny_Prognoza i kredyty-tabele 2003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8"/>
  <sheetViews>
    <sheetView tabSelected="1" workbookViewId="0" topLeftCell="A86">
      <selection activeCell="F97" sqref="F97"/>
    </sheetView>
  </sheetViews>
  <sheetFormatPr defaultColWidth="9.00390625" defaultRowHeight="12.75"/>
  <cols>
    <col min="1" max="1" width="5.875" style="1" customWidth="1"/>
    <col min="2" max="2" width="27.25390625" style="2" customWidth="1"/>
    <col min="3" max="3" width="9.875" style="2" hidden="1" customWidth="1"/>
    <col min="4" max="5" width="10.125" style="2" hidden="1" customWidth="1"/>
    <col min="6" max="6" width="9.75390625" style="2" customWidth="1"/>
    <col min="7" max="7" width="10.25390625" style="2" customWidth="1"/>
    <col min="8" max="8" width="9.375" style="2" customWidth="1"/>
    <col min="9" max="9" width="9.125" style="2" customWidth="1"/>
    <col min="10" max="10" width="9.375" style="2" customWidth="1"/>
    <col min="11" max="11" width="9.00390625" style="2" customWidth="1"/>
    <col min="12" max="12" width="9.125" style="2" customWidth="1"/>
    <col min="13" max="13" width="9.375" style="2" customWidth="1"/>
    <col min="14" max="14" width="9.25390625" style="5" customWidth="1"/>
    <col min="15" max="16" width="9.125" style="5" customWidth="1"/>
    <col min="17" max="16384" width="9.125" style="2" customWidth="1"/>
  </cols>
  <sheetData>
    <row r="1" spans="3:11" ht="15" customHeight="1" hidden="1">
      <c r="C1" s="3"/>
      <c r="K1" s="4"/>
    </row>
    <row r="2" spans="3:11" ht="12.75" hidden="1">
      <c r="C2" s="3"/>
      <c r="K2" s="5"/>
    </row>
    <row r="3" spans="3:11" ht="12.75" hidden="1">
      <c r="C3" s="3"/>
      <c r="K3" s="5"/>
    </row>
    <row r="4" spans="3:11" ht="11.25" customHeight="1">
      <c r="C4" s="3"/>
      <c r="K4" s="5"/>
    </row>
    <row r="5" spans="2:10" ht="13.5" customHeight="1">
      <c r="B5" s="6" t="s">
        <v>0</v>
      </c>
      <c r="C5" s="6"/>
      <c r="D5" s="7"/>
      <c r="E5" s="7"/>
      <c r="F5" s="7"/>
      <c r="G5" s="7"/>
      <c r="H5" s="7"/>
      <c r="I5" s="7"/>
      <c r="J5" s="7"/>
    </row>
    <row r="6" spans="1:16" ht="13.5" customHeight="1" thickBot="1">
      <c r="A6" s="8"/>
      <c r="B6" s="9"/>
      <c r="C6" s="10"/>
      <c r="D6" s="10"/>
      <c r="E6" s="10"/>
      <c r="F6" s="10"/>
      <c r="G6" s="10"/>
      <c r="H6" s="10"/>
      <c r="I6" s="10"/>
      <c r="J6" s="10"/>
      <c r="K6" s="11"/>
      <c r="L6" s="11"/>
      <c r="M6" s="12"/>
      <c r="O6" s="11" t="s">
        <v>1</v>
      </c>
      <c r="P6" s="11"/>
    </row>
    <row r="7" spans="1:16" s="22" customFormat="1" ht="13.5" customHeight="1" thickTop="1">
      <c r="A7" s="13"/>
      <c r="B7" s="14"/>
      <c r="C7" s="15" t="s">
        <v>2</v>
      </c>
      <c r="D7" s="16" t="s">
        <v>2</v>
      </c>
      <c r="E7" s="16" t="s">
        <v>2</v>
      </c>
      <c r="F7" s="17" t="s">
        <v>3</v>
      </c>
      <c r="G7" s="17" t="s">
        <v>3</v>
      </c>
      <c r="H7" s="18" t="s">
        <v>4</v>
      </c>
      <c r="I7" s="19" t="s">
        <v>5</v>
      </c>
      <c r="J7" s="20"/>
      <c r="K7" s="20"/>
      <c r="L7" s="20"/>
      <c r="M7" s="20"/>
      <c r="N7" s="20"/>
      <c r="O7" s="20"/>
      <c r="P7" s="21"/>
    </row>
    <row r="8" spans="1:16" ht="15.75" customHeight="1">
      <c r="A8" s="23" t="s">
        <v>6</v>
      </c>
      <c r="B8" s="24" t="s">
        <v>7</v>
      </c>
      <c r="C8" s="25" t="s">
        <v>8</v>
      </c>
      <c r="D8" s="26" t="s">
        <v>9</v>
      </c>
      <c r="E8" s="26" t="s">
        <v>10</v>
      </c>
      <c r="F8" s="26" t="s">
        <v>11</v>
      </c>
      <c r="G8" s="26" t="s">
        <v>12</v>
      </c>
      <c r="H8" s="27"/>
      <c r="I8" s="28" t="s">
        <v>13</v>
      </c>
      <c r="J8" s="28" t="s">
        <v>14</v>
      </c>
      <c r="K8" s="29" t="s">
        <v>15</v>
      </c>
      <c r="L8" s="29" t="s">
        <v>16</v>
      </c>
      <c r="M8" s="29" t="s">
        <v>17</v>
      </c>
      <c r="N8" s="29" t="s">
        <v>18</v>
      </c>
      <c r="O8" s="28" t="s">
        <v>19</v>
      </c>
      <c r="P8" s="30" t="s">
        <v>20</v>
      </c>
    </row>
    <row r="9" spans="1:16" s="36" customFormat="1" ht="10.5" thickBot="1">
      <c r="A9" s="31">
        <v>1</v>
      </c>
      <c r="B9" s="32">
        <v>2</v>
      </c>
      <c r="C9" s="32">
        <v>3</v>
      </c>
      <c r="D9" s="32">
        <v>3</v>
      </c>
      <c r="E9" s="33">
        <v>4</v>
      </c>
      <c r="F9" s="32">
        <v>3</v>
      </c>
      <c r="G9" s="32">
        <v>4</v>
      </c>
      <c r="H9" s="32">
        <v>5</v>
      </c>
      <c r="I9" s="32">
        <v>6</v>
      </c>
      <c r="J9" s="32">
        <v>7</v>
      </c>
      <c r="K9" s="34">
        <v>8</v>
      </c>
      <c r="L9" s="34">
        <v>9</v>
      </c>
      <c r="M9" s="34">
        <v>10</v>
      </c>
      <c r="N9" s="34">
        <v>11</v>
      </c>
      <c r="O9" s="32">
        <v>12</v>
      </c>
      <c r="P9" s="35">
        <v>13</v>
      </c>
    </row>
    <row r="10" spans="1:16" s="40" customFormat="1" ht="16.5" customHeight="1" thickTop="1">
      <c r="A10" s="37">
        <v>1</v>
      </c>
      <c r="B10" s="38" t="s">
        <v>21</v>
      </c>
      <c r="C10" s="38">
        <v>220143.3</v>
      </c>
      <c r="D10" s="38">
        <v>285355.8</v>
      </c>
      <c r="E10" s="38">
        <v>279594.1</v>
      </c>
      <c r="F10" s="38">
        <v>324295.2</v>
      </c>
      <c r="G10" s="38">
        <f>G22+G23</f>
        <v>334047.458</v>
      </c>
      <c r="H10" s="38">
        <f aca="true" t="shared" si="0" ref="H10:P10">SUM(H22:H23)</f>
        <v>351510.313</v>
      </c>
      <c r="I10" s="38">
        <f t="shared" si="0"/>
        <v>373447.2</v>
      </c>
      <c r="J10" s="38">
        <f t="shared" si="0"/>
        <v>381158.8</v>
      </c>
      <c r="K10" s="38">
        <f t="shared" si="0"/>
        <v>374115.7</v>
      </c>
      <c r="L10" s="38">
        <f t="shared" si="0"/>
        <v>376852.9</v>
      </c>
      <c r="M10" s="38">
        <f t="shared" si="0"/>
        <v>343732.2</v>
      </c>
      <c r="N10" s="38">
        <f t="shared" si="0"/>
        <v>341020.7</v>
      </c>
      <c r="O10" s="38">
        <f t="shared" si="0"/>
        <v>341246.9</v>
      </c>
      <c r="P10" s="39">
        <f t="shared" si="0"/>
        <v>342307</v>
      </c>
    </row>
    <row r="11" spans="1:16" s="40" customFormat="1" ht="4.5" customHeight="1" hidden="1">
      <c r="A11" s="41"/>
      <c r="B11" s="42"/>
      <c r="C11" s="42"/>
      <c r="D11" s="42"/>
      <c r="E11" s="42"/>
      <c r="F11" s="42"/>
      <c r="G11" s="43"/>
      <c r="H11" s="43"/>
      <c r="I11" s="43"/>
      <c r="J11" s="43"/>
      <c r="K11" s="44"/>
      <c r="L11" s="44"/>
      <c r="M11" s="44"/>
      <c r="N11" s="44"/>
      <c r="O11" s="43"/>
      <c r="P11" s="45"/>
    </row>
    <row r="12" spans="1:16" s="40" customFormat="1" ht="15.75" customHeight="1" hidden="1">
      <c r="A12" s="46">
        <v>2</v>
      </c>
      <c r="B12" s="47" t="s">
        <v>22</v>
      </c>
      <c r="C12" s="47">
        <v>98339.2</v>
      </c>
      <c r="D12" s="47">
        <v>126690.5</v>
      </c>
      <c r="E12" s="47">
        <v>159369.7</v>
      </c>
      <c r="F12" s="48">
        <v>162547.8</v>
      </c>
      <c r="G12" s="48"/>
      <c r="H12" s="48">
        <v>170286.8</v>
      </c>
      <c r="I12" s="48">
        <v>173855.8</v>
      </c>
      <c r="J12" s="48">
        <v>179233.4</v>
      </c>
      <c r="K12" s="49">
        <v>183552.8</v>
      </c>
      <c r="L12" s="49">
        <v>183552.8</v>
      </c>
      <c r="M12" s="49">
        <v>183552.8</v>
      </c>
      <c r="N12" s="49">
        <v>183552.8</v>
      </c>
      <c r="O12" s="48">
        <v>183552.8</v>
      </c>
      <c r="P12" s="50">
        <v>183552.8</v>
      </c>
    </row>
    <row r="13" spans="1:16" s="40" customFormat="1" ht="12" hidden="1">
      <c r="A13" s="51"/>
      <c r="B13" s="52" t="s">
        <v>23</v>
      </c>
      <c r="C13" s="52">
        <v>38950.6</v>
      </c>
      <c r="D13" s="52"/>
      <c r="E13" s="52"/>
      <c r="F13" s="48"/>
      <c r="G13" s="48"/>
      <c r="H13" s="48"/>
      <c r="I13" s="48"/>
      <c r="J13" s="48"/>
      <c r="K13" s="49"/>
      <c r="L13" s="49"/>
      <c r="M13" s="49"/>
      <c r="N13" s="49"/>
      <c r="O13" s="48"/>
      <c r="P13" s="50"/>
    </row>
    <row r="14" spans="1:16" s="40" customFormat="1" ht="12" hidden="1">
      <c r="A14" s="51"/>
      <c r="B14" s="52"/>
      <c r="C14" s="52"/>
      <c r="D14" s="52"/>
      <c r="E14" s="53"/>
      <c r="F14" s="48"/>
      <c r="G14" s="48"/>
      <c r="H14" s="48"/>
      <c r="I14" s="48"/>
      <c r="J14" s="48"/>
      <c r="K14" s="49"/>
      <c r="L14" s="49"/>
      <c r="M14" s="49"/>
      <c r="N14" s="49"/>
      <c r="O14" s="48"/>
      <c r="P14" s="50"/>
    </row>
    <row r="15" spans="1:16" s="40" customFormat="1" ht="12" hidden="1">
      <c r="A15" s="51"/>
      <c r="B15" s="52" t="s">
        <v>24</v>
      </c>
      <c r="C15" s="52">
        <v>15259.6</v>
      </c>
      <c r="D15" s="52"/>
      <c r="E15" s="52"/>
      <c r="F15" s="48"/>
      <c r="G15" s="48"/>
      <c r="H15" s="48"/>
      <c r="I15" s="48"/>
      <c r="J15" s="48"/>
      <c r="K15" s="49"/>
      <c r="L15" s="49"/>
      <c r="M15" s="49"/>
      <c r="N15" s="49"/>
      <c r="O15" s="48"/>
      <c r="P15" s="50"/>
    </row>
    <row r="16" spans="1:16" s="40" customFormat="1" ht="24" hidden="1">
      <c r="A16" s="51"/>
      <c r="B16" s="52" t="s">
        <v>25</v>
      </c>
      <c r="C16" s="52">
        <v>41039.2</v>
      </c>
      <c r="D16" s="52"/>
      <c r="E16" s="52"/>
      <c r="F16" s="48"/>
      <c r="G16" s="48"/>
      <c r="H16" s="48"/>
      <c r="I16" s="48"/>
      <c r="J16" s="48"/>
      <c r="K16" s="49"/>
      <c r="L16" s="49"/>
      <c r="M16" s="49"/>
      <c r="N16" s="49"/>
      <c r="O16" s="48"/>
      <c r="P16" s="50"/>
    </row>
    <row r="17" spans="1:16" s="40" customFormat="1" ht="1.5" customHeight="1" hidden="1">
      <c r="A17" s="54"/>
      <c r="B17" s="52" t="s">
        <v>26</v>
      </c>
      <c r="C17" s="52">
        <v>6209.5</v>
      </c>
      <c r="D17" s="52"/>
      <c r="E17" s="52"/>
      <c r="F17" s="48"/>
      <c r="G17" s="48"/>
      <c r="H17" s="48"/>
      <c r="I17" s="48"/>
      <c r="J17" s="48"/>
      <c r="K17" s="49"/>
      <c r="L17" s="49"/>
      <c r="M17" s="49"/>
      <c r="N17" s="49"/>
      <c r="O17" s="48"/>
      <c r="P17" s="50"/>
    </row>
    <row r="18" spans="1:16" s="40" customFormat="1" ht="18.75" customHeight="1" hidden="1">
      <c r="A18" s="55">
        <v>3</v>
      </c>
      <c r="B18" s="52" t="s">
        <v>27</v>
      </c>
      <c r="C18" s="52">
        <v>75044.3</v>
      </c>
      <c r="D18" s="52">
        <v>67002.1</v>
      </c>
      <c r="E18" s="52">
        <v>72322</v>
      </c>
      <c r="F18" s="56">
        <v>73696.1</v>
      </c>
      <c r="G18" s="56"/>
      <c r="H18" s="56">
        <v>77275.7</v>
      </c>
      <c r="I18" s="56">
        <v>78898.5</v>
      </c>
      <c r="J18" s="56">
        <v>81344.4</v>
      </c>
      <c r="K18" s="57">
        <v>83459.4</v>
      </c>
      <c r="L18" s="57">
        <v>83459.4</v>
      </c>
      <c r="M18" s="57">
        <v>83459.4</v>
      </c>
      <c r="N18" s="57">
        <v>83459.4</v>
      </c>
      <c r="O18" s="56">
        <v>83459.4</v>
      </c>
      <c r="P18" s="58">
        <v>83459.4</v>
      </c>
    </row>
    <row r="19" spans="1:16" s="40" customFormat="1" ht="19.5" customHeight="1" hidden="1">
      <c r="A19" s="55">
        <v>4</v>
      </c>
      <c r="B19" s="52" t="s">
        <v>28</v>
      </c>
      <c r="C19" s="52">
        <v>31395.3</v>
      </c>
      <c r="D19" s="52">
        <v>25922.7</v>
      </c>
      <c r="E19" s="52">
        <v>30484.6</v>
      </c>
      <c r="F19" s="56">
        <v>31033</v>
      </c>
      <c r="G19" s="56"/>
      <c r="H19" s="56">
        <v>32572.2</v>
      </c>
      <c r="I19" s="56">
        <v>33223.6</v>
      </c>
      <c r="J19" s="56">
        <v>34253.5</v>
      </c>
      <c r="K19" s="57">
        <v>35209.4</v>
      </c>
      <c r="L19" s="57">
        <v>35209.4</v>
      </c>
      <c r="M19" s="57">
        <v>35209.4</v>
      </c>
      <c r="N19" s="57">
        <v>35209.4</v>
      </c>
      <c r="O19" s="56">
        <v>35209.4</v>
      </c>
      <c r="P19" s="58">
        <v>35209.4</v>
      </c>
    </row>
    <row r="20" spans="1:16" s="40" customFormat="1" ht="16.5" customHeight="1" hidden="1">
      <c r="A20" s="55">
        <v>5</v>
      </c>
      <c r="B20" s="52" t="s">
        <v>29</v>
      </c>
      <c r="C20" s="52">
        <v>7366.6</v>
      </c>
      <c r="D20" s="52">
        <v>528</v>
      </c>
      <c r="E20" s="52">
        <v>260.3</v>
      </c>
      <c r="F20" s="56">
        <v>261.3</v>
      </c>
      <c r="G20" s="56"/>
      <c r="H20" s="56">
        <v>454.1</v>
      </c>
      <c r="I20" s="56">
        <v>478</v>
      </c>
      <c r="J20" s="56">
        <v>495.7</v>
      </c>
      <c r="K20" s="57">
        <v>508.6</v>
      </c>
      <c r="L20" s="57">
        <v>508.6</v>
      </c>
      <c r="M20" s="57">
        <v>508.6</v>
      </c>
      <c r="N20" s="57">
        <v>508.6</v>
      </c>
      <c r="O20" s="56">
        <v>508.6</v>
      </c>
      <c r="P20" s="58">
        <v>508.6</v>
      </c>
    </row>
    <row r="21" spans="1:16" s="40" customFormat="1" ht="16.5" customHeight="1" hidden="1">
      <c r="A21" s="59">
        <v>6</v>
      </c>
      <c r="B21" s="60" t="s">
        <v>30</v>
      </c>
      <c r="C21" s="60"/>
      <c r="D21" s="60"/>
      <c r="E21" s="60"/>
      <c r="F21" s="48"/>
      <c r="G21" s="48"/>
      <c r="H21" s="48"/>
      <c r="I21" s="48"/>
      <c r="J21" s="48"/>
      <c r="K21" s="49"/>
      <c r="L21" s="49"/>
      <c r="M21" s="49"/>
      <c r="N21" s="49"/>
      <c r="O21" s="48"/>
      <c r="P21" s="50"/>
    </row>
    <row r="22" spans="1:16" s="40" customFormat="1" ht="14.25" customHeight="1">
      <c r="A22" s="55">
        <v>2</v>
      </c>
      <c r="B22" s="52" t="s">
        <v>31</v>
      </c>
      <c r="C22" s="52"/>
      <c r="D22" s="52"/>
      <c r="E22" s="52">
        <v>258051.4</v>
      </c>
      <c r="F22" s="56">
        <v>296653.8</v>
      </c>
      <c r="G22" s="56">
        <v>303157.178</v>
      </c>
      <c r="H22" s="56">
        <v>319396.234</v>
      </c>
      <c r="I22" s="56">
        <v>320047.2</v>
      </c>
      <c r="J22" s="56">
        <v>320858.8</v>
      </c>
      <c r="K22" s="56">
        <v>321115.7</v>
      </c>
      <c r="L22" s="56">
        <v>321852.9</v>
      </c>
      <c r="M22" s="56">
        <v>322232.2</v>
      </c>
      <c r="N22" s="56">
        <v>322020.7</v>
      </c>
      <c r="O22" s="56">
        <v>322246.9</v>
      </c>
      <c r="P22" s="58">
        <v>323307</v>
      </c>
    </row>
    <row r="23" spans="1:16" s="40" customFormat="1" ht="14.25" customHeight="1" thickBot="1">
      <c r="A23" s="54">
        <v>3</v>
      </c>
      <c r="B23" s="61" t="s">
        <v>32</v>
      </c>
      <c r="C23" s="61"/>
      <c r="D23" s="61"/>
      <c r="E23" s="61">
        <v>21542.7</v>
      </c>
      <c r="F23" s="48">
        <v>27641.4</v>
      </c>
      <c r="G23" s="48">
        <v>30890.28</v>
      </c>
      <c r="H23" s="48">
        <f>27814.079+4300</f>
        <v>32114.079</v>
      </c>
      <c r="I23" s="48">
        <v>53400</v>
      </c>
      <c r="J23" s="48">
        <v>60300</v>
      </c>
      <c r="K23" s="49">
        <v>53000</v>
      </c>
      <c r="L23" s="49">
        <v>55000</v>
      </c>
      <c r="M23" s="49">
        <f>15500+6000</f>
        <v>21500</v>
      </c>
      <c r="N23" s="49">
        <f>8000+6000+5000</f>
        <v>19000</v>
      </c>
      <c r="O23" s="62">
        <f>14000+5000</f>
        <v>19000</v>
      </c>
      <c r="P23" s="63">
        <f>14000+5000</f>
        <v>19000</v>
      </c>
    </row>
    <row r="24" spans="1:16" s="40" customFormat="1" ht="16.5" customHeight="1" thickBot="1" thickTop="1">
      <c r="A24" s="64">
        <v>4</v>
      </c>
      <c r="B24" s="65" t="s">
        <v>33</v>
      </c>
      <c r="C24" s="65">
        <f aca="true" t="shared" si="1" ref="C24:L24">SUM(C25+C27)</f>
        <v>221475.7</v>
      </c>
      <c r="D24" s="65">
        <f t="shared" si="1"/>
        <v>277181.1</v>
      </c>
      <c r="E24" s="65">
        <f>E25+E27</f>
        <v>294206.649</v>
      </c>
      <c r="F24" s="65">
        <f t="shared" si="1"/>
        <v>308015</v>
      </c>
      <c r="G24" s="65">
        <f>G25+G27</f>
        <v>335660.674</v>
      </c>
      <c r="H24" s="65">
        <f t="shared" si="1"/>
        <v>397537.213</v>
      </c>
      <c r="I24" s="65">
        <f t="shared" si="1"/>
        <v>395006</v>
      </c>
      <c r="J24" s="65">
        <f t="shared" si="1"/>
        <v>398879</v>
      </c>
      <c r="K24" s="66">
        <f t="shared" si="1"/>
        <v>385248.2</v>
      </c>
      <c r="L24" s="66">
        <f t="shared" si="1"/>
        <v>380019.8</v>
      </c>
      <c r="M24" s="66">
        <f>SUM(M25+M27)</f>
        <v>341398.8</v>
      </c>
      <c r="N24" s="66">
        <f>SUM(N25+N27)</f>
        <v>333020.4</v>
      </c>
      <c r="O24" s="65">
        <f>SUM(O25+O27)</f>
        <v>334413.5</v>
      </c>
      <c r="P24" s="67">
        <f>SUM(P25+P27)</f>
        <v>335807</v>
      </c>
    </row>
    <row r="25" spans="1:16" s="40" customFormat="1" ht="16.5" customHeight="1" thickTop="1">
      <c r="A25" s="68">
        <v>5</v>
      </c>
      <c r="B25" s="47" t="s">
        <v>34</v>
      </c>
      <c r="C25" s="47">
        <v>204974.1</v>
      </c>
      <c r="D25" s="47">
        <v>221519.3</v>
      </c>
      <c r="E25" s="47">
        <v>233723.31</v>
      </c>
      <c r="F25" s="47">
        <v>248122.5</v>
      </c>
      <c r="G25" s="69">
        <v>270945.529</v>
      </c>
      <c r="H25" s="69">
        <f>296730.013+210</f>
        <v>296940.013</v>
      </c>
      <c r="I25" s="69">
        <v>295006</v>
      </c>
      <c r="J25" s="69">
        <f>295879</f>
        <v>295879</v>
      </c>
      <c r="K25" s="69">
        <v>295248.2</v>
      </c>
      <c r="L25" s="69">
        <v>290019.8</v>
      </c>
      <c r="M25" s="69">
        <v>292398.8</v>
      </c>
      <c r="N25" s="70">
        <v>293020.4</v>
      </c>
      <c r="O25" s="69">
        <v>294413.5</v>
      </c>
      <c r="P25" s="71">
        <v>295807</v>
      </c>
    </row>
    <row r="26" spans="1:16" s="40" customFormat="1" ht="0.75" customHeight="1" hidden="1">
      <c r="A26" s="54"/>
      <c r="B26" s="61" t="s">
        <v>35</v>
      </c>
      <c r="C26" s="61">
        <v>19682</v>
      </c>
      <c r="D26" s="61">
        <v>11186.6</v>
      </c>
      <c r="E26" s="61">
        <v>12000</v>
      </c>
      <c r="F26" s="61">
        <v>12500</v>
      </c>
      <c r="G26" s="56"/>
      <c r="H26" s="56">
        <v>13500</v>
      </c>
      <c r="I26" s="56">
        <v>14000</v>
      </c>
      <c r="J26" s="56">
        <v>14500</v>
      </c>
      <c r="K26" s="57">
        <v>15000</v>
      </c>
      <c r="L26" s="57">
        <v>15000</v>
      </c>
      <c r="M26" s="57">
        <v>15000</v>
      </c>
      <c r="N26" s="57">
        <v>15000</v>
      </c>
      <c r="O26" s="56">
        <v>15000</v>
      </c>
      <c r="P26" s="58">
        <v>15000</v>
      </c>
    </row>
    <row r="27" spans="1:16" s="40" customFormat="1" ht="16.5" customHeight="1" thickBot="1">
      <c r="A27" s="59">
        <v>6</v>
      </c>
      <c r="B27" s="60" t="s">
        <v>36</v>
      </c>
      <c r="C27" s="60">
        <v>16501.6</v>
      </c>
      <c r="D27" s="60">
        <v>55661.8</v>
      </c>
      <c r="E27" s="60">
        <v>60483.339</v>
      </c>
      <c r="F27" s="60">
        <v>59892.5</v>
      </c>
      <c r="G27" s="48">
        <v>64715.145</v>
      </c>
      <c r="H27" s="48">
        <f>96507.2+4300-210</f>
        <v>100597.2</v>
      </c>
      <c r="I27" s="48">
        <v>100000</v>
      </c>
      <c r="J27" s="48">
        <f>100000+3000</f>
        <v>103000</v>
      </c>
      <c r="K27" s="49">
        <v>90000</v>
      </c>
      <c r="L27" s="49">
        <v>90000</v>
      </c>
      <c r="M27" s="49">
        <v>49000</v>
      </c>
      <c r="N27" s="49">
        <v>40000</v>
      </c>
      <c r="O27" s="48">
        <v>40000</v>
      </c>
      <c r="P27" s="50">
        <v>40000</v>
      </c>
    </row>
    <row r="28" spans="1:16" s="40" customFormat="1" ht="18.75" customHeight="1" thickBot="1" thickTop="1">
      <c r="A28" s="64">
        <v>7</v>
      </c>
      <c r="B28" s="65" t="s">
        <v>37</v>
      </c>
      <c r="C28" s="65">
        <f aca="true" t="shared" si="2" ref="C28:L28">C10-C24</f>
        <v>-1332.4000000000233</v>
      </c>
      <c r="D28" s="65">
        <f t="shared" si="2"/>
        <v>8174.700000000012</v>
      </c>
      <c r="E28" s="65">
        <f t="shared" si="2"/>
        <v>-14612.548999999999</v>
      </c>
      <c r="F28" s="65">
        <f t="shared" si="2"/>
        <v>16280.200000000012</v>
      </c>
      <c r="G28" s="72">
        <f t="shared" si="2"/>
        <v>-1613.216000000015</v>
      </c>
      <c r="H28" s="72">
        <f t="shared" si="2"/>
        <v>-46026.899999999965</v>
      </c>
      <c r="I28" s="72">
        <f t="shared" si="2"/>
        <v>-21558.79999999999</v>
      </c>
      <c r="J28" s="72">
        <f t="shared" si="2"/>
        <v>-17720.20000000001</v>
      </c>
      <c r="K28" s="73">
        <f t="shared" si="2"/>
        <v>-11132.5</v>
      </c>
      <c r="L28" s="73">
        <f t="shared" si="2"/>
        <v>-3166.899999999965</v>
      </c>
      <c r="M28" s="73">
        <f>M10-M24</f>
        <v>2333.4000000000233</v>
      </c>
      <c r="N28" s="73">
        <f>N10-N24</f>
        <v>8000.299999999988</v>
      </c>
      <c r="O28" s="72">
        <f>O10-O24</f>
        <v>6833.400000000023</v>
      </c>
      <c r="P28" s="74">
        <f>P10-P24</f>
        <v>6500</v>
      </c>
    </row>
    <row r="29" spans="1:16" s="40" customFormat="1" ht="16.5" customHeight="1" thickBot="1" thickTop="1">
      <c r="A29" s="64">
        <v>8</v>
      </c>
      <c r="B29" s="65" t="s">
        <v>38</v>
      </c>
      <c r="C29" s="65">
        <f aca="true" t="shared" si="3" ref="C29:P29">C30-C45</f>
        <v>1332.4000000000015</v>
      </c>
      <c r="D29" s="65">
        <f t="shared" si="3"/>
        <v>-8174.699999999997</v>
      </c>
      <c r="E29" s="65">
        <f t="shared" si="3"/>
        <v>14612.543</v>
      </c>
      <c r="F29" s="65">
        <f t="shared" si="3"/>
        <v>-16280.199999999993</v>
      </c>
      <c r="G29" s="72">
        <f t="shared" si="3"/>
        <v>1613.199999999997</v>
      </c>
      <c r="H29" s="72">
        <f t="shared" si="3"/>
        <v>46026.94</v>
      </c>
      <c r="I29" s="72">
        <f t="shared" si="3"/>
        <v>21558.799999999996</v>
      </c>
      <c r="J29" s="72">
        <f t="shared" si="3"/>
        <v>17720.149999999998</v>
      </c>
      <c r="K29" s="73">
        <f t="shared" si="3"/>
        <v>11132.500000000004</v>
      </c>
      <c r="L29" s="73">
        <f t="shared" si="3"/>
        <v>3166.9000000000015</v>
      </c>
      <c r="M29" s="73">
        <f t="shared" si="3"/>
        <v>-2333.399999999998</v>
      </c>
      <c r="N29" s="73">
        <f t="shared" si="3"/>
        <v>-8000.299999999999</v>
      </c>
      <c r="O29" s="72">
        <f t="shared" si="3"/>
        <v>-6833.4</v>
      </c>
      <c r="P29" s="74">
        <f t="shared" si="3"/>
        <v>-6500</v>
      </c>
    </row>
    <row r="30" spans="1:16" s="40" customFormat="1" ht="18" customHeight="1" thickBot="1" thickTop="1">
      <c r="A30" s="37">
        <v>9</v>
      </c>
      <c r="B30" s="38" t="s">
        <v>39</v>
      </c>
      <c r="C30" s="38">
        <f>SUM(C32:C43)</f>
        <v>35239</v>
      </c>
      <c r="D30" s="38">
        <f>SUM(D32:D43)-D35</f>
        <v>43599.2</v>
      </c>
      <c r="E30" s="38">
        <f>E32+E34+E43</f>
        <v>28176.249</v>
      </c>
      <c r="F30" s="38">
        <f>F32+F34+F43</f>
        <v>13429.7</v>
      </c>
      <c r="G30" s="38">
        <f aca="true" t="shared" si="4" ref="G30:P30">SUM(G32:G43)</f>
        <v>50887</v>
      </c>
      <c r="H30" s="38">
        <f t="shared" si="4"/>
        <v>55000.04</v>
      </c>
      <c r="I30" s="38">
        <f t="shared" si="4"/>
        <v>33766.799999999996</v>
      </c>
      <c r="J30" s="38">
        <f t="shared" si="4"/>
        <v>34866.7</v>
      </c>
      <c r="K30" s="75">
        <f t="shared" si="4"/>
        <v>29666.800000000003</v>
      </c>
      <c r="L30" s="75">
        <f t="shared" si="4"/>
        <v>23666.7</v>
      </c>
      <c r="M30" s="75">
        <f t="shared" si="4"/>
        <v>21499.9</v>
      </c>
      <c r="N30" s="75">
        <f t="shared" si="4"/>
        <v>13833</v>
      </c>
      <c r="O30" s="65">
        <f t="shared" si="4"/>
        <v>11666.6</v>
      </c>
      <c r="P30" s="67">
        <f t="shared" si="4"/>
        <v>12000</v>
      </c>
    </row>
    <row r="31" spans="1:16" s="40" customFormat="1" ht="2.25" customHeight="1" hidden="1">
      <c r="A31" s="41"/>
      <c r="B31" s="42"/>
      <c r="C31" s="42"/>
      <c r="D31" s="42"/>
      <c r="E31" s="42"/>
      <c r="F31" s="42"/>
      <c r="G31" s="76"/>
      <c r="H31" s="76"/>
      <c r="I31" s="76"/>
      <c r="J31" s="76"/>
      <c r="K31" s="77"/>
      <c r="L31" s="77"/>
      <c r="M31" s="77"/>
      <c r="N31" s="77"/>
      <c r="O31" s="78"/>
      <c r="P31" s="79"/>
    </row>
    <row r="32" spans="1:16" s="40" customFormat="1" ht="15" customHeight="1" thickTop="1">
      <c r="A32" s="80">
        <v>10</v>
      </c>
      <c r="B32" s="81" t="s">
        <v>40</v>
      </c>
      <c r="C32" s="81">
        <v>15000</v>
      </c>
      <c r="D32" s="81">
        <v>10000</v>
      </c>
      <c r="E32" s="81">
        <v>10000</v>
      </c>
      <c r="F32" s="81">
        <v>12000</v>
      </c>
      <c r="G32" s="82">
        <v>20000</v>
      </c>
      <c r="H32" s="82">
        <v>35000.04</v>
      </c>
      <c r="I32" s="82">
        <v>27000</v>
      </c>
      <c r="J32" s="82">
        <v>20000</v>
      </c>
      <c r="K32" s="83">
        <v>20000</v>
      </c>
      <c r="L32" s="84"/>
      <c r="M32" s="84"/>
      <c r="N32" s="84"/>
      <c r="O32" s="85"/>
      <c r="P32" s="86"/>
    </row>
    <row r="33" spans="1:16" s="92" customFormat="1" ht="51.75" customHeight="1">
      <c r="A33" s="55">
        <v>11</v>
      </c>
      <c r="B33" s="87" t="s">
        <v>41</v>
      </c>
      <c r="C33" s="87"/>
      <c r="D33" s="87"/>
      <c r="E33" s="87"/>
      <c r="F33" s="87"/>
      <c r="G33" s="88"/>
      <c r="H33" s="89"/>
      <c r="I33" s="89"/>
      <c r="J33" s="89"/>
      <c r="K33" s="90"/>
      <c r="L33" s="90"/>
      <c r="M33" s="90"/>
      <c r="N33" s="90"/>
      <c r="O33" s="88"/>
      <c r="P33" s="91"/>
    </row>
    <row r="34" spans="1:16" s="40" customFormat="1" ht="13.5" customHeight="1">
      <c r="A34" s="59">
        <v>12</v>
      </c>
      <c r="B34" s="60" t="s">
        <v>42</v>
      </c>
      <c r="C34" s="60">
        <v>1060.2</v>
      </c>
      <c r="D34" s="60">
        <v>7311</v>
      </c>
      <c r="E34" s="60">
        <v>6835.449</v>
      </c>
      <c r="F34" s="60">
        <f>F36</f>
        <v>944.2</v>
      </c>
      <c r="G34" s="53">
        <v>984.8</v>
      </c>
      <c r="H34" s="93"/>
      <c r="I34" s="93"/>
      <c r="J34" s="93"/>
      <c r="K34" s="94"/>
      <c r="L34" s="94"/>
      <c r="M34" s="94"/>
      <c r="N34" s="94"/>
      <c r="O34" s="53"/>
      <c r="P34" s="95"/>
    </row>
    <row r="35" spans="1:16" s="92" customFormat="1" ht="50.25" customHeight="1">
      <c r="A35" s="55">
        <v>13</v>
      </c>
      <c r="B35" s="87" t="s">
        <v>43</v>
      </c>
      <c r="C35" s="87"/>
      <c r="D35" s="87">
        <v>6005.5</v>
      </c>
      <c r="E35" s="87"/>
      <c r="F35" s="87"/>
      <c r="G35" s="89"/>
      <c r="H35" s="89"/>
      <c r="I35" s="89"/>
      <c r="J35" s="89"/>
      <c r="K35" s="90"/>
      <c r="L35" s="90"/>
      <c r="M35" s="90"/>
      <c r="N35" s="90"/>
      <c r="O35" s="96"/>
      <c r="P35" s="97"/>
    </row>
    <row r="36" spans="1:16" s="92" customFormat="1" ht="60" customHeight="1">
      <c r="A36" s="55">
        <v>14</v>
      </c>
      <c r="B36" s="87" t="s">
        <v>44</v>
      </c>
      <c r="C36" s="87"/>
      <c r="D36" s="87"/>
      <c r="E36" s="87">
        <v>5323.7</v>
      </c>
      <c r="F36" s="87">
        <v>944.2</v>
      </c>
      <c r="G36" s="89"/>
      <c r="H36" s="89"/>
      <c r="I36" s="89"/>
      <c r="J36" s="89"/>
      <c r="K36" s="90"/>
      <c r="L36" s="90"/>
      <c r="M36" s="90"/>
      <c r="N36" s="90"/>
      <c r="O36" s="88"/>
      <c r="P36" s="91"/>
    </row>
    <row r="37" spans="1:16" s="40" customFormat="1" ht="13.5" customHeight="1">
      <c r="A37" s="55">
        <v>15</v>
      </c>
      <c r="B37" s="52" t="s">
        <v>45</v>
      </c>
      <c r="C37" s="52"/>
      <c r="D37" s="52"/>
      <c r="E37" s="52"/>
      <c r="F37" s="52"/>
      <c r="G37" s="93"/>
      <c r="H37" s="93"/>
      <c r="I37" s="93"/>
      <c r="J37" s="93"/>
      <c r="K37" s="94"/>
      <c r="L37" s="94"/>
      <c r="M37" s="94"/>
      <c r="N37" s="94"/>
      <c r="O37" s="78"/>
      <c r="P37" s="79"/>
    </row>
    <row r="38" spans="1:16" s="40" customFormat="1" ht="23.25" customHeight="1">
      <c r="A38" s="55">
        <v>16</v>
      </c>
      <c r="B38" s="52" t="s">
        <v>46</v>
      </c>
      <c r="C38" s="52"/>
      <c r="D38" s="52"/>
      <c r="E38" s="52"/>
      <c r="F38" s="52"/>
      <c r="G38" s="93"/>
      <c r="H38" s="93"/>
      <c r="I38" s="93"/>
      <c r="J38" s="93"/>
      <c r="K38" s="94"/>
      <c r="L38" s="94"/>
      <c r="M38" s="94"/>
      <c r="N38" s="94"/>
      <c r="O38" s="53"/>
      <c r="P38" s="95"/>
    </row>
    <row r="39" spans="1:16" s="92" customFormat="1" ht="14.25" customHeight="1">
      <c r="A39" s="55">
        <v>17</v>
      </c>
      <c r="B39" s="87" t="s">
        <v>47</v>
      </c>
      <c r="C39" s="87">
        <v>16510</v>
      </c>
      <c r="D39" s="87"/>
      <c r="E39" s="87"/>
      <c r="F39" s="87"/>
      <c r="G39" s="89"/>
      <c r="H39" s="89"/>
      <c r="I39" s="89"/>
      <c r="J39" s="89"/>
      <c r="K39" s="90"/>
      <c r="L39" s="90"/>
      <c r="M39" s="90"/>
      <c r="N39" s="90"/>
      <c r="O39" s="88"/>
      <c r="P39" s="91"/>
    </row>
    <row r="40" spans="1:16" s="40" customFormat="1" ht="42.75" customHeight="1">
      <c r="A40" s="55">
        <v>18</v>
      </c>
      <c r="B40" s="52" t="s">
        <v>48</v>
      </c>
      <c r="C40" s="52"/>
      <c r="D40" s="52"/>
      <c r="E40" s="52"/>
      <c r="F40" s="52"/>
      <c r="G40" s="93"/>
      <c r="H40" s="93"/>
      <c r="I40" s="93"/>
      <c r="J40" s="93"/>
      <c r="K40" s="94"/>
      <c r="L40" s="94"/>
      <c r="M40" s="94"/>
      <c r="N40" s="94"/>
      <c r="O40" s="53"/>
      <c r="P40" s="95"/>
    </row>
    <row r="41" spans="1:16" s="92" customFormat="1" ht="48.75" customHeight="1">
      <c r="A41" s="59">
        <v>19</v>
      </c>
      <c r="B41" s="98" t="s">
        <v>49</v>
      </c>
      <c r="C41" s="99"/>
      <c r="D41" s="99"/>
      <c r="E41" s="99"/>
      <c r="F41" s="87"/>
      <c r="G41" s="89"/>
      <c r="H41" s="89"/>
      <c r="I41" s="89"/>
      <c r="J41" s="89"/>
      <c r="K41" s="90"/>
      <c r="L41" s="90"/>
      <c r="M41" s="90"/>
      <c r="N41" s="90"/>
      <c r="O41" s="96"/>
      <c r="P41" s="97"/>
    </row>
    <row r="42" spans="1:16" s="40" customFormat="1" ht="16.5" customHeight="1">
      <c r="A42" s="59">
        <v>20</v>
      </c>
      <c r="B42" s="52" t="s">
        <v>50</v>
      </c>
      <c r="C42" s="60"/>
      <c r="D42" s="60"/>
      <c r="E42" s="60"/>
      <c r="F42" s="52"/>
      <c r="G42" s="93"/>
      <c r="H42" s="93"/>
      <c r="I42" s="93"/>
      <c r="J42" s="93"/>
      <c r="K42" s="94"/>
      <c r="L42" s="94"/>
      <c r="M42" s="94"/>
      <c r="N42" s="94"/>
      <c r="O42" s="53"/>
      <c r="P42" s="95"/>
    </row>
    <row r="43" spans="1:16" s="40" customFormat="1" ht="15.75" customHeight="1">
      <c r="A43" s="55">
        <v>21</v>
      </c>
      <c r="B43" s="52" t="s">
        <v>51</v>
      </c>
      <c r="C43" s="52">
        <v>2668.8</v>
      </c>
      <c r="D43" s="52">
        <v>26288.2</v>
      </c>
      <c r="E43" s="52">
        <f aca="true" t="shared" si="5" ref="E43:P43">E44</f>
        <v>11340.8</v>
      </c>
      <c r="F43" s="100">
        <f t="shared" si="5"/>
        <v>485.5</v>
      </c>
      <c r="G43" s="56">
        <f t="shared" si="5"/>
        <v>29902.2</v>
      </c>
      <c r="H43" s="56">
        <f t="shared" si="5"/>
        <v>20000</v>
      </c>
      <c r="I43" s="56">
        <f t="shared" si="5"/>
        <v>6766.799999999998</v>
      </c>
      <c r="J43" s="56">
        <f t="shared" si="5"/>
        <v>14866.7</v>
      </c>
      <c r="K43" s="56">
        <f t="shared" si="5"/>
        <v>9666.800000000001</v>
      </c>
      <c r="L43" s="56">
        <f t="shared" si="5"/>
        <v>23666.7</v>
      </c>
      <c r="M43" s="56">
        <f t="shared" si="5"/>
        <v>21499.9</v>
      </c>
      <c r="N43" s="56">
        <f t="shared" si="5"/>
        <v>13833</v>
      </c>
      <c r="O43" s="56">
        <f t="shared" si="5"/>
        <v>11666.6</v>
      </c>
      <c r="P43" s="58">
        <f t="shared" si="5"/>
        <v>12000</v>
      </c>
    </row>
    <row r="44" spans="1:16" s="92" customFormat="1" ht="15" customHeight="1" thickBot="1">
      <c r="A44" s="54">
        <v>22</v>
      </c>
      <c r="B44" s="101" t="s">
        <v>52</v>
      </c>
      <c r="C44" s="101"/>
      <c r="D44" s="101"/>
      <c r="E44" s="101">
        <v>11340.8</v>
      </c>
      <c r="F44" s="102">
        <v>485.5</v>
      </c>
      <c r="G44" s="103">
        <v>29902.2</v>
      </c>
      <c r="H44" s="103">
        <v>20000</v>
      </c>
      <c r="I44" s="103">
        <f>20000-2400+0.1-10000-833.3</f>
        <v>6766.799999999998</v>
      </c>
      <c r="J44" s="103">
        <f>17700-5000+3000-833.3</f>
        <v>14866.7</v>
      </c>
      <c r="K44" s="104">
        <f>10000-1499.9+2000-833.3</f>
        <v>9666.800000000001</v>
      </c>
      <c r="L44" s="104">
        <f>25000-500-833.3</f>
        <v>23666.7</v>
      </c>
      <c r="M44" s="104">
        <f>22333.2-833.3</f>
        <v>21499.9</v>
      </c>
      <c r="N44" s="104">
        <f>14666.7-833.7</f>
        <v>13833</v>
      </c>
      <c r="O44" s="96">
        <v>11666.6</v>
      </c>
      <c r="P44" s="97">
        <v>12000</v>
      </c>
    </row>
    <row r="45" spans="1:16" s="40" customFormat="1" ht="19.5" customHeight="1" thickBot="1" thickTop="1">
      <c r="A45" s="105">
        <v>23</v>
      </c>
      <c r="B45" s="106" t="s">
        <v>53</v>
      </c>
      <c r="C45" s="107">
        <f>SUM(C47:C56)</f>
        <v>33906.6</v>
      </c>
      <c r="D45" s="107">
        <f>SUM(D47:D57)-D50</f>
        <v>51773.899999999994</v>
      </c>
      <c r="E45" s="107">
        <f>SUM(E47:E56)-E51</f>
        <v>13563.706</v>
      </c>
      <c r="F45" s="107">
        <f>SUM(F47:F56)-F51</f>
        <v>29709.899999999994</v>
      </c>
      <c r="G45" s="107">
        <f>SUM(G47:G49)+G56</f>
        <v>49273.8</v>
      </c>
      <c r="H45" s="107">
        <f aca="true" t="shared" si="6" ref="H45:P45">SUM(H47:H56)</f>
        <v>8973.1</v>
      </c>
      <c r="I45" s="106">
        <f t="shared" si="6"/>
        <v>12208</v>
      </c>
      <c r="J45" s="106">
        <f t="shared" si="6"/>
        <v>17146.55</v>
      </c>
      <c r="K45" s="108">
        <f t="shared" si="6"/>
        <v>18534.3</v>
      </c>
      <c r="L45" s="108">
        <f t="shared" si="6"/>
        <v>20499.8</v>
      </c>
      <c r="M45" s="108">
        <f t="shared" si="6"/>
        <v>23833.3</v>
      </c>
      <c r="N45" s="108">
        <f t="shared" si="6"/>
        <v>21833.3</v>
      </c>
      <c r="O45" s="106">
        <f t="shared" si="6"/>
        <v>18500</v>
      </c>
      <c r="P45" s="109">
        <f t="shared" si="6"/>
        <v>18500</v>
      </c>
    </row>
    <row r="46" spans="1:16" s="40" customFormat="1" ht="12.75" hidden="1" thickBot="1">
      <c r="A46" s="110"/>
      <c r="B46" s="42"/>
      <c r="C46" s="111"/>
      <c r="D46" s="111"/>
      <c r="E46" s="111"/>
      <c r="F46" s="111"/>
      <c r="G46" s="112"/>
      <c r="H46" s="112"/>
      <c r="I46" s="112"/>
      <c r="J46" s="112"/>
      <c r="K46" s="113"/>
      <c r="L46" s="113"/>
      <c r="M46" s="113"/>
      <c r="N46" s="113"/>
      <c r="O46" s="78"/>
      <c r="P46" s="79"/>
    </row>
    <row r="47" spans="1:16" s="40" customFormat="1" ht="15.75" customHeight="1" thickTop="1">
      <c r="A47" s="80">
        <v>24</v>
      </c>
      <c r="B47" s="81" t="s">
        <v>54</v>
      </c>
      <c r="C47" s="114">
        <v>9644.4</v>
      </c>
      <c r="D47" s="114">
        <v>8770</v>
      </c>
      <c r="E47" s="114">
        <v>8675.91</v>
      </c>
      <c r="F47" s="114">
        <v>18336.1</v>
      </c>
      <c r="G47" s="69">
        <v>6651.9</v>
      </c>
      <c r="H47" s="69">
        <v>7833.4</v>
      </c>
      <c r="I47" s="69">
        <v>11166.7</v>
      </c>
      <c r="J47" s="69">
        <v>16166.8</v>
      </c>
      <c r="K47" s="70">
        <v>18166.6</v>
      </c>
      <c r="L47" s="70">
        <v>20499.8</v>
      </c>
      <c r="M47" s="70">
        <v>23833.3</v>
      </c>
      <c r="N47" s="70">
        <v>21833.3</v>
      </c>
      <c r="O47" s="82">
        <v>18500</v>
      </c>
      <c r="P47" s="115">
        <v>18500</v>
      </c>
    </row>
    <row r="48" spans="1:16" s="92" customFormat="1" ht="50.25" customHeight="1">
      <c r="A48" s="116">
        <v>25</v>
      </c>
      <c r="B48" s="87" t="s">
        <v>55</v>
      </c>
      <c r="C48" s="117"/>
      <c r="D48" s="117"/>
      <c r="E48" s="117"/>
      <c r="F48" s="117"/>
      <c r="G48" s="118"/>
      <c r="H48" s="118"/>
      <c r="I48" s="118"/>
      <c r="J48" s="118"/>
      <c r="K48" s="119"/>
      <c r="L48" s="119"/>
      <c r="M48" s="119"/>
      <c r="N48" s="119"/>
      <c r="O48" s="96"/>
      <c r="P48" s="97"/>
    </row>
    <row r="49" spans="1:16" s="40" customFormat="1" ht="12.75" customHeight="1">
      <c r="A49" s="59">
        <v>26</v>
      </c>
      <c r="B49" s="60" t="s">
        <v>56</v>
      </c>
      <c r="C49" s="120">
        <v>1956.6</v>
      </c>
      <c r="D49" s="120">
        <v>6068.8</v>
      </c>
      <c r="E49" s="120">
        <v>4887.796</v>
      </c>
      <c r="F49" s="120">
        <f>4996.1+1377.7</f>
        <v>6373.8</v>
      </c>
      <c r="G49" s="56">
        <f>973+256.4</f>
        <v>1229.4</v>
      </c>
      <c r="H49" s="56">
        <v>1139.7</v>
      </c>
      <c r="I49" s="56">
        <v>1041.3</v>
      </c>
      <c r="J49" s="56">
        <v>979.75</v>
      </c>
      <c r="K49" s="57">
        <v>367.7</v>
      </c>
      <c r="L49" s="57">
        <v>0</v>
      </c>
      <c r="M49" s="57">
        <v>0</v>
      </c>
      <c r="N49" s="57">
        <v>0</v>
      </c>
      <c r="O49" s="53">
        <v>0</v>
      </c>
      <c r="P49" s="95">
        <v>0</v>
      </c>
    </row>
    <row r="50" spans="1:16" s="92" customFormat="1" ht="51" customHeight="1">
      <c r="A50" s="55">
        <v>27</v>
      </c>
      <c r="B50" s="87" t="s">
        <v>57</v>
      </c>
      <c r="C50" s="121"/>
      <c r="D50" s="121">
        <v>4026.8</v>
      </c>
      <c r="E50" s="121"/>
      <c r="F50" s="121"/>
      <c r="G50" s="122"/>
      <c r="H50" s="122"/>
      <c r="I50" s="122"/>
      <c r="J50" s="122"/>
      <c r="K50" s="119"/>
      <c r="L50" s="119"/>
      <c r="M50" s="119"/>
      <c r="N50" s="119"/>
      <c r="O50" s="96"/>
      <c r="P50" s="97"/>
    </row>
    <row r="51" spans="1:16" s="92" customFormat="1" ht="65.25" customHeight="1">
      <c r="A51" s="55">
        <v>28</v>
      </c>
      <c r="B51" s="87" t="s">
        <v>58</v>
      </c>
      <c r="C51" s="121"/>
      <c r="D51" s="121"/>
      <c r="E51" s="121">
        <v>2994.1</v>
      </c>
      <c r="F51" s="121">
        <v>4996.14</v>
      </c>
      <c r="G51" s="122">
        <v>256.4</v>
      </c>
      <c r="H51" s="122"/>
      <c r="I51" s="122"/>
      <c r="J51" s="122"/>
      <c r="K51" s="119"/>
      <c r="L51" s="119"/>
      <c r="M51" s="119"/>
      <c r="N51" s="119"/>
      <c r="O51" s="88"/>
      <c r="P51" s="91"/>
    </row>
    <row r="52" spans="1:16" s="40" customFormat="1" ht="15" customHeight="1">
      <c r="A52" s="55">
        <v>29</v>
      </c>
      <c r="B52" s="52" t="s">
        <v>59</v>
      </c>
      <c r="C52" s="123"/>
      <c r="D52" s="123"/>
      <c r="E52" s="123"/>
      <c r="F52" s="123"/>
      <c r="G52" s="124"/>
      <c r="H52" s="124"/>
      <c r="I52" s="124"/>
      <c r="J52" s="124"/>
      <c r="K52" s="125"/>
      <c r="L52" s="125"/>
      <c r="M52" s="125"/>
      <c r="N52" s="125"/>
      <c r="O52" s="78"/>
      <c r="P52" s="79"/>
    </row>
    <row r="53" spans="1:16" s="40" customFormat="1" ht="15.75" customHeight="1">
      <c r="A53" s="55">
        <v>30</v>
      </c>
      <c r="B53" s="52" t="s">
        <v>60</v>
      </c>
      <c r="C53" s="52"/>
      <c r="D53" s="52"/>
      <c r="E53" s="52"/>
      <c r="F53" s="52">
        <v>5000</v>
      </c>
      <c r="G53" s="126"/>
      <c r="H53" s="53"/>
      <c r="I53" s="53"/>
      <c r="J53" s="53"/>
      <c r="K53" s="53"/>
      <c r="L53" s="127"/>
      <c r="M53" s="127"/>
      <c r="N53" s="128"/>
      <c r="O53" s="53"/>
      <c r="P53" s="95"/>
    </row>
    <row r="54" spans="1:16" s="40" customFormat="1" ht="24.75" customHeight="1">
      <c r="A54" s="55">
        <v>31</v>
      </c>
      <c r="B54" s="52" t="s">
        <v>61</v>
      </c>
      <c r="C54" s="129"/>
      <c r="D54" s="129"/>
      <c r="E54" s="129"/>
      <c r="F54" s="129"/>
      <c r="G54" s="93"/>
      <c r="H54" s="93"/>
      <c r="I54" s="93"/>
      <c r="J54" s="93"/>
      <c r="K54" s="94"/>
      <c r="L54" s="94"/>
      <c r="M54" s="94"/>
      <c r="N54" s="94"/>
      <c r="O54" s="78"/>
      <c r="P54" s="79"/>
    </row>
    <row r="55" spans="1:16" s="92" customFormat="1" ht="51" customHeight="1">
      <c r="A55" s="55">
        <v>32</v>
      </c>
      <c r="B55" s="87" t="s">
        <v>62</v>
      </c>
      <c r="C55" s="130"/>
      <c r="D55" s="130"/>
      <c r="E55" s="130"/>
      <c r="F55" s="130"/>
      <c r="G55" s="89"/>
      <c r="H55" s="89"/>
      <c r="I55" s="89"/>
      <c r="J55" s="89"/>
      <c r="K55" s="90"/>
      <c r="L55" s="90"/>
      <c r="M55" s="90"/>
      <c r="N55" s="90"/>
      <c r="O55" s="88"/>
      <c r="P55" s="91"/>
    </row>
    <row r="56" spans="1:16" s="40" customFormat="1" ht="14.25" customHeight="1">
      <c r="A56" s="59">
        <v>33</v>
      </c>
      <c r="B56" s="60" t="s">
        <v>63</v>
      </c>
      <c r="C56" s="60">
        <v>22305.6</v>
      </c>
      <c r="D56" s="60">
        <v>36785.1</v>
      </c>
      <c r="E56" s="131"/>
      <c r="F56" s="131"/>
      <c r="G56" s="62">
        <f>41356.4+36.1</f>
        <v>41392.5</v>
      </c>
      <c r="H56" s="132"/>
      <c r="I56" s="132"/>
      <c r="J56" s="132"/>
      <c r="K56" s="133"/>
      <c r="L56" s="133"/>
      <c r="M56" s="133"/>
      <c r="N56" s="133"/>
      <c r="O56" s="62"/>
      <c r="P56" s="63"/>
    </row>
    <row r="57" spans="1:16" s="40" customFormat="1" ht="15" customHeight="1">
      <c r="A57" s="134">
        <v>34</v>
      </c>
      <c r="B57" s="129" t="s">
        <v>64</v>
      </c>
      <c r="C57" s="129"/>
      <c r="D57" s="129">
        <v>150</v>
      </c>
      <c r="E57" s="129">
        <v>214</v>
      </c>
      <c r="F57" s="129">
        <v>56.3</v>
      </c>
      <c r="G57" s="135">
        <v>728.4</v>
      </c>
      <c r="H57" s="93"/>
      <c r="I57" s="93"/>
      <c r="J57" s="93"/>
      <c r="K57" s="94"/>
      <c r="L57" s="94"/>
      <c r="M57" s="94"/>
      <c r="N57" s="94"/>
      <c r="O57" s="53"/>
      <c r="P57" s="95"/>
    </row>
    <row r="58" spans="1:16" s="40" customFormat="1" ht="14.25" customHeight="1">
      <c r="A58" s="55">
        <v>35</v>
      </c>
      <c r="B58" s="52" t="s">
        <v>65</v>
      </c>
      <c r="C58" s="52"/>
      <c r="D58" s="52">
        <v>273.8</v>
      </c>
      <c r="E58" s="52">
        <v>56.8</v>
      </c>
      <c r="F58" s="52">
        <v>46.25</v>
      </c>
      <c r="G58" s="53">
        <v>19.3</v>
      </c>
      <c r="H58" s="93"/>
      <c r="I58" s="93"/>
      <c r="J58" s="93"/>
      <c r="K58" s="94"/>
      <c r="L58" s="94"/>
      <c r="M58" s="94"/>
      <c r="N58" s="94"/>
      <c r="O58" s="85"/>
      <c r="P58" s="95"/>
    </row>
    <row r="59" spans="1:16" s="40" customFormat="1" ht="18" customHeight="1">
      <c r="A59" s="134">
        <v>36</v>
      </c>
      <c r="B59" s="129" t="s">
        <v>66</v>
      </c>
      <c r="C59" s="129">
        <f>SUM(C60:C64)</f>
        <v>53235.9</v>
      </c>
      <c r="D59" s="129">
        <f>SUM(D61:D67)</f>
        <v>58212</v>
      </c>
      <c r="E59" s="129">
        <v>57768.4</v>
      </c>
      <c r="F59" s="129">
        <f>F61+F62+F67+F64</f>
        <v>45679.636000000006</v>
      </c>
      <c r="G59" s="129">
        <v>58028.4</v>
      </c>
      <c r="H59" s="129">
        <f aca="true" t="shared" si="7" ref="H59:P59">H61+H62</f>
        <v>84055.27600000001</v>
      </c>
      <c r="I59" s="129">
        <f t="shared" si="7"/>
        <v>98847.27600000001</v>
      </c>
      <c r="J59" s="129">
        <f t="shared" si="7"/>
        <v>101700.72600000001</v>
      </c>
      <c r="K59" s="129">
        <f t="shared" si="7"/>
        <v>103166.42600000002</v>
      </c>
      <c r="L59" s="129">
        <f t="shared" si="7"/>
        <v>82666.62600000002</v>
      </c>
      <c r="M59" s="129">
        <f t="shared" si="7"/>
        <v>58833.32600000001</v>
      </c>
      <c r="N59" s="129">
        <f t="shared" si="7"/>
        <v>37000.026000000005</v>
      </c>
      <c r="O59" s="129">
        <f t="shared" si="7"/>
        <v>18500.026000000005</v>
      </c>
      <c r="P59" s="136">
        <f t="shared" si="7"/>
        <v>0.02600000000535374</v>
      </c>
    </row>
    <row r="60" spans="1:16" s="40" customFormat="1" ht="14.25" customHeight="1">
      <c r="A60" s="54">
        <v>37</v>
      </c>
      <c r="B60" s="61" t="s">
        <v>67</v>
      </c>
      <c r="C60" s="61"/>
      <c r="D60" s="61"/>
      <c r="E60" s="61"/>
      <c r="F60" s="61"/>
      <c r="G60" s="137"/>
      <c r="H60" s="137"/>
      <c r="I60" s="137"/>
      <c r="J60" s="137"/>
      <c r="K60" s="138"/>
      <c r="L60" s="138"/>
      <c r="M60" s="138"/>
      <c r="N60" s="138"/>
      <c r="O60" s="78"/>
      <c r="P60" s="79"/>
    </row>
    <row r="61" spans="1:16" s="40" customFormat="1" ht="13.5" customHeight="1">
      <c r="A61" s="59">
        <v>38</v>
      </c>
      <c r="B61" s="60" t="s">
        <v>68</v>
      </c>
      <c r="C61" s="60">
        <v>45216.4</v>
      </c>
      <c r="D61" s="60">
        <f>45216.4+10000-8770-273.8</f>
        <v>46172.6</v>
      </c>
      <c r="E61" s="60">
        <v>47553.4</v>
      </c>
      <c r="F61" s="60">
        <f aca="true" t="shared" si="8" ref="F61:P61">E61+F32-F47-F58</f>
        <v>41171.05</v>
      </c>
      <c r="G61" s="60">
        <f>F61+G32-G47-G58</f>
        <v>54499.85</v>
      </c>
      <c r="H61" s="60">
        <f t="shared" si="8"/>
        <v>81666.49</v>
      </c>
      <c r="I61" s="60">
        <f t="shared" si="8"/>
        <v>97499.79000000001</v>
      </c>
      <c r="J61" s="60">
        <f t="shared" si="8"/>
        <v>101332.99</v>
      </c>
      <c r="K61" s="60">
        <f t="shared" si="8"/>
        <v>103166.39000000001</v>
      </c>
      <c r="L61" s="60">
        <f t="shared" si="8"/>
        <v>82666.59000000001</v>
      </c>
      <c r="M61" s="60">
        <f t="shared" si="8"/>
        <v>58833.29000000001</v>
      </c>
      <c r="N61" s="60">
        <f t="shared" si="8"/>
        <v>36999.990000000005</v>
      </c>
      <c r="O61" s="60">
        <f t="shared" si="8"/>
        <v>18499.990000000005</v>
      </c>
      <c r="P61" s="139">
        <f t="shared" si="8"/>
        <v>-0.00999999999476131</v>
      </c>
    </row>
    <row r="62" spans="1:16" s="40" customFormat="1" ht="14.25" customHeight="1">
      <c r="A62" s="55">
        <v>39</v>
      </c>
      <c r="B62" s="52" t="s">
        <v>69</v>
      </c>
      <c r="C62" s="52">
        <v>7161.3</v>
      </c>
      <c r="D62" s="52">
        <v>6274.8</v>
      </c>
      <c r="E62" s="52">
        <v>5679.046</v>
      </c>
      <c r="F62" s="52">
        <f>E62-F49+F51-F57</f>
        <v>4245.086</v>
      </c>
      <c r="G62" s="52">
        <f>F62+G34-G49+G51-G57</f>
        <v>3528.4860000000003</v>
      </c>
      <c r="H62" s="52">
        <f aca="true" t="shared" si="9" ref="H62:P62">G62-H49+H51-H57</f>
        <v>2388.786</v>
      </c>
      <c r="I62" s="52">
        <f t="shared" si="9"/>
        <v>1347.486</v>
      </c>
      <c r="J62" s="52">
        <f t="shared" si="9"/>
        <v>367.7360000000001</v>
      </c>
      <c r="K62" s="52">
        <f t="shared" si="9"/>
        <v>0.03600000000011505</v>
      </c>
      <c r="L62" s="52">
        <f t="shared" si="9"/>
        <v>0.03600000000011505</v>
      </c>
      <c r="M62" s="52">
        <f t="shared" si="9"/>
        <v>0.03600000000011505</v>
      </c>
      <c r="N62" s="52">
        <f t="shared" si="9"/>
        <v>0.03600000000011505</v>
      </c>
      <c r="O62" s="52">
        <f t="shared" si="9"/>
        <v>0.03600000000011505</v>
      </c>
      <c r="P62" s="140">
        <f t="shared" si="9"/>
        <v>0.03600000000011505</v>
      </c>
    </row>
    <row r="63" spans="1:16" s="40" customFormat="1" ht="14.25" customHeight="1">
      <c r="A63" s="59">
        <v>40</v>
      </c>
      <c r="B63" s="60" t="s">
        <v>70</v>
      </c>
      <c r="C63" s="60"/>
      <c r="D63" s="60"/>
      <c r="E63" s="60"/>
      <c r="F63" s="52"/>
      <c r="G63" s="93"/>
      <c r="H63" s="93"/>
      <c r="I63" s="93"/>
      <c r="J63" s="93"/>
      <c r="K63" s="94"/>
      <c r="L63" s="94"/>
      <c r="M63" s="94"/>
      <c r="N63" s="94"/>
      <c r="O63" s="53"/>
      <c r="P63" s="95"/>
    </row>
    <row r="64" spans="1:16" s="40" customFormat="1" ht="15" customHeight="1">
      <c r="A64" s="59">
        <v>41</v>
      </c>
      <c r="B64" s="60" t="s">
        <v>71</v>
      </c>
      <c r="C64" s="60">
        <v>858.2</v>
      </c>
      <c r="D64" s="60">
        <v>3785.9</v>
      </c>
      <c r="E64" s="60">
        <v>227.65</v>
      </c>
      <c r="F64" s="52">
        <v>7.1</v>
      </c>
      <c r="G64" s="52"/>
      <c r="H64" s="52"/>
      <c r="I64" s="56"/>
      <c r="J64" s="56"/>
      <c r="K64" s="57"/>
      <c r="L64" s="57"/>
      <c r="M64" s="57"/>
      <c r="N64" s="57"/>
      <c r="O64" s="78"/>
      <c r="P64" s="79"/>
    </row>
    <row r="65" spans="1:16" s="92" customFormat="1" ht="36">
      <c r="A65" s="55">
        <v>42</v>
      </c>
      <c r="B65" s="87" t="s">
        <v>72</v>
      </c>
      <c r="C65" s="87"/>
      <c r="D65" s="87"/>
      <c r="E65" s="87"/>
      <c r="F65" s="87"/>
      <c r="G65" s="89"/>
      <c r="H65" s="89"/>
      <c r="I65" s="89"/>
      <c r="J65" s="89"/>
      <c r="K65" s="90"/>
      <c r="L65" s="90"/>
      <c r="M65" s="90"/>
      <c r="N65" s="90"/>
      <c r="O65" s="88"/>
      <c r="P65" s="91"/>
    </row>
    <row r="66" spans="1:16" s="92" customFormat="1" ht="36.75" customHeight="1">
      <c r="A66" s="55">
        <v>43</v>
      </c>
      <c r="B66" s="87" t="s">
        <v>73</v>
      </c>
      <c r="C66" s="87"/>
      <c r="D66" s="87"/>
      <c r="E66" s="87"/>
      <c r="F66" s="87"/>
      <c r="G66" s="89"/>
      <c r="H66" s="89"/>
      <c r="I66" s="89"/>
      <c r="J66" s="89"/>
      <c r="K66" s="90"/>
      <c r="L66" s="90"/>
      <c r="M66" s="90"/>
      <c r="N66" s="90"/>
      <c r="O66" s="96"/>
      <c r="P66" s="97"/>
    </row>
    <row r="67" spans="1:16" s="40" customFormat="1" ht="48" customHeight="1">
      <c r="A67" s="141">
        <v>44</v>
      </c>
      <c r="B67" s="52" t="s">
        <v>74</v>
      </c>
      <c r="C67" s="52"/>
      <c r="D67" s="52">
        <f>SUM(D68:D71)</f>
        <v>1978.7</v>
      </c>
      <c r="E67" s="52">
        <f>SUM(E68:E71)</f>
        <v>4308.2</v>
      </c>
      <c r="F67" s="52">
        <f>SUM(F68:F71)</f>
        <v>256.4</v>
      </c>
      <c r="G67" s="93"/>
      <c r="H67" s="93"/>
      <c r="I67" s="93"/>
      <c r="J67" s="93"/>
      <c r="K67" s="94"/>
      <c r="L67" s="94"/>
      <c r="M67" s="94"/>
      <c r="N67" s="94"/>
      <c r="O67" s="53"/>
      <c r="P67" s="95"/>
    </row>
    <row r="68" spans="1:16" s="40" customFormat="1" ht="14.25" customHeight="1">
      <c r="A68" s="142"/>
      <c r="B68" s="143" t="s">
        <v>75</v>
      </c>
      <c r="C68" s="47"/>
      <c r="D68" s="47"/>
      <c r="E68" s="47"/>
      <c r="F68" s="47"/>
      <c r="G68" s="137"/>
      <c r="H68" s="137"/>
      <c r="I68" s="137"/>
      <c r="J68" s="137"/>
      <c r="K68" s="138"/>
      <c r="L68" s="138"/>
      <c r="M68" s="138"/>
      <c r="N68" s="138"/>
      <c r="O68" s="78"/>
      <c r="P68" s="79"/>
    </row>
    <row r="69" spans="1:16" s="40" customFormat="1" ht="14.25" customHeight="1">
      <c r="A69" s="142"/>
      <c r="B69" s="60" t="s">
        <v>76</v>
      </c>
      <c r="C69" s="60"/>
      <c r="D69" s="60">
        <v>1978.7</v>
      </c>
      <c r="E69" s="60">
        <v>4308.2</v>
      </c>
      <c r="F69" s="60">
        <v>256.4</v>
      </c>
      <c r="G69" s="132"/>
      <c r="H69" s="132"/>
      <c r="I69" s="132"/>
      <c r="J69" s="132"/>
      <c r="K69" s="133"/>
      <c r="L69" s="133"/>
      <c r="M69" s="133"/>
      <c r="N69" s="133"/>
      <c r="O69" s="53"/>
      <c r="P69" s="95"/>
    </row>
    <row r="70" spans="1:16" s="40" customFormat="1" ht="15.75" customHeight="1" hidden="1">
      <c r="A70" s="142"/>
      <c r="B70" s="52" t="s">
        <v>77</v>
      </c>
      <c r="C70" s="52"/>
      <c r="D70" s="52"/>
      <c r="E70" s="52"/>
      <c r="F70" s="52"/>
      <c r="G70" s="93"/>
      <c r="H70" s="93"/>
      <c r="I70" s="93"/>
      <c r="J70" s="93"/>
      <c r="K70" s="94"/>
      <c r="L70" s="94"/>
      <c r="M70" s="94"/>
      <c r="N70" s="94"/>
      <c r="O70" s="78"/>
      <c r="P70" s="79"/>
    </row>
    <row r="71" spans="1:16" s="40" customFormat="1" ht="12.75" customHeight="1">
      <c r="A71" s="144"/>
      <c r="B71" s="52" t="s">
        <v>78</v>
      </c>
      <c r="C71" s="52"/>
      <c r="D71" s="52"/>
      <c r="E71" s="52"/>
      <c r="F71" s="52"/>
      <c r="G71" s="93"/>
      <c r="H71" s="93"/>
      <c r="I71" s="93"/>
      <c r="J71" s="93"/>
      <c r="K71" s="94"/>
      <c r="L71" s="94"/>
      <c r="M71" s="94"/>
      <c r="N71" s="94"/>
      <c r="O71" s="78"/>
      <c r="P71" s="79"/>
    </row>
    <row r="72" spans="1:16" s="40" customFormat="1" ht="24" customHeight="1" hidden="1">
      <c r="A72" s="134">
        <v>34</v>
      </c>
      <c r="B72" s="129" t="s">
        <v>79</v>
      </c>
      <c r="C72" s="129">
        <f aca="true" t="shared" si="10" ref="C72:N72">C59/C10*100</f>
        <v>24.182384837512657</v>
      </c>
      <c r="D72" s="129">
        <f t="shared" si="10"/>
        <v>20.39979562356889</v>
      </c>
      <c r="E72" s="129">
        <f t="shared" si="10"/>
        <v>20.661523258180342</v>
      </c>
      <c r="F72" s="129">
        <f t="shared" si="10"/>
        <v>14.085819339910058</v>
      </c>
      <c r="G72" s="129">
        <f t="shared" si="10"/>
        <v>17.371304169600958</v>
      </c>
      <c r="H72" s="129">
        <f t="shared" si="10"/>
        <v>23.912605943939973</v>
      </c>
      <c r="I72" s="129">
        <f t="shared" si="10"/>
        <v>26.468875921415396</v>
      </c>
      <c r="J72" s="129">
        <f t="shared" si="10"/>
        <v>26.681982942542586</v>
      </c>
      <c r="K72" s="145">
        <f t="shared" si="10"/>
        <v>27.576074994981504</v>
      </c>
      <c r="L72" s="145">
        <f t="shared" si="10"/>
        <v>21.93604613365056</v>
      </c>
      <c r="M72" s="145">
        <f t="shared" si="10"/>
        <v>17.116035681265824</v>
      </c>
      <c r="N72" s="145">
        <f t="shared" si="10"/>
        <v>10.849788883783303</v>
      </c>
      <c r="O72" s="78"/>
      <c r="P72" s="79"/>
    </row>
    <row r="73" spans="1:16" s="40" customFormat="1" ht="24.75" customHeight="1">
      <c r="A73" s="146">
        <v>45</v>
      </c>
      <c r="B73" s="131" t="s">
        <v>80</v>
      </c>
      <c r="C73" s="131"/>
      <c r="D73" s="131">
        <f aca="true" t="shared" si="11" ref="D73:P73">(D59-D67)/D10*100</f>
        <v>19.70638059573347</v>
      </c>
      <c r="E73" s="131">
        <f t="shared" si="11"/>
        <v>19.120646680312642</v>
      </c>
      <c r="F73" s="131">
        <f t="shared" si="11"/>
        <v>14.00675557331715</v>
      </c>
      <c r="G73" s="131">
        <f t="shared" si="11"/>
        <v>17.371304169600958</v>
      </c>
      <c r="H73" s="131">
        <f t="shared" si="11"/>
        <v>23.912605943939973</v>
      </c>
      <c r="I73" s="131">
        <f t="shared" si="11"/>
        <v>26.468875921415396</v>
      </c>
      <c r="J73" s="131">
        <f t="shared" si="11"/>
        <v>26.681982942542586</v>
      </c>
      <c r="K73" s="147">
        <f t="shared" si="11"/>
        <v>27.576074994981504</v>
      </c>
      <c r="L73" s="147">
        <f t="shared" si="11"/>
        <v>21.93604613365056</v>
      </c>
      <c r="M73" s="147">
        <f t="shared" si="11"/>
        <v>17.116035681265824</v>
      </c>
      <c r="N73" s="147">
        <f t="shared" si="11"/>
        <v>10.849788883783303</v>
      </c>
      <c r="O73" s="147">
        <f t="shared" si="11"/>
        <v>5.4213022887533935</v>
      </c>
      <c r="P73" s="148">
        <f t="shared" si="11"/>
        <v>7.59552098126937E-06</v>
      </c>
    </row>
    <row r="74" spans="1:16" s="40" customFormat="1" ht="36.75" thickBot="1">
      <c r="A74" s="146">
        <v>46</v>
      </c>
      <c r="B74" s="131" t="s">
        <v>81</v>
      </c>
      <c r="C74" s="131"/>
      <c r="D74" s="131">
        <f aca="true" t="shared" si="12" ref="D74:P74">(D59-D64-D67)/D10*100</f>
        <v>18.379650948044514</v>
      </c>
      <c r="E74" s="131">
        <f t="shared" si="12"/>
        <v>19.039225076637887</v>
      </c>
      <c r="F74" s="131">
        <f t="shared" si="12"/>
        <v>14.004566210045663</v>
      </c>
      <c r="G74" s="131">
        <f t="shared" si="12"/>
        <v>17.371304169600958</v>
      </c>
      <c r="H74" s="131">
        <f t="shared" si="12"/>
        <v>23.912605943939973</v>
      </c>
      <c r="I74" s="131">
        <f t="shared" si="12"/>
        <v>26.468875921415396</v>
      </c>
      <c r="J74" s="131">
        <f t="shared" si="12"/>
        <v>26.681982942542586</v>
      </c>
      <c r="K74" s="131">
        <f t="shared" si="12"/>
        <v>27.576074994981504</v>
      </c>
      <c r="L74" s="131">
        <f t="shared" si="12"/>
        <v>21.93604613365056</v>
      </c>
      <c r="M74" s="149">
        <f t="shared" si="12"/>
        <v>17.116035681265824</v>
      </c>
      <c r="N74" s="149">
        <f t="shared" si="12"/>
        <v>10.849788883783303</v>
      </c>
      <c r="O74" s="149">
        <f t="shared" si="12"/>
        <v>5.4213022887533935</v>
      </c>
      <c r="P74" s="150">
        <f t="shared" si="12"/>
        <v>7.59552098126937E-06</v>
      </c>
    </row>
    <row r="75" spans="1:16" s="40" customFormat="1" ht="23.25" customHeight="1" thickTop="1">
      <c r="A75" s="37">
        <v>47</v>
      </c>
      <c r="B75" s="38" t="s">
        <v>82</v>
      </c>
      <c r="C75" s="38">
        <f aca="true" t="shared" si="13" ref="C75:L75">SUM(C77:C79)</f>
        <v>13186.6</v>
      </c>
      <c r="D75" s="38">
        <f t="shared" si="13"/>
        <v>13434.3</v>
      </c>
      <c r="E75" s="38">
        <f t="shared" si="13"/>
        <v>12597.5</v>
      </c>
      <c r="F75" s="38">
        <f>SUM(F77:F82)</f>
        <v>26985.4</v>
      </c>
      <c r="G75" s="38">
        <f>SUM(G77:G82)</f>
        <v>10355.3</v>
      </c>
      <c r="H75" s="38">
        <f t="shared" si="13"/>
        <v>14685.8</v>
      </c>
      <c r="I75" s="38">
        <f t="shared" si="13"/>
        <v>19548.5</v>
      </c>
      <c r="J75" s="38">
        <f t="shared" si="13"/>
        <v>25264.7</v>
      </c>
      <c r="K75" s="75">
        <f t="shared" si="13"/>
        <v>26928.8</v>
      </c>
      <c r="L75" s="75">
        <f t="shared" si="13"/>
        <v>28797.5</v>
      </c>
      <c r="M75" s="75">
        <f>SUM(M77:M79)</f>
        <v>30807</v>
      </c>
      <c r="N75" s="75">
        <f>SUM(N77:N79)</f>
        <v>27364.1</v>
      </c>
      <c r="O75" s="75">
        <f>SUM(O77:O79)</f>
        <v>22743.1</v>
      </c>
      <c r="P75" s="39">
        <f>SUM(P77:P79)</f>
        <v>21611.8</v>
      </c>
    </row>
    <row r="76" spans="1:16" s="40" customFormat="1" ht="14.25" customHeight="1" thickBot="1">
      <c r="A76" s="41"/>
      <c r="B76" s="42" t="s">
        <v>83</v>
      </c>
      <c r="C76" s="42"/>
      <c r="D76" s="42"/>
      <c r="E76" s="42"/>
      <c r="F76" s="42"/>
      <c r="G76" s="112"/>
      <c r="H76" s="112"/>
      <c r="I76" s="112"/>
      <c r="J76" s="112"/>
      <c r="K76" s="113"/>
      <c r="L76" s="113"/>
      <c r="M76" s="113"/>
      <c r="N76" s="113"/>
      <c r="O76" s="151"/>
      <c r="P76" s="152"/>
    </row>
    <row r="77" spans="1:16" s="40" customFormat="1" ht="15" customHeight="1" thickTop="1">
      <c r="A77" s="68">
        <v>48</v>
      </c>
      <c r="B77" s="47" t="s">
        <v>84</v>
      </c>
      <c r="C77" s="47">
        <v>11100.2</v>
      </c>
      <c r="D77" s="47">
        <v>11244</v>
      </c>
      <c r="E77" s="47">
        <v>10629</v>
      </c>
      <c r="F77" s="47">
        <v>20439.2</v>
      </c>
      <c r="G77" s="153">
        <v>9023.8</v>
      </c>
      <c r="H77" s="153">
        <v>11219.4</v>
      </c>
      <c r="I77" s="153">
        <v>16196.9</v>
      </c>
      <c r="J77" s="153">
        <v>21990.9</v>
      </c>
      <c r="K77" s="70">
        <v>24277</v>
      </c>
      <c r="L77" s="70">
        <v>26505.9</v>
      </c>
      <c r="M77" s="70">
        <v>28603.8</v>
      </c>
      <c r="N77" s="70">
        <v>25219.5</v>
      </c>
      <c r="O77" s="78">
        <v>20615.5</v>
      </c>
      <c r="P77" s="86">
        <v>19487.2</v>
      </c>
    </row>
    <row r="78" spans="1:16" s="40" customFormat="1" ht="15" customHeight="1">
      <c r="A78" s="54">
        <v>49</v>
      </c>
      <c r="B78" s="61" t="s">
        <v>85</v>
      </c>
      <c r="C78" s="61">
        <v>2086.4</v>
      </c>
      <c r="D78" s="61">
        <v>2190.3</v>
      </c>
      <c r="E78" s="61">
        <v>1968.5</v>
      </c>
      <c r="F78" s="61">
        <v>1502.2</v>
      </c>
      <c r="G78" s="153">
        <v>1072.5</v>
      </c>
      <c r="H78" s="153">
        <v>1221.8</v>
      </c>
      <c r="I78" s="153">
        <v>1094</v>
      </c>
      <c r="J78" s="153">
        <v>1005</v>
      </c>
      <c r="K78" s="154">
        <v>371.8</v>
      </c>
      <c r="L78" s="154">
        <v>0</v>
      </c>
      <c r="M78" s="154">
        <v>0</v>
      </c>
      <c r="N78" s="154">
        <v>0</v>
      </c>
      <c r="O78" s="53">
        <v>0</v>
      </c>
      <c r="P78" s="95">
        <v>0</v>
      </c>
    </row>
    <row r="79" spans="1:16" s="40" customFormat="1" ht="22.5" customHeight="1">
      <c r="A79" s="55">
        <v>50</v>
      </c>
      <c r="B79" s="52" t="s">
        <v>86</v>
      </c>
      <c r="C79" s="52"/>
      <c r="D79" s="52"/>
      <c r="E79" s="52"/>
      <c r="F79" s="52"/>
      <c r="G79" s="52"/>
      <c r="H79" s="52">
        <f>2145.6+99</f>
        <v>2244.6</v>
      </c>
      <c r="I79" s="52">
        <f>2145.6+112</f>
        <v>2257.6</v>
      </c>
      <c r="J79" s="52">
        <f>2145.6+123.2</f>
        <v>2268.7999999999997</v>
      </c>
      <c r="K79" s="52">
        <f>2145.6+134.4</f>
        <v>2280</v>
      </c>
      <c r="L79" s="52">
        <f>2145.6+146</f>
        <v>2291.6</v>
      </c>
      <c r="M79" s="155">
        <f>2145.6+107.6-50</f>
        <v>2203.2</v>
      </c>
      <c r="N79" s="155">
        <f>2145.6+68-40-29</f>
        <v>2144.6</v>
      </c>
      <c r="O79" s="155">
        <f>2145.6+70.8-60-28.8</f>
        <v>2127.6</v>
      </c>
      <c r="P79" s="140">
        <f>2145.6+70.6-62-29.6</f>
        <v>2124.6</v>
      </c>
    </row>
    <row r="80" spans="1:16" s="40" customFormat="1" ht="24" customHeight="1">
      <c r="A80" s="55">
        <v>51</v>
      </c>
      <c r="B80" s="52" t="s">
        <v>87</v>
      </c>
      <c r="C80" s="52"/>
      <c r="D80" s="52"/>
      <c r="E80" s="52"/>
      <c r="F80" s="52"/>
      <c r="G80" s="93"/>
      <c r="H80" s="93"/>
      <c r="I80" s="93"/>
      <c r="J80" s="93"/>
      <c r="K80" s="93"/>
      <c r="L80" s="94"/>
      <c r="M80" s="94"/>
      <c r="N80" s="94"/>
      <c r="O80" s="78"/>
      <c r="P80" s="79"/>
    </row>
    <row r="81" spans="1:16" s="40" customFormat="1" ht="48">
      <c r="A81" s="55">
        <v>52</v>
      </c>
      <c r="B81" s="52" t="s">
        <v>88</v>
      </c>
      <c r="C81" s="52"/>
      <c r="D81" s="52"/>
      <c r="E81" s="52"/>
      <c r="F81" s="52"/>
      <c r="G81" s="93"/>
      <c r="H81" s="93"/>
      <c r="I81" s="93"/>
      <c r="J81" s="93"/>
      <c r="K81" s="93"/>
      <c r="L81" s="94"/>
      <c r="M81" s="94"/>
      <c r="N81" s="94"/>
      <c r="O81" s="53"/>
      <c r="P81" s="95"/>
    </row>
    <row r="82" spans="1:16" s="40" customFormat="1" ht="48" customHeight="1">
      <c r="A82" s="141">
        <v>53</v>
      </c>
      <c r="B82" s="60" t="s">
        <v>89</v>
      </c>
      <c r="C82" s="60"/>
      <c r="D82" s="60"/>
      <c r="E82" s="60"/>
      <c r="F82" s="60">
        <f>SUM(F83:F86)</f>
        <v>5044</v>
      </c>
      <c r="G82" s="60">
        <f>SUM(G83:G86)</f>
        <v>259</v>
      </c>
      <c r="H82" s="132"/>
      <c r="I82" s="132"/>
      <c r="J82" s="132"/>
      <c r="K82" s="133"/>
      <c r="L82" s="133"/>
      <c r="M82" s="133"/>
      <c r="N82" s="133"/>
      <c r="O82" s="78"/>
      <c r="P82" s="79"/>
    </row>
    <row r="83" spans="1:16" s="40" customFormat="1" ht="15.75" customHeight="1">
      <c r="A83" s="156"/>
      <c r="B83" s="52" t="s">
        <v>90</v>
      </c>
      <c r="C83" s="52"/>
      <c r="D83" s="52"/>
      <c r="E83" s="52"/>
      <c r="F83" s="52"/>
      <c r="G83" s="93"/>
      <c r="H83" s="93"/>
      <c r="I83" s="93"/>
      <c r="J83" s="93"/>
      <c r="K83" s="94"/>
      <c r="L83" s="94"/>
      <c r="M83" s="94"/>
      <c r="N83" s="94"/>
      <c r="O83" s="53"/>
      <c r="P83" s="95"/>
    </row>
    <row r="84" spans="1:16" s="40" customFormat="1" ht="15.75" customHeight="1">
      <c r="A84" s="156"/>
      <c r="B84" s="60" t="s">
        <v>91</v>
      </c>
      <c r="C84" s="60"/>
      <c r="D84" s="60"/>
      <c r="E84" s="60"/>
      <c r="F84" s="60">
        <v>5044</v>
      </c>
      <c r="G84" s="62">
        <v>259</v>
      </c>
      <c r="H84" s="132"/>
      <c r="I84" s="132"/>
      <c r="J84" s="132"/>
      <c r="K84" s="133"/>
      <c r="L84" s="133"/>
      <c r="M84" s="133"/>
      <c r="N84" s="133"/>
      <c r="O84" s="78"/>
      <c r="P84" s="79"/>
    </row>
    <row r="85" spans="1:16" s="40" customFormat="1" ht="24">
      <c r="A85" s="156"/>
      <c r="B85" s="60" t="s">
        <v>92</v>
      </c>
      <c r="C85" s="60"/>
      <c r="D85" s="60"/>
      <c r="E85" s="60"/>
      <c r="F85" s="60"/>
      <c r="G85" s="132"/>
      <c r="H85" s="132"/>
      <c r="I85" s="132"/>
      <c r="J85" s="132"/>
      <c r="K85" s="133"/>
      <c r="L85" s="133"/>
      <c r="M85" s="133"/>
      <c r="N85" s="133"/>
      <c r="O85" s="53"/>
      <c r="P85" s="95"/>
    </row>
    <row r="86" spans="1:16" s="40" customFormat="1" ht="48">
      <c r="A86" s="144"/>
      <c r="B86" s="52" t="s">
        <v>93</v>
      </c>
      <c r="C86" s="52"/>
      <c r="D86" s="52"/>
      <c r="E86" s="52"/>
      <c r="F86" s="52"/>
      <c r="G86" s="93"/>
      <c r="H86" s="93"/>
      <c r="I86" s="93"/>
      <c r="J86" s="93"/>
      <c r="K86" s="94"/>
      <c r="L86" s="94"/>
      <c r="M86" s="94"/>
      <c r="N86" s="94"/>
      <c r="O86" s="78"/>
      <c r="P86" s="79"/>
    </row>
    <row r="87" spans="1:16" s="40" customFormat="1" ht="35.25" customHeight="1" hidden="1">
      <c r="A87" s="134">
        <v>42</v>
      </c>
      <c r="B87" s="129" t="s">
        <v>94</v>
      </c>
      <c r="C87" s="129">
        <f aca="true" t="shared" si="14" ref="C87:N87">C75/C10*100</f>
        <v>5.990007417895526</v>
      </c>
      <c r="D87" s="129">
        <f t="shared" si="14"/>
        <v>4.707912017207991</v>
      </c>
      <c r="E87" s="129">
        <f t="shared" si="14"/>
        <v>4.505638709829714</v>
      </c>
      <c r="F87" s="129">
        <f t="shared" si="14"/>
        <v>8.321245581186524</v>
      </c>
      <c r="G87" s="129">
        <f t="shared" si="14"/>
        <v>3.099948750395819</v>
      </c>
      <c r="H87" s="129">
        <f t="shared" si="14"/>
        <v>4.177914404463006</v>
      </c>
      <c r="I87" s="129">
        <f t="shared" si="14"/>
        <v>5.234608801458412</v>
      </c>
      <c r="J87" s="129">
        <f t="shared" si="14"/>
        <v>6.628392155710429</v>
      </c>
      <c r="K87" s="145">
        <f t="shared" si="14"/>
        <v>7.197987146757005</v>
      </c>
      <c r="L87" s="145">
        <f t="shared" si="14"/>
        <v>7.641575797877633</v>
      </c>
      <c r="M87" s="145">
        <f t="shared" si="14"/>
        <v>8.962500458205543</v>
      </c>
      <c r="N87" s="145">
        <f t="shared" si="14"/>
        <v>8.024175658545067</v>
      </c>
      <c r="O87" s="78"/>
      <c r="P87" s="79"/>
    </row>
    <row r="88" spans="1:16" s="40" customFormat="1" ht="36">
      <c r="A88" s="134">
        <v>54</v>
      </c>
      <c r="B88" s="129" t="s">
        <v>95</v>
      </c>
      <c r="C88" s="129">
        <f>(C77+C78)/C10*100</f>
        <v>5.990007417895526</v>
      </c>
      <c r="D88" s="129">
        <f aca="true" t="shared" si="15" ref="D88:P88">(D75-D82)/D10*100</f>
        <v>4.707912017207991</v>
      </c>
      <c r="E88" s="129">
        <f t="shared" si="15"/>
        <v>4.505638709829714</v>
      </c>
      <c r="F88" s="129">
        <f t="shared" si="15"/>
        <v>6.7658725753572675</v>
      </c>
      <c r="G88" s="129">
        <f t="shared" si="15"/>
        <v>3.022414856993164</v>
      </c>
      <c r="H88" s="129">
        <f t="shared" si="15"/>
        <v>4.177914404463006</v>
      </c>
      <c r="I88" s="129">
        <f t="shared" si="15"/>
        <v>5.234608801458412</v>
      </c>
      <c r="J88" s="129">
        <f t="shared" si="15"/>
        <v>6.628392155710429</v>
      </c>
      <c r="K88" s="145">
        <f t="shared" si="15"/>
        <v>7.197987146757005</v>
      </c>
      <c r="L88" s="145">
        <f t="shared" si="15"/>
        <v>7.641575797877633</v>
      </c>
      <c r="M88" s="145">
        <f t="shared" si="15"/>
        <v>8.962500458205543</v>
      </c>
      <c r="N88" s="145">
        <f t="shared" si="15"/>
        <v>8.024175658545067</v>
      </c>
      <c r="O88" s="145">
        <f t="shared" si="15"/>
        <v>6.664705232487093</v>
      </c>
      <c r="P88" s="136">
        <f t="shared" si="15"/>
        <v>6.313572319584466</v>
      </c>
    </row>
    <row r="89" spans="1:16" s="40" customFormat="1" ht="47.25" customHeight="1" thickBot="1">
      <c r="A89" s="157">
        <v>55</v>
      </c>
      <c r="B89" s="158" t="s">
        <v>96</v>
      </c>
      <c r="C89" s="158">
        <f>(C75-C79)/C10*100</f>
        <v>5.990007417895526</v>
      </c>
      <c r="D89" s="158">
        <f>(D75-D79)/D10*100</f>
        <v>4.707912017207991</v>
      </c>
      <c r="E89" s="158">
        <f>(E75-E79)/E10*100</f>
        <v>4.505638709829714</v>
      </c>
      <c r="F89" s="158">
        <f aca="true" t="shared" si="16" ref="F89:P89">((F75-F79)-F82)/F10*100</f>
        <v>6.7658725753572675</v>
      </c>
      <c r="G89" s="158">
        <f t="shared" si="16"/>
        <v>3.022414856993164</v>
      </c>
      <c r="H89" s="158">
        <f t="shared" si="16"/>
        <v>3.5393556148664116</v>
      </c>
      <c r="I89" s="158">
        <f t="shared" si="16"/>
        <v>4.630078897364875</v>
      </c>
      <c r="J89" s="158">
        <f t="shared" si="16"/>
        <v>6.033154685133861</v>
      </c>
      <c r="K89" s="158">
        <f t="shared" si="16"/>
        <v>6.5885500127367</v>
      </c>
      <c r="L89" s="158">
        <f t="shared" si="16"/>
        <v>7.0334870714806765</v>
      </c>
      <c r="M89" s="149">
        <f t="shared" si="16"/>
        <v>8.32153635882818</v>
      </c>
      <c r="N89" s="149">
        <f t="shared" si="16"/>
        <v>7.395298877751409</v>
      </c>
      <c r="O89" s="149">
        <f t="shared" si="16"/>
        <v>6.041227041183377</v>
      </c>
      <c r="P89" s="150">
        <f t="shared" si="16"/>
        <v>5.6929014013736206</v>
      </c>
    </row>
    <row r="90" ht="13.5" thickTop="1">
      <c r="A90" s="160" t="s">
        <v>97</v>
      </c>
    </row>
    <row r="91" ht="12.75">
      <c r="A91" s="160" t="s">
        <v>98</v>
      </c>
    </row>
    <row r="92" spans="1:14" ht="12.75">
      <c r="A92" s="160" t="s">
        <v>99</v>
      </c>
      <c r="N92" s="2"/>
    </row>
    <row r="93" ht="12.75">
      <c r="N93" s="2"/>
    </row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spans="15:16" ht="12.75">
      <c r="O117" s="159"/>
      <c r="P117" s="159"/>
    </row>
    <row r="118" spans="15:16" ht="12.75">
      <c r="O118" s="159"/>
      <c r="P118" s="159"/>
    </row>
    <row r="119" spans="15:16" ht="12.75">
      <c r="O119" s="159"/>
      <c r="P119" s="159"/>
    </row>
    <row r="120" spans="15:16" ht="12.75">
      <c r="O120" s="159"/>
      <c r="P120" s="159"/>
    </row>
    <row r="121" spans="15:16" ht="12.75">
      <c r="O121" s="159"/>
      <c r="P121" s="159"/>
    </row>
    <row r="122" spans="15:16" ht="12.75">
      <c r="O122" s="159"/>
      <c r="P122" s="159"/>
    </row>
    <row r="123" spans="15:16" ht="12.75">
      <c r="O123" s="159"/>
      <c r="P123" s="159"/>
    </row>
    <row r="124" spans="15:16" ht="12.75">
      <c r="O124" s="159"/>
      <c r="P124" s="159"/>
    </row>
    <row r="125" spans="15:16" ht="12.75">
      <c r="O125" s="159"/>
      <c r="P125" s="159"/>
    </row>
    <row r="126" spans="15:16" ht="12.75">
      <c r="O126" s="159"/>
      <c r="P126" s="159"/>
    </row>
    <row r="127" spans="15:16" ht="12.75">
      <c r="O127" s="159"/>
      <c r="P127" s="159"/>
    </row>
    <row r="128" spans="15:16" ht="12.75">
      <c r="O128" s="159"/>
      <c r="P128" s="159"/>
    </row>
    <row r="129" spans="15:16" ht="12.75">
      <c r="O129" s="159"/>
      <c r="P129" s="159"/>
    </row>
    <row r="130" spans="15:16" ht="12.75">
      <c r="O130" s="159"/>
      <c r="P130" s="159"/>
    </row>
    <row r="131" spans="15:16" ht="12.75">
      <c r="O131" s="159"/>
      <c r="P131" s="159"/>
    </row>
    <row r="132" spans="15:16" ht="12.75">
      <c r="O132" s="159"/>
      <c r="P132" s="159"/>
    </row>
    <row r="133" spans="15:16" ht="12.75">
      <c r="O133" s="159"/>
      <c r="P133" s="159"/>
    </row>
    <row r="134" spans="15:16" ht="12.75">
      <c r="O134" s="159"/>
      <c r="P134" s="159"/>
    </row>
    <row r="135" spans="15:16" ht="12.75">
      <c r="O135" s="159"/>
      <c r="P135" s="159"/>
    </row>
    <row r="136" spans="15:16" ht="12.75">
      <c r="O136" s="159"/>
      <c r="P136" s="159"/>
    </row>
    <row r="137" spans="15:16" ht="12.75">
      <c r="O137" s="159"/>
      <c r="P137" s="159"/>
    </row>
    <row r="138" spans="15:16" ht="12.75">
      <c r="O138" s="159"/>
      <c r="P138" s="159"/>
    </row>
    <row r="139" spans="15:16" ht="12.75">
      <c r="O139" s="159"/>
      <c r="P139" s="159"/>
    </row>
    <row r="140" spans="15:16" ht="12.75">
      <c r="O140" s="159"/>
      <c r="P140" s="159"/>
    </row>
    <row r="141" spans="15:16" ht="12.75">
      <c r="O141" s="159"/>
      <c r="P141" s="159"/>
    </row>
    <row r="142" spans="15:16" ht="12.75">
      <c r="O142" s="159"/>
      <c r="P142" s="159"/>
    </row>
    <row r="143" spans="15:16" ht="12.75">
      <c r="O143" s="159"/>
      <c r="P143" s="159"/>
    </row>
    <row r="144" spans="15:16" ht="12.75">
      <c r="O144" s="159"/>
      <c r="P144" s="159"/>
    </row>
    <row r="145" spans="15:16" ht="12.75">
      <c r="O145" s="159"/>
      <c r="P145" s="159"/>
    </row>
    <row r="146" spans="15:16" ht="12.75">
      <c r="O146" s="159"/>
      <c r="P146" s="159"/>
    </row>
    <row r="147" spans="15:16" ht="12.75">
      <c r="O147" s="159"/>
      <c r="P147" s="159"/>
    </row>
    <row r="148" spans="15:16" ht="12.75">
      <c r="O148" s="159"/>
      <c r="P148" s="159"/>
    </row>
    <row r="149" spans="15:16" ht="12.75">
      <c r="O149" s="159"/>
      <c r="P149" s="159"/>
    </row>
    <row r="150" spans="15:16" ht="12.75">
      <c r="O150" s="159"/>
      <c r="P150" s="159"/>
    </row>
    <row r="151" spans="15:16" ht="12.75">
      <c r="O151" s="159"/>
      <c r="P151" s="159"/>
    </row>
    <row r="152" spans="15:16" ht="12.75">
      <c r="O152" s="159"/>
      <c r="P152" s="159"/>
    </row>
    <row r="153" spans="15:16" ht="12.75">
      <c r="O153" s="159"/>
      <c r="P153" s="159"/>
    </row>
    <row r="154" spans="15:16" ht="12.75">
      <c r="O154" s="159"/>
      <c r="P154" s="159"/>
    </row>
    <row r="155" spans="15:16" ht="12.75">
      <c r="O155" s="159"/>
      <c r="P155" s="159"/>
    </row>
    <row r="156" spans="15:16" ht="12.75">
      <c r="O156" s="159"/>
      <c r="P156" s="159"/>
    </row>
    <row r="157" spans="15:16" ht="12.75">
      <c r="O157" s="159"/>
      <c r="P157" s="159"/>
    </row>
    <row r="158" spans="15:16" ht="12.75">
      <c r="O158" s="159"/>
      <c r="P158" s="159"/>
    </row>
    <row r="159" spans="15:16" ht="12.75">
      <c r="O159" s="159"/>
      <c r="P159" s="159"/>
    </row>
    <row r="160" spans="15:16" ht="12.75">
      <c r="O160" s="159"/>
      <c r="P160" s="159"/>
    </row>
    <row r="161" spans="15:16" ht="12.75">
      <c r="O161" s="159"/>
      <c r="P161" s="159"/>
    </row>
    <row r="162" spans="15:16" ht="12.75">
      <c r="O162" s="159"/>
      <c r="P162" s="159"/>
    </row>
    <row r="163" spans="15:16" ht="12.75">
      <c r="O163" s="159"/>
      <c r="P163" s="159"/>
    </row>
    <row r="164" spans="15:16" ht="12.75">
      <c r="O164" s="159"/>
      <c r="P164" s="159"/>
    </row>
    <row r="165" spans="15:16" ht="12.75">
      <c r="O165" s="159"/>
      <c r="P165" s="159"/>
    </row>
    <row r="166" spans="15:16" ht="12.75">
      <c r="O166" s="159"/>
      <c r="P166" s="159"/>
    </row>
    <row r="167" spans="15:16" ht="12.75">
      <c r="O167" s="159"/>
      <c r="P167" s="159"/>
    </row>
    <row r="168" spans="15:16" ht="12.75">
      <c r="O168" s="159"/>
      <c r="P168" s="159"/>
    </row>
    <row r="169" spans="15:16" ht="12.75">
      <c r="O169" s="159"/>
      <c r="P169" s="159"/>
    </row>
    <row r="170" spans="15:16" ht="12.75">
      <c r="O170" s="159"/>
      <c r="P170" s="159"/>
    </row>
    <row r="171" spans="15:16" ht="12.75">
      <c r="O171" s="159"/>
      <c r="P171" s="159"/>
    </row>
    <row r="172" spans="15:16" ht="12.75">
      <c r="O172" s="159"/>
      <c r="P172" s="159"/>
    </row>
    <row r="173" spans="15:16" ht="12.75">
      <c r="O173" s="159"/>
      <c r="P173" s="159"/>
    </row>
    <row r="174" spans="15:16" ht="12.75">
      <c r="O174" s="159"/>
      <c r="P174" s="159"/>
    </row>
    <row r="175" spans="15:16" ht="12.75">
      <c r="O175" s="159"/>
      <c r="P175" s="159"/>
    </row>
    <row r="176" spans="15:16" ht="12.75">
      <c r="O176" s="159"/>
      <c r="P176" s="159"/>
    </row>
    <row r="177" spans="15:16" ht="12.75">
      <c r="O177" s="159"/>
      <c r="P177" s="159"/>
    </row>
    <row r="178" spans="15:16" ht="12.75">
      <c r="O178" s="159"/>
      <c r="P178" s="159"/>
    </row>
    <row r="179" spans="15:16" ht="12.75">
      <c r="O179" s="159"/>
      <c r="P179" s="159"/>
    </row>
    <row r="180" spans="15:16" ht="12.75">
      <c r="O180" s="159"/>
      <c r="P180" s="159"/>
    </row>
    <row r="181" spans="15:16" ht="12.75">
      <c r="O181" s="159"/>
      <c r="P181" s="159"/>
    </row>
    <row r="182" spans="15:16" ht="12.75">
      <c r="O182" s="159"/>
      <c r="P182" s="159"/>
    </row>
    <row r="183" spans="15:16" ht="12.75">
      <c r="O183" s="159"/>
      <c r="P183" s="159"/>
    </row>
    <row r="184" spans="15:16" ht="12.75">
      <c r="O184" s="159"/>
      <c r="P184" s="159"/>
    </row>
    <row r="185" spans="15:16" ht="12.75">
      <c r="O185" s="159"/>
      <c r="P185" s="159"/>
    </row>
    <row r="186" spans="15:16" ht="12.75">
      <c r="O186" s="159"/>
      <c r="P186" s="159"/>
    </row>
    <row r="187" spans="15:16" ht="12.75">
      <c r="O187" s="159"/>
      <c r="P187" s="159"/>
    </row>
    <row r="188" spans="15:16" ht="12.75">
      <c r="O188" s="159"/>
      <c r="P188" s="159"/>
    </row>
    <row r="189" spans="15:16" ht="12.75">
      <c r="O189" s="159"/>
      <c r="P189" s="159"/>
    </row>
    <row r="190" spans="15:16" ht="12.75">
      <c r="O190" s="159"/>
      <c r="P190" s="159"/>
    </row>
    <row r="191" spans="15:16" ht="12.75">
      <c r="O191" s="159"/>
      <c r="P191" s="159"/>
    </row>
    <row r="192" spans="15:16" ht="12.75">
      <c r="O192" s="159"/>
      <c r="P192" s="159"/>
    </row>
    <row r="193" spans="15:16" ht="12.75">
      <c r="O193" s="159"/>
      <c r="P193" s="159"/>
    </row>
    <row r="194" spans="15:16" ht="12.75">
      <c r="O194" s="159"/>
      <c r="P194" s="159"/>
    </row>
    <row r="195" spans="15:16" ht="12.75">
      <c r="O195" s="159"/>
      <c r="P195" s="159"/>
    </row>
    <row r="196" spans="15:16" ht="12.75">
      <c r="O196" s="159"/>
      <c r="P196" s="159"/>
    </row>
    <row r="197" spans="15:16" ht="12.75">
      <c r="O197" s="159"/>
      <c r="P197" s="159"/>
    </row>
    <row r="198" spans="15:16" ht="12.75">
      <c r="O198" s="159"/>
      <c r="P198" s="159"/>
    </row>
    <row r="199" spans="15:16" ht="12.75">
      <c r="O199" s="159"/>
      <c r="P199" s="159"/>
    </row>
    <row r="200" spans="15:16" ht="12.75">
      <c r="O200" s="159"/>
      <c r="P200" s="159"/>
    </row>
    <row r="201" spans="15:16" ht="12.75">
      <c r="O201" s="159"/>
      <c r="P201" s="159"/>
    </row>
    <row r="202" spans="15:16" ht="12.75">
      <c r="O202" s="159"/>
      <c r="P202" s="159"/>
    </row>
    <row r="203" spans="15:16" ht="12.75">
      <c r="O203" s="159"/>
      <c r="P203" s="159"/>
    </row>
    <row r="204" spans="15:16" ht="12.75">
      <c r="O204" s="159"/>
      <c r="P204" s="159"/>
    </row>
    <row r="205" spans="15:16" ht="12.75">
      <c r="O205" s="159"/>
      <c r="P205" s="159"/>
    </row>
    <row r="206" spans="15:16" ht="12.75">
      <c r="O206" s="159"/>
      <c r="P206" s="159"/>
    </row>
    <row r="207" spans="15:16" ht="12.75">
      <c r="O207" s="159"/>
      <c r="P207" s="159"/>
    </row>
    <row r="208" spans="15:16" ht="12.75">
      <c r="O208" s="159"/>
      <c r="P208" s="159"/>
    </row>
    <row r="209" spans="15:16" ht="12.75">
      <c r="O209" s="159"/>
      <c r="P209" s="159"/>
    </row>
    <row r="210" spans="15:16" ht="12.75">
      <c r="O210" s="159"/>
      <c r="P210" s="159"/>
    </row>
    <row r="211" spans="15:16" ht="12.75">
      <c r="O211" s="159"/>
      <c r="P211" s="159"/>
    </row>
    <row r="212" spans="15:16" ht="12.75">
      <c r="O212" s="159"/>
      <c r="P212" s="159"/>
    </row>
    <row r="213" spans="15:16" ht="12.75">
      <c r="O213" s="159"/>
      <c r="P213" s="159"/>
    </row>
    <row r="214" spans="15:16" ht="12.75">
      <c r="O214" s="159"/>
      <c r="P214" s="159"/>
    </row>
    <row r="215" spans="15:16" ht="12.75">
      <c r="O215" s="159"/>
      <c r="P215" s="159"/>
    </row>
    <row r="216" spans="15:16" ht="12.75">
      <c r="O216" s="159"/>
      <c r="P216" s="159"/>
    </row>
    <row r="217" spans="15:16" ht="12.75">
      <c r="O217" s="159"/>
      <c r="P217" s="159"/>
    </row>
    <row r="218" spans="15:16" ht="12.75">
      <c r="O218" s="159"/>
      <c r="P218" s="159"/>
    </row>
    <row r="219" spans="15:16" ht="12.75">
      <c r="O219" s="159"/>
      <c r="P219" s="159"/>
    </row>
    <row r="220" spans="15:16" ht="12.75">
      <c r="O220" s="159"/>
      <c r="P220" s="159"/>
    </row>
    <row r="221" spans="15:16" ht="12.75">
      <c r="O221" s="159"/>
      <c r="P221" s="159"/>
    </row>
    <row r="222" spans="15:16" ht="12.75">
      <c r="O222" s="159"/>
      <c r="P222" s="159"/>
    </row>
    <row r="223" spans="15:16" ht="12.75">
      <c r="O223" s="159"/>
      <c r="P223" s="159"/>
    </row>
    <row r="224" spans="15:16" ht="12.75">
      <c r="O224" s="159"/>
      <c r="P224" s="159"/>
    </row>
    <row r="225" spans="15:16" ht="12.75">
      <c r="O225" s="159"/>
      <c r="P225" s="159"/>
    </row>
    <row r="226" spans="15:16" ht="12.75">
      <c r="O226" s="159"/>
      <c r="P226" s="159"/>
    </row>
    <row r="227" spans="15:16" ht="12.75">
      <c r="O227" s="159"/>
      <c r="P227" s="159"/>
    </row>
    <row r="228" spans="15:16" ht="12.75">
      <c r="O228" s="159"/>
      <c r="P228" s="159"/>
    </row>
    <row r="229" spans="15:16" ht="12.75">
      <c r="O229" s="159"/>
      <c r="P229" s="159"/>
    </row>
    <row r="230" spans="15:16" ht="12.75">
      <c r="O230" s="159"/>
      <c r="P230" s="159"/>
    </row>
    <row r="231" spans="15:16" ht="12.75">
      <c r="O231" s="159"/>
      <c r="P231" s="159"/>
    </row>
    <row r="232" spans="15:16" ht="12.75">
      <c r="O232" s="159"/>
      <c r="P232" s="159"/>
    </row>
    <row r="233" spans="15:16" ht="12.75">
      <c r="O233" s="159"/>
      <c r="P233" s="159"/>
    </row>
    <row r="234" spans="15:16" ht="12.75">
      <c r="O234" s="159"/>
      <c r="P234" s="159"/>
    </row>
    <row r="235" spans="15:16" ht="12.75">
      <c r="O235" s="159"/>
      <c r="P235" s="159"/>
    </row>
    <row r="236" spans="15:16" ht="12.75">
      <c r="O236" s="159"/>
      <c r="P236" s="159"/>
    </row>
    <row r="237" spans="15:16" ht="12.75">
      <c r="O237" s="159"/>
      <c r="P237" s="159"/>
    </row>
    <row r="238" spans="15:16" ht="12.75">
      <c r="O238" s="159"/>
      <c r="P238" s="159"/>
    </row>
    <row r="239" spans="15:16" ht="12.75">
      <c r="O239" s="159"/>
      <c r="P239" s="159"/>
    </row>
    <row r="240" spans="15:16" ht="12.75">
      <c r="O240" s="159"/>
      <c r="P240" s="159"/>
    </row>
    <row r="241" spans="15:16" ht="12.75">
      <c r="O241" s="159"/>
      <c r="P241" s="159"/>
    </row>
    <row r="242" spans="15:16" ht="12.75">
      <c r="O242" s="159"/>
      <c r="P242" s="159"/>
    </row>
    <row r="243" spans="15:16" ht="12.75">
      <c r="O243" s="159"/>
      <c r="P243" s="159"/>
    </row>
    <row r="244" spans="15:16" ht="12.75">
      <c r="O244" s="159"/>
      <c r="P244" s="159"/>
    </row>
    <row r="245" spans="15:16" ht="12.75">
      <c r="O245" s="159"/>
      <c r="P245" s="159"/>
    </row>
    <row r="246" spans="15:16" ht="12.75">
      <c r="O246" s="159"/>
      <c r="P246" s="159"/>
    </row>
    <row r="247" spans="15:16" ht="12.75">
      <c r="O247" s="159"/>
      <c r="P247" s="159"/>
    </row>
    <row r="248" spans="15:16" ht="12.75">
      <c r="O248" s="159"/>
      <c r="P248" s="159"/>
    </row>
  </sheetData>
  <mergeCells count="6">
    <mergeCell ref="A67:A71"/>
    <mergeCell ref="A82:A86"/>
    <mergeCell ref="K6:L6"/>
    <mergeCell ref="O6:P6"/>
    <mergeCell ref="H7:H8"/>
    <mergeCell ref="I7:P7"/>
  </mergeCells>
  <printOptions horizontalCentered="1"/>
  <pageMargins left="0.2" right="0.22" top="0.54" bottom="0.8" header="0.23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Sulewska</dc:creator>
  <cp:keywords/>
  <dc:description/>
  <cp:lastModifiedBy>Sulewska</cp:lastModifiedBy>
  <cp:lastPrinted>2009-04-21T12:35:33Z</cp:lastPrinted>
  <dcterms:created xsi:type="dcterms:W3CDTF">2009-04-21T12:33:41Z</dcterms:created>
  <dcterms:modified xsi:type="dcterms:W3CDTF">2009-04-21T13:22:50Z</dcterms:modified>
  <cp:category/>
  <cp:version/>
  <cp:contentType/>
  <cp:contentStatus/>
</cp:coreProperties>
</file>